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fileSharing readOnlyRecommended="1"/>
  <workbookPr codeName="ThisWorkbook" defaultThemeVersion="124226"/>
  <mc:AlternateContent xmlns:mc="http://schemas.openxmlformats.org/markup-compatibility/2006">
    <mc:Choice Requires="x15">
      <x15ac:absPath xmlns:x15ac="http://schemas.microsoft.com/office/spreadsheetml/2010/11/ac" url="C:\laragon\www\traxel\public\excel\"/>
    </mc:Choice>
  </mc:AlternateContent>
  <xr:revisionPtr revIDLastSave="0" documentId="13_ncr:1_{AB87E172-4C1C-4787-9897-DFAAD686B700}" xr6:coauthVersionLast="45" xr6:coauthVersionMax="47" xr10:uidLastSave="{00000000-0000-0000-0000-000000000000}"/>
  <bookViews>
    <workbookView xWindow="-28920" yWindow="-120" windowWidth="29040" windowHeight="15720" firstSheet="3" activeTab="3" xr2:uid="{00000000-000D-0000-FFFF-FFFF00000000}"/>
  </bookViews>
  <sheets>
    <sheet name="RIWAYAT REVISI" sheetId="29" r:id="rId1"/>
    <sheet name="KETERANGAN" sheetId="23" state="hidden" r:id="rId2"/>
    <sheet name="SERTIFIKAT DPM" sheetId="20" state="hidden" r:id="rId3"/>
    <sheet name="ID" sheetId="4" r:id="rId4"/>
    <sheet name="LK" sheetId="27" r:id="rId5"/>
    <sheet name="SERTIFIKAT STOPWATCH" sheetId="25" state="hidden" r:id="rId6"/>
    <sheet name="RESOLUSI STANDAR" sheetId="30" state="hidden" r:id="rId7"/>
    <sheet name="SERTIFIKAT THERMOHYGROMETER" sheetId="22" state="hidden" r:id="rId8"/>
    <sheet name="DATA 1" sheetId="24" state="hidden" r:id="rId9"/>
    <sheet name="INTERPOLASI  " sheetId="36" state="hidden" r:id="rId10"/>
    <sheet name="LH" sheetId="28" r:id="rId11"/>
    <sheet name="BUDGET NAIK" sheetId="11" r:id="rId12"/>
    <sheet name="BUDGET TURUN" sheetId="26" r:id="rId13"/>
    <sheet name="PENYELIA" sheetId="1" r:id="rId14"/>
    <sheet name="SERTIFIKAT" sheetId="39" r:id="rId15"/>
  </sheets>
  <definedNames>
    <definedName name="_xlnm._FilterDatabase" localSheetId="3" hidden="1">ID!#REF!</definedName>
    <definedName name="_xlnm.Print_Area" localSheetId="11">'BUDGET NAIK'!$C$4:$Y$51</definedName>
    <definedName name="_xlnm.Print_Area" localSheetId="12">'BUDGET TURUN'!$C$4:$Y$51</definedName>
    <definedName name="_xlnm.Print_Area" localSheetId="3">ID!$A$1:$K$86</definedName>
    <definedName name="_xlnm.Print_Area" localSheetId="10">LH!$A$1:$M$81</definedName>
    <definedName name="_xlnm.Print_Area" localSheetId="4">LK!$A$1:$K$99</definedName>
    <definedName name="_xlnm.Print_Area" localSheetId="13">PENYELIA!$A$1:$O$74</definedName>
    <definedName name="_xlnm.Print_Area" localSheetId="14">SERTIFIKAT!$A$1:$F$33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8" i="22" l="1"/>
  <c r="K8" i="22"/>
  <c r="K9" i="22"/>
  <c r="K10" i="22"/>
  <c r="K11" i="22"/>
  <c r="K12" i="22"/>
  <c r="K13" i="22"/>
  <c r="K14" i="22"/>
  <c r="K15" i="22"/>
  <c r="K16" i="22"/>
  <c r="K17" i="22"/>
  <c r="K18" i="22"/>
  <c r="K19" i="22"/>
  <c r="K20" i="22"/>
  <c r="K21" i="22"/>
  <c r="K22" i="22"/>
  <c r="K23" i="22"/>
  <c r="K24" i="22"/>
  <c r="K25" i="22"/>
  <c r="K26" i="22"/>
  <c r="K27" i="22"/>
  <c r="K28" i="22"/>
  <c r="K29" i="22"/>
  <c r="K30" i="22"/>
  <c r="K31" i="22"/>
  <c r="K32" i="22"/>
  <c r="K33" i="22"/>
  <c r="K34" i="22"/>
  <c r="K35" i="22"/>
  <c r="K36" i="22"/>
  <c r="K37" i="22"/>
  <c r="K38" i="22"/>
  <c r="K39" i="22"/>
  <c r="K40" i="22"/>
  <c r="K41" i="22"/>
  <c r="K42" i="22"/>
  <c r="K43" i="22"/>
  <c r="K44" i="22"/>
  <c r="K45" i="22"/>
  <c r="K46" i="22"/>
  <c r="K47" i="22"/>
  <c r="K48" i="22"/>
  <c r="K49" i="22"/>
  <c r="K50" i="22"/>
  <c r="K51" i="22"/>
  <c r="K52" i="22"/>
  <c r="K53" i="22"/>
  <c r="K54" i="22"/>
  <c r="K55" i="22"/>
  <c r="K56" i="22"/>
  <c r="K57" i="22"/>
  <c r="K58" i="22"/>
  <c r="K59" i="22"/>
  <c r="K60" i="22"/>
  <c r="K61" i="22"/>
  <c r="K62" i="22"/>
  <c r="K63" i="22"/>
  <c r="K64" i="22"/>
  <c r="K65" i="22"/>
  <c r="K66" i="22"/>
  <c r="K67" i="22"/>
  <c r="K68" i="22"/>
  <c r="K69" i="22"/>
  <c r="K70" i="22"/>
  <c r="K71" i="22"/>
  <c r="K72" i="22"/>
  <c r="K73" i="22"/>
  <c r="K74" i="22"/>
  <c r="K75" i="22"/>
  <c r="K76" i="22"/>
  <c r="K77" i="22"/>
  <c r="K78" i="22"/>
  <c r="K79" i="22"/>
  <c r="K80" i="22"/>
  <c r="K81" i="22"/>
  <c r="K82" i="22"/>
  <c r="K83" i="22"/>
  <c r="K84" i="22"/>
  <c r="K85" i="22"/>
  <c r="K86" i="22"/>
  <c r="K87" i="22"/>
  <c r="K88" i="22"/>
  <c r="K89" i="22"/>
  <c r="K90" i="22"/>
  <c r="K91" i="22"/>
  <c r="K92" i="22"/>
  <c r="K93" i="22"/>
  <c r="K94" i="22"/>
  <c r="K95" i="22"/>
  <c r="K96" i="22"/>
  <c r="K97" i="22"/>
  <c r="K98" i="22"/>
  <c r="K99" i="22"/>
  <c r="K100" i="22"/>
  <c r="K101" i="22"/>
  <c r="K102" i="22"/>
  <c r="K103" i="22"/>
  <c r="K104" i="22"/>
  <c r="K105" i="22"/>
  <c r="K106" i="22"/>
  <c r="K107" i="22"/>
  <c r="K108" i="22"/>
  <c r="K109" i="22"/>
  <c r="K110" i="22"/>
  <c r="K111" i="22"/>
  <c r="K112" i="22"/>
  <c r="K113" i="22"/>
  <c r="K114" i="22"/>
  <c r="K115" i="22"/>
  <c r="K116" i="22"/>
  <c r="K117" i="22"/>
  <c r="K118" i="22"/>
  <c r="K119" i="22"/>
  <c r="K120" i="22"/>
  <c r="K121" i="22"/>
  <c r="K122" i="22"/>
  <c r="K123" i="22"/>
  <c r="K124" i="22"/>
  <c r="K125" i="22"/>
  <c r="K126" i="22"/>
  <c r="K127" i="22"/>
  <c r="K128" i="22"/>
  <c r="K129" i="22"/>
  <c r="K130" i="22"/>
  <c r="K131" i="22"/>
  <c r="K132" i="22"/>
  <c r="K133" i="22"/>
  <c r="K134" i="22"/>
  <c r="K135" i="22"/>
  <c r="K136" i="22"/>
  <c r="K137" i="22"/>
  <c r="K138" i="22"/>
  <c r="K139" i="22"/>
  <c r="K140" i="22"/>
  <c r="K141" i="22"/>
  <c r="K142" i="22"/>
  <c r="K143" i="22"/>
  <c r="K144" i="22"/>
  <c r="K145" i="22"/>
  <c r="K146" i="22"/>
  <c r="K147" i="22"/>
  <c r="K148" i="22"/>
  <c r="K149" i="22"/>
  <c r="K150" i="22"/>
  <c r="K151" i="22"/>
  <c r="K152" i="22"/>
  <c r="K153" i="22"/>
  <c r="K154" i="22"/>
  <c r="K155" i="22"/>
  <c r="K156" i="22"/>
  <c r="K157" i="22"/>
  <c r="K158" i="22"/>
  <c r="K159" i="22"/>
  <c r="K160" i="22"/>
  <c r="K161" i="22"/>
  <c r="K162" i="22"/>
  <c r="K163" i="22"/>
  <c r="K164" i="22"/>
  <c r="K165" i="22"/>
  <c r="K166" i="22"/>
  <c r="K167" i="22"/>
  <c r="K168" i="22"/>
  <c r="K169" i="22"/>
  <c r="K170" i="22"/>
  <c r="K171" i="22"/>
  <c r="K172" i="22"/>
  <c r="K173" i="22"/>
  <c r="K174" i="22"/>
  <c r="K175" i="22"/>
  <c r="K176" i="22"/>
  <c r="K177" i="22"/>
  <c r="K178" i="22"/>
  <c r="K179" i="22"/>
  <c r="K180" i="22"/>
  <c r="K181" i="22"/>
  <c r="K182" i="22"/>
  <c r="K183" i="22"/>
  <c r="K184" i="22"/>
  <c r="K185" i="22"/>
  <c r="K186" i="22"/>
  <c r="K187" i="22"/>
  <c r="K188" i="22"/>
  <c r="K189" i="22"/>
  <c r="K190" i="22"/>
  <c r="K191" i="22"/>
  <c r="K192" i="22"/>
  <c r="K193" i="22"/>
  <c r="K194" i="22"/>
  <c r="K195" i="22"/>
  <c r="K196" i="22"/>
  <c r="K197" i="22"/>
  <c r="K198" i="22"/>
  <c r="K199" i="22"/>
  <c r="K200" i="22"/>
  <c r="K201" i="22"/>
  <c r="K202" i="22"/>
  <c r="K203" i="22"/>
  <c r="K204" i="22"/>
  <c r="K205" i="22"/>
  <c r="K206" i="22"/>
  <c r="K207" i="22"/>
  <c r="K208" i="22"/>
  <c r="K209" i="22"/>
  <c r="K210" i="22"/>
  <c r="K211" i="22"/>
  <c r="K212" i="22"/>
  <c r="K213" i="22"/>
  <c r="K214" i="22"/>
  <c r="K215" i="22"/>
  <c r="K216" i="22"/>
  <c r="K217" i="22"/>
  <c r="K218" i="22"/>
  <c r="K219" i="22"/>
  <c r="K220" i="22"/>
  <c r="K221" i="22"/>
  <c r="K222" i="22"/>
  <c r="K223" i="22"/>
  <c r="K224" i="22"/>
  <c r="L86" i="22" l="1"/>
  <c r="L20" i="22"/>
  <c r="L29" i="22"/>
  <c r="L43" i="22"/>
  <c r="L100" i="22"/>
  <c r="L220" i="22"/>
  <c r="L139" i="22"/>
  <c r="L28" i="22"/>
  <c r="L125" i="22"/>
  <c r="L114" i="22"/>
  <c r="L198" i="22"/>
  <c r="L26" i="22"/>
  <c r="L188" i="22"/>
  <c r="L21" i="22"/>
  <c r="L75" i="22"/>
  <c r="L164" i="22"/>
  <c r="L60" i="22"/>
  <c r="L19" i="22"/>
  <c r="L210" i="22"/>
  <c r="L178" i="22"/>
  <c r="L150" i="22"/>
  <c r="L44" i="22"/>
  <c r="L209" i="22"/>
  <c r="L187" i="22"/>
  <c r="L163" i="22"/>
  <c r="L138" i="22"/>
  <c r="L124" i="22"/>
  <c r="L99" i="22"/>
  <c r="L74" i="22"/>
  <c r="L27" i="22"/>
  <c r="L204" i="22"/>
  <c r="L182" i="22"/>
  <c r="L157" i="22"/>
  <c r="L118" i="22"/>
  <c r="L107" i="22"/>
  <c r="L68" i="22"/>
  <c r="L36" i="22"/>
  <c r="L213" i="22"/>
  <c r="L193" i="22"/>
  <c r="L156" i="22"/>
  <c r="L131" i="22"/>
  <c r="L106" i="22"/>
  <c r="L78" i="22"/>
  <c r="L35" i="22"/>
  <c r="L222" i="22"/>
  <c r="L212" i="22"/>
  <c r="L202" i="22"/>
  <c r="L190" i="22"/>
  <c r="L180" i="22"/>
  <c r="L166" i="22"/>
  <c r="L155" i="22"/>
  <c r="L141" i="22"/>
  <c r="L130" i="22"/>
  <c r="L116" i="22"/>
  <c r="L102" i="22"/>
  <c r="L91" i="22"/>
  <c r="L77" i="22"/>
  <c r="L66" i="22"/>
  <c r="L50" i="22"/>
  <c r="L34" i="22"/>
  <c r="L18" i="22"/>
  <c r="L219" i="22"/>
  <c r="L197" i="22"/>
  <c r="L174" i="22"/>
  <c r="L149" i="22"/>
  <c r="L110" i="22"/>
  <c r="L85" i="22"/>
  <c r="L59" i="22"/>
  <c r="L218" i="22"/>
  <c r="L206" i="22"/>
  <c r="L196" i="22"/>
  <c r="L186" i="22"/>
  <c r="L173" i="22"/>
  <c r="L162" i="22"/>
  <c r="L148" i="22"/>
  <c r="L134" i="22"/>
  <c r="L123" i="22"/>
  <c r="L109" i="22"/>
  <c r="L98" i="22"/>
  <c r="L84" i="22"/>
  <c r="L70" i="22"/>
  <c r="L58" i="22"/>
  <c r="L42" i="22"/>
  <c r="L217" i="22"/>
  <c r="L205" i="22"/>
  <c r="L195" i="22"/>
  <c r="L185" i="22"/>
  <c r="L172" i="22"/>
  <c r="L158" i="22"/>
  <c r="L147" i="22"/>
  <c r="L133" i="22"/>
  <c r="L122" i="22"/>
  <c r="L108" i="22"/>
  <c r="L94" i="22"/>
  <c r="L83" i="22"/>
  <c r="L69" i="22"/>
  <c r="L53" i="22"/>
  <c r="L37" i="22"/>
  <c r="L214" i="22"/>
  <c r="L194" i="22"/>
  <c r="L171" i="22"/>
  <c r="L146" i="22"/>
  <c r="L132" i="22"/>
  <c r="L93" i="22"/>
  <c r="L82" i="22"/>
  <c r="L52" i="22"/>
  <c r="L203" i="22"/>
  <c r="L181" i="22"/>
  <c r="L170" i="22"/>
  <c r="L142" i="22"/>
  <c r="L117" i="22"/>
  <c r="L92" i="22"/>
  <c r="L67" i="22"/>
  <c r="L51" i="22"/>
  <c r="L221" i="22"/>
  <c r="L211" i="22"/>
  <c r="L201" i="22"/>
  <c r="L189" i="22"/>
  <c r="L179" i="22"/>
  <c r="L165" i="22"/>
  <c r="L154" i="22"/>
  <c r="L140" i="22"/>
  <c r="L126" i="22"/>
  <c r="L115" i="22"/>
  <c r="L101" i="22"/>
  <c r="L90" i="22"/>
  <c r="L76" i="22"/>
  <c r="L61" i="22"/>
  <c r="L45" i="22"/>
  <c r="L9" i="22"/>
  <c r="L10" i="22" s="1"/>
  <c r="L11" i="22" s="1"/>
  <c r="L12" i="22" s="1"/>
  <c r="L13" i="22" s="1"/>
  <c r="L14" i="22" s="1"/>
  <c r="L177" i="22"/>
  <c r="L161" i="22"/>
  <c r="L145" i="22"/>
  <c r="L129" i="22"/>
  <c r="L113" i="22"/>
  <c r="L97" i="22"/>
  <c r="L81" i="22"/>
  <c r="L65" i="22"/>
  <c r="L49" i="22"/>
  <c r="L33" i="22"/>
  <c r="L17" i="22"/>
  <c r="L224" i="22"/>
  <c r="L216" i="22"/>
  <c r="L208" i="22"/>
  <c r="L200" i="22"/>
  <c r="L192" i="22"/>
  <c r="L184" i="22"/>
  <c r="L176" i="22"/>
  <c r="L168" i="22"/>
  <c r="L160" i="22"/>
  <c r="L152" i="22"/>
  <c r="L144" i="22"/>
  <c r="L136" i="22"/>
  <c r="L128" i="22"/>
  <c r="L120" i="22"/>
  <c r="L112" i="22"/>
  <c r="L104" i="22"/>
  <c r="L96" i="22"/>
  <c r="L88" i="22"/>
  <c r="L80" i="22"/>
  <c r="L72" i="22"/>
  <c r="L64" i="22"/>
  <c r="L56" i="22"/>
  <c r="L48" i="22"/>
  <c r="L40" i="22"/>
  <c r="L32" i="22"/>
  <c r="L24" i="22"/>
  <c r="L16" i="22"/>
  <c r="L169" i="22"/>
  <c r="L153" i="22"/>
  <c r="L137" i="22"/>
  <c r="L121" i="22"/>
  <c r="L105" i="22"/>
  <c r="L89" i="22"/>
  <c r="L73" i="22"/>
  <c r="L57" i="22"/>
  <c r="L41" i="22"/>
  <c r="L25" i="22"/>
  <c r="L223" i="22"/>
  <c r="L215" i="22"/>
  <c r="L207" i="22"/>
  <c r="L199" i="22"/>
  <c r="L191" i="22"/>
  <c r="L183" i="22"/>
  <c r="L175" i="22"/>
  <c r="L167" i="22"/>
  <c r="L159" i="22"/>
  <c r="L151" i="22"/>
  <c r="L143" i="22"/>
  <c r="L135" i="22"/>
  <c r="L127" i="22"/>
  <c r="L119" i="22"/>
  <c r="L111" i="22"/>
  <c r="L103" i="22"/>
  <c r="L95" i="22"/>
  <c r="L87" i="22"/>
  <c r="L79" i="22"/>
  <c r="L71" i="22"/>
  <c r="L63" i="22"/>
  <c r="L55" i="22"/>
  <c r="L47" i="22"/>
  <c r="L39" i="22"/>
  <c r="L31" i="22"/>
  <c r="L23" i="22"/>
  <c r="L15" i="22"/>
  <c r="L62" i="22"/>
  <c r="L54" i="22"/>
  <c r="L46" i="22"/>
  <c r="L38" i="22"/>
  <c r="L30" i="22"/>
  <c r="L22" i="22"/>
  <c r="O8" i="22"/>
  <c r="O9" i="22" l="1"/>
  <c r="O10" i="22"/>
  <c r="O11" i="22"/>
  <c r="O12" i="22" l="1"/>
  <c r="O14" i="22" l="1"/>
  <c r="O13" i="22"/>
  <c r="B45" i="39" l="1"/>
  <c r="B46" i="39" l="1"/>
  <c r="B59" i="39"/>
  <c r="F10" i="1"/>
  <c r="F29" i="26"/>
  <c r="B15" i="26"/>
  <c r="R29" i="26" s="1"/>
  <c r="B18" i="11"/>
  <c r="B14" i="11"/>
  <c r="CC24" i="36"/>
  <c r="CC18" i="36"/>
  <c r="C9" i="11"/>
  <c r="BD18" i="36" s="1"/>
  <c r="AA25" i="11"/>
  <c r="D51" i="4"/>
  <c r="D23" i="39"/>
  <c r="F44" i="26" l="1"/>
  <c r="R14" i="26"/>
  <c r="R44" i="11"/>
  <c r="AE18" i="36"/>
  <c r="F14" i="26"/>
  <c r="R44" i="26"/>
  <c r="F29" i="11"/>
  <c r="F44" i="11"/>
  <c r="F14" i="11"/>
  <c r="R29" i="11"/>
  <c r="R14" i="11"/>
  <c r="E26" i="39"/>
  <c r="A2" i="39" l="1"/>
  <c r="B50" i="39" s="1"/>
  <c r="A17" i="39" l="1"/>
  <c r="A21" i="39"/>
  <c r="A19" i="39"/>
  <c r="A22" i="39"/>
  <c r="A20" i="39"/>
  <c r="AC175" i="20" l="1"/>
  <c r="AB175" i="20" s="1"/>
  <c r="AA175" i="20"/>
  <c r="Z175" i="20"/>
  <c r="Y175" i="20"/>
  <c r="X175" i="20"/>
  <c r="W175" i="20" s="1"/>
  <c r="V175" i="20"/>
  <c r="U175" i="20"/>
  <c r="T175" i="20"/>
  <c r="AC174" i="20"/>
  <c r="AB174" i="20" s="1"/>
  <c r="AA174" i="20"/>
  <c r="Z174" i="20"/>
  <c r="Y174" i="20"/>
  <c r="X174" i="20"/>
  <c r="W174" i="20" s="1"/>
  <c r="V174" i="20"/>
  <c r="U174" i="20"/>
  <c r="T174" i="20"/>
  <c r="AC173" i="20"/>
  <c r="AB173" i="20" s="1"/>
  <c r="AA173" i="20"/>
  <c r="Z173" i="20"/>
  <c r="Y173" i="20"/>
  <c r="X173" i="20"/>
  <c r="W173" i="20" s="1"/>
  <c r="V173" i="20"/>
  <c r="U173" i="20"/>
  <c r="T173" i="20"/>
  <c r="AC172" i="20"/>
  <c r="AB172" i="20" s="1"/>
  <c r="AA172" i="20"/>
  <c r="Z172" i="20"/>
  <c r="Y172" i="20"/>
  <c r="X172" i="20"/>
  <c r="W172" i="20" s="1"/>
  <c r="V172" i="20"/>
  <c r="U172" i="20"/>
  <c r="T172" i="20"/>
  <c r="AC171" i="20"/>
  <c r="AB171" i="20" s="1"/>
  <c r="AA171" i="20"/>
  <c r="Z171" i="20"/>
  <c r="Y171" i="20"/>
  <c r="X171" i="20"/>
  <c r="W171" i="20" s="1"/>
  <c r="V171" i="20"/>
  <c r="U171" i="20"/>
  <c r="T171" i="20"/>
  <c r="AC170" i="20"/>
  <c r="AB170" i="20" s="1"/>
  <c r="AA170" i="20"/>
  <c r="Z170" i="20"/>
  <c r="Y170" i="20"/>
  <c r="X170" i="20"/>
  <c r="W170" i="20" s="1"/>
  <c r="V170" i="20"/>
  <c r="U170" i="20"/>
  <c r="T170" i="20"/>
  <c r="AC169" i="20"/>
  <c r="AB169" i="20" s="1"/>
  <c r="AA169" i="20"/>
  <c r="Z169" i="20"/>
  <c r="Y169" i="20"/>
  <c r="X169" i="20"/>
  <c r="W169" i="20" s="1"/>
  <c r="V169" i="20"/>
  <c r="U169" i="20"/>
  <c r="T169" i="20"/>
  <c r="AC224" i="20"/>
  <c r="AB224" i="20" s="1"/>
  <c r="AA224" i="20"/>
  <c r="Z224" i="20"/>
  <c r="Y224" i="20"/>
  <c r="X224" i="20"/>
  <c r="W224" i="20" s="1"/>
  <c r="V224" i="20"/>
  <c r="U224" i="20"/>
  <c r="T224" i="20"/>
  <c r="AC223" i="20"/>
  <c r="AB223" i="20" s="1"/>
  <c r="AA223" i="20"/>
  <c r="Z223" i="20"/>
  <c r="Y223" i="20"/>
  <c r="X223" i="20"/>
  <c r="W223" i="20" s="1"/>
  <c r="V223" i="20"/>
  <c r="U223" i="20"/>
  <c r="T223" i="20"/>
  <c r="AC222" i="20"/>
  <c r="AB222" i="20" s="1"/>
  <c r="AA222" i="20"/>
  <c r="Z222" i="20"/>
  <c r="Y222" i="20"/>
  <c r="X222" i="20"/>
  <c r="W222" i="20" s="1"/>
  <c r="V222" i="20"/>
  <c r="U222" i="20"/>
  <c r="T222" i="20"/>
  <c r="AC221" i="20"/>
  <c r="AB221" i="20" s="1"/>
  <c r="AA221" i="20"/>
  <c r="Z221" i="20"/>
  <c r="Y221" i="20"/>
  <c r="X221" i="20"/>
  <c r="W221" i="20" s="1"/>
  <c r="V221" i="20"/>
  <c r="U221" i="20"/>
  <c r="T221" i="20"/>
  <c r="AC220" i="20"/>
  <c r="AB220" i="20" s="1"/>
  <c r="AA220" i="20"/>
  <c r="Z220" i="20"/>
  <c r="Y220" i="20"/>
  <c r="X220" i="20"/>
  <c r="W220" i="20" s="1"/>
  <c r="V220" i="20"/>
  <c r="U220" i="20"/>
  <c r="T220" i="20"/>
  <c r="AC219" i="20"/>
  <c r="AB219" i="20" s="1"/>
  <c r="AA219" i="20"/>
  <c r="Z219" i="20"/>
  <c r="Y219" i="20"/>
  <c r="X219" i="20"/>
  <c r="W219" i="20" s="1"/>
  <c r="V219" i="20"/>
  <c r="U219" i="20"/>
  <c r="T219" i="20"/>
  <c r="AC218" i="20"/>
  <c r="AB218" i="20" s="1"/>
  <c r="AA218" i="20"/>
  <c r="Z218" i="20"/>
  <c r="Y218" i="20"/>
  <c r="X218" i="20"/>
  <c r="W218" i="20" s="1"/>
  <c r="V218" i="20"/>
  <c r="U218" i="20"/>
  <c r="T218" i="20"/>
  <c r="AC370" i="20"/>
  <c r="AB370" i="20" s="1"/>
  <c r="AA370" i="20"/>
  <c r="Z370" i="20"/>
  <c r="Y370" i="20"/>
  <c r="X370" i="20"/>
  <c r="W370" i="20" s="1"/>
  <c r="V370" i="20"/>
  <c r="U370" i="20"/>
  <c r="T370" i="20"/>
  <c r="AC369" i="20"/>
  <c r="AB369" i="20" s="1"/>
  <c r="AA369" i="20"/>
  <c r="Z369" i="20"/>
  <c r="Y369" i="20"/>
  <c r="X369" i="20"/>
  <c r="W369" i="20" s="1"/>
  <c r="V369" i="20"/>
  <c r="U369" i="20"/>
  <c r="T369" i="20"/>
  <c r="AC368" i="20"/>
  <c r="AB368" i="20" s="1"/>
  <c r="AA368" i="20"/>
  <c r="Z368" i="20"/>
  <c r="Y368" i="20"/>
  <c r="X368" i="20"/>
  <c r="W368" i="20" s="1"/>
  <c r="V368" i="20"/>
  <c r="U368" i="20"/>
  <c r="T368" i="20"/>
  <c r="AC367" i="20"/>
  <c r="AB367" i="20" s="1"/>
  <c r="AA367" i="20"/>
  <c r="Z367" i="20"/>
  <c r="Y367" i="20"/>
  <c r="X367" i="20"/>
  <c r="W367" i="20" s="1"/>
  <c r="V367" i="20"/>
  <c r="U367" i="20"/>
  <c r="T367" i="20"/>
  <c r="AC366" i="20"/>
  <c r="AB366" i="20" s="1"/>
  <c r="AA366" i="20"/>
  <c r="Z366" i="20"/>
  <c r="Y366" i="20"/>
  <c r="X366" i="20"/>
  <c r="W366" i="20" s="1"/>
  <c r="V366" i="20"/>
  <c r="U366" i="20"/>
  <c r="T366" i="20"/>
  <c r="AC365" i="20"/>
  <c r="AB365" i="20" s="1"/>
  <c r="AA365" i="20"/>
  <c r="Z365" i="20"/>
  <c r="Y365" i="20"/>
  <c r="X365" i="20"/>
  <c r="W365" i="20" s="1"/>
  <c r="V365" i="20"/>
  <c r="U365" i="20"/>
  <c r="T365" i="20"/>
  <c r="AC364" i="20"/>
  <c r="AB364" i="20" s="1"/>
  <c r="AA364" i="20"/>
  <c r="Z364" i="20"/>
  <c r="Y364" i="20"/>
  <c r="X364" i="20"/>
  <c r="W364" i="20" s="1"/>
  <c r="V364" i="20"/>
  <c r="U364" i="20"/>
  <c r="T364" i="20"/>
  <c r="T381" i="20"/>
  <c r="U381" i="20"/>
  <c r="V381" i="20"/>
  <c r="T382" i="20"/>
  <c r="U382" i="20"/>
  <c r="V382" i="20"/>
  <c r="T383" i="20"/>
  <c r="U383" i="20"/>
  <c r="V383" i="20"/>
  <c r="T384" i="20"/>
  <c r="U384" i="20"/>
  <c r="V384" i="20"/>
  <c r="T385" i="20"/>
  <c r="U385" i="20"/>
  <c r="V385" i="20"/>
  <c r="T386" i="20"/>
  <c r="U386" i="20"/>
  <c r="V386" i="20"/>
  <c r="AC258" i="20"/>
  <c r="AA258" i="20"/>
  <c r="Z258" i="20"/>
  <c r="Y258" i="20"/>
  <c r="X258" i="20"/>
  <c r="V258" i="20"/>
  <c r="U258" i="20"/>
  <c r="T258" i="20"/>
  <c r="AC257" i="20"/>
  <c r="AA257" i="20"/>
  <c r="Z257" i="20"/>
  <c r="Y257" i="20"/>
  <c r="X257" i="20"/>
  <c r="V257" i="20"/>
  <c r="U257" i="20"/>
  <c r="T257" i="20"/>
  <c r="AC256" i="20"/>
  <c r="AA256" i="20"/>
  <c r="Z256" i="20"/>
  <c r="Y256" i="20"/>
  <c r="X256" i="20"/>
  <c r="V256" i="20"/>
  <c r="W256" i="20" s="1"/>
  <c r="U256" i="20"/>
  <c r="T256" i="20"/>
  <c r="AC255" i="20"/>
  <c r="AA255" i="20"/>
  <c r="Z255" i="20"/>
  <c r="Y255" i="20"/>
  <c r="X255" i="20"/>
  <c r="V255" i="20"/>
  <c r="U255" i="20"/>
  <c r="T255" i="20"/>
  <c r="AC254" i="20"/>
  <c r="AA254" i="20"/>
  <c r="Z254" i="20"/>
  <c r="AB254" i="20" s="1"/>
  <c r="Y254" i="20"/>
  <c r="X254" i="20"/>
  <c r="V254" i="20"/>
  <c r="U254" i="20"/>
  <c r="T254" i="20"/>
  <c r="AC253" i="20"/>
  <c r="AA253" i="20"/>
  <c r="Z253" i="20"/>
  <c r="Y253" i="20"/>
  <c r="X253" i="20"/>
  <c r="V253" i="20"/>
  <c r="U253" i="20"/>
  <c r="T253" i="20"/>
  <c r="AC252" i="20"/>
  <c r="AA252" i="20"/>
  <c r="Z252" i="20"/>
  <c r="Y252" i="20"/>
  <c r="X252" i="20"/>
  <c r="V252" i="20"/>
  <c r="U252" i="20"/>
  <c r="T252" i="20"/>
  <c r="AC241" i="20"/>
  <c r="AA241" i="20"/>
  <c r="Z241" i="20"/>
  <c r="AB241" i="20" s="1"/>
  <c r="Y241" i="20"/>
  <c r="X241" i="20"/>
  <c r="V241" i="20"/>
  <c r="U241" i="20"/>
  <c r="T241" i="20"/>
  <c r="AC240" i="20"/>
  <c r="AA240" i="20"/>
  <c r="Z240" i="20"/>
  <c r="AB240" i="20" s="1"/>
  <c r="Y240" i="20"/>
  <c r="X240" i="20"/>
  <c r="V240" i="20"/>
  <c r="U240" i="20"/>
  <c r="T240" i="20"/>
  <c r="AC239" i="20"/>
  <c r="AA239" i="20"/>
  <c r="Z239" i="20"/>
  <c r="Y239" i="20"/>
  <c r="X239" i="20"/>
  <c r="V239" i="20"/>
  <c r="U239" i="20"/>
  <c r="T239" i="20"/>
  <c r="AC238" i="20"/>
  <c r="AA238" i="20"/>
  <c r="Z238" i="20"/>
  <c r="Y238" i="20"/>
  <c r="X238" i="20"/>
  <c r="V238" i="20"/>
  <c r="U238" i="20"/>
  <c r="T238" i="20"/>
  <c r="AC237" i="20"/>
  <c r="AA237" i="20"/>
  <c r="Z237" i="20"/>
  <c r="Y237" i="20"/>
  <c r="X237" i="20"/>
  <c r="V237" i="20"/>
  <c r="U237" i="20"/>
  <c r="T237" i="20"/>
  <c r="AC236" i="20"/>
  <c r="AA236" i="20"/>
  <c r="Z236" i="20"/>
  <c r="Y236" i="20"/>
  <c r="X236" i="20"/>
  <c r="V236" i="20"/>
  <c r="U236" i="20"/>
  <c r="T236" i="20"/>
  <c r="AC235" i="20"/>
  <c r="AA235" i="20"/>
  <c r="Z235" i="20"/>
  <c r="Y235" i="20"/>
  <c r="X235" i="20"/>
  <c r="V235" i="20"/>
  <c r="U235" i="20"/>
  <c r="T235" i="20"/>
  <c r="AC207" i="20"/>
  <c r="AA207" i="20"/>
  <c r="Z207" i="20"/>
  <c r="Y207" i="20"/>
  <c r="X207" i="20"/>
  <c r="V207" i="20"/>
  <c r="U207" i="20"/>
  <c r="T207" i="20"/>
  <c r="AC206" i="20"/>
  <c r="AA206" i="20"/>
  <c r="Z206" i="20"/>
  <c r="Y206" i="20"/>
  <c r="X206" i="20"/>
  <c r="V206" i="20"/>
  <c r="U206" i="20"/>
  <c r="T206" i="20"/>
  <c r="AC205" i="20"/>
  <c r="AA205" i="20"/>
  <c r="Z205" i="20"/>
  <c r="Y205" i="20"/>
  <c r="X205" i="20"/>
  <c r="V205" i="20"/>
  <c r="U205" i="20"/>
  <c r="T205" i="20"/>
  <c r="AC204" i="20"/>
  <c r="AA204" i="20"/>
  <c r="Z204" i="20"/>
  <c r="Y204" i="20"/>
  <c r="X204" i="20"/>
  <c r="V204" i="20"/>
  <c r="U204" i="20"/>
  <c r="T204" i="20"/>
  <c r="AC203" i="20"/>
  <c r="AA203" i="20"/>
  <c r="Z203" i="20"/>
  <c r="Y203" i="20"/>
  <c r="X203" i="20"/>
  <c r="V203" i="20"/>
  <c r="U203" i="20"/>
  <c r="T203" i="20"/>
  <c r="AC202" i="20"/>
  <c r="AA202" i="20"/>
  <c r="Z202" i="20"/>
  <c r="Y202" i="20"/>
  <c r="X202" i="20"/>
  <c r="V202" i="20"/>
  <c r="U202" i="20"/>
  <c r="T202" i="20"/>
  <c r="AC201" i="20"/>
  <c r="AA201" i="20"/>
  <c r="Z201" i="20"/>
  <c r="Y201" i="20"/>
  <c r="X201" i="20"/>
  <c r="V201" i="20"/>
  <c r="U201" i="20"/>
  <c r="T201" i="20"/>
  <c r="AC190" i="20"/>
  <c r="AA190" i="20"/>
  <c r="Z190" i="20"/>
  <c r="Y190" i="20"/>
  <c r="X190" i="20"/>
  <c r="V190" i="20"/>
  <c r="U190" i="20"/>
  <c r="T190" i="20"/>
  <c r="AC189" i="20"/>
  <c r="AA189" i="20"/>
  <c r="Z189" i="20"/>
  <c r="Y189" i="20"/>
  <c r="X189" i="20"/>
  <c r="V189" i="20"/>
  <c r="U189" i="20"/>
  <c r="T189" i="20"/>
  <c r="AC188" i="20"/>
  <c r="AA188" i="20"/>
  <c r="Z188" i="20"/>
  <c r="Y188" i="20"/>
  <c r="X188" i="20"/>
  <c r="V188" i="20"/>
  <c r="U188" i="20"/>
  <c r="T188" i="20"/>
  <c r="AC187" i="20"/>
  <c r="AA187" i="20"/>
  <c r="Z187" i="20"/>
  <c r="Y187" i="20"/>
  <c r="X187" i="20"/>
  <c r="V187" i="20"/>
  <c r="U187" i="20"/>
  <c r="T187" i="20"/>
  <c r="AC186" i="20"/>
  <c r="AA186" i="20"/>
  <c r="Z186" i="20"/>
  <c r="Y186" i="20"/>
  <c r="X186" i="20"/>
  <c r="V186" i="20"/>
  <c r="U186" i="20"/>
  <c r="T186" i="20"/>
  <c r="AC185" i="20"/>
  <c r="AA185" i="20"/>
  <c r="Z185" i="20"/>
  <c r="Y185" i="20"/>
  <c r="X185" i="20"/>
  <c r="V185" i="20"/>
  <c r="U185" i="20"/>
  <c r="T185" i="20"/>
  <c r="AC184" i="20"/>
  <c r="AA184" i="20"/>
  <c r="Z184" i="20"/>
  <c r="Y184" i="20"/>
  <c r="X184" i="20"/>
  <c r="V184" i="20"/>
  <c r="U184" i="20"/>
  <c r="T184" i="20"/>
  <c r="AC161" i="20"/>
  <c r="AA161" i="20"/>
  <c r="Z161" i="20"/>
  <c r="Y161" i="20"/>
  <c r="X161" i="20"/>
  <c r="V161" i="20"/>
  <c r="U161" i="20"/>
  <c r="T161" i="20"/>
  <c r="AC160" i="20"/>
  <c r="AA160" i="20"/>
  <c r="Z160" i="20"/>
  <c r="Y160" i="20"/>
  <c r="X160" i="20"/>
  <c r="V160" i="20"/>
  <c r="U160" i="20"/>
  <c r="T160" i="20"/>
  <c r="AC159" i="20"/>
  <c r="AA159" i="20"/>
  <c r="Z159" i="20"/>
  <c r="Y159" i="20"/>
  <c r="X159" i="20"/>
  <c r="V159" i="20"/>
  <c r="U159" i="20"/>
  <c r="T159" i="20"/>
  <c r="AC158" i="20"/>
  <c r="AA158" i="20"/>
  <c r="Z158" i="20"/>
  <c r="Y158" i="20"/>
  <c r="X158" i="20"/>
  <c r="V158" i="20"/>
  <c r="U158" i="20"/>
  <c r="T158" i="20"/>
  <c r="AC157" i="20"/>
  <c r="AA157" i="20"/>
  <c r="Z157" i="20"/>
  <c r="Y157" i="20"/>
  <c r="X157" i="20"/>
  <c r="V157" i="20"/>
  <c r="U157" i="20"/>
  <c r="T157" i="20"/>
  <c r="AC156" i="20"/>
  <c r="AA156" i="20"/>
  <c r="Z156" i="20"/>
  <c r="Y156" i="20"/>
  <c r="X156" i="20"/>
  <c r="V156" i="20"/>
  <c r="U156" i="20"/>
  <c r="T156" i="20"/>
  <c r="AC155" i="20"/>
  <c r="AA155" i="20"/>
  <c r="Z155" i="20"/>
  <c r="Y155" i="20"/>
  <c r="X155" i="20"/>
  <c r="V155" i="20"/>
  <c r="U155" i="20"/>
  <c r="T155" i="20"/>
  <c r="AC146" i="20"/>
  <c r="AA146" i="20"/>
  <c r="Z146" i="20"/>
  <c r="Y146" i="20"/>
  <c r="X146" i="20"/>
  <c r="V146" i="20"/>
  <c r="U146" i="20"/>
  <c r="T146" i="20"/>
  <c r="AC145" i="20"/>
  <c r="AA145" i="20"/>
  <c r="Z145" i="20"/>
  <c r="Y145" i="20"/>
  <c r="X145" i="20"/>
  <c r="V145" i="20"/>
  <c r="U145" i="20"/>
  <c r="T145" i="20"/>
  <c r="AC144" i="20"/>
  <c r="AA144" i="20"/>
  <c r="Z144" i="20"/>
  <c r="Y144" i="20"/>
  <c r="X144" i="20"/>
  <c r="V144" i="20"/>
  <c r="U144" i="20"/>
  <c r="T144" i="20"/>
  <c r="AC143" i="20"/>
  <c r="AA143" i="20"/>
  <c r="Z143" i="20"/>
  <c r="Y143" i="20"/>
  <c r="X143" i="20"/>
  <c r="V143" i="20"/>
  <c r="U143" i="20"/>
  <c r="T143" i="20"/>
  <c r="AC142" i="20"/>
  <c r="AA142" i="20"/>
  <c r="Z142" i="20"/>
  <c r="Y142" i="20"/>
  <c r="X142" i="20"/>
  <c r="V142" i="20"/>
  <c r="U142" i="20"/>
  <c r="T142" i="20"/>
  <c r="AC141" i="20"/>
  <c r="AA141" i="20"/>
  <c r="Z141" i="20"/>
  <c r="Y141" i="20"/>
  <c r="X141" i="20"/>
  <c r="V141" i="20"/>
  <c r="U141" i="20"/>
  <c r="T141" i="20"/>
  <c r="AC140" i="20"/>
  <c r="AA140" i="20"/>
  <c r="Z140" i="20"/>
  <c r="Y140" i="20"/>
  <c r="X140" i="20"/>
  <c r="V140" i="20"/>
  <c r="U140" i="20"/>
  <c r="T140" i="20"/>
  <c r="AC131" i="20"/>
  <c r="AA131" i="20"/>
  <c r="Z131" i="20"/>
  <c r="Y131" i="20"/>
  <c r="X131" i="20"/>
  <c r="V131" i="20"/>
  <c r="U131" i="20"/>
  <c r="T131" i="20"/>
  <c r="AC130" i="20"/>
  <c r="AA130" i="20"/>
  <c r="Z130" i="20"/>
  <c r="Y130" i="20"/>
  <c r="X130" i="20"/>
  <c r="V130" i="20"/>
  <c r="U130" i="20"/>
  <c r="T130" i="20"/>
  <c r="AC129" i="20"/>
  <c r="AA129" i="20"/>
  <c r="Z129" i="20"/>
  <c r="Y129" i="20"/>
  <c r="X129" i="20"/>
  <c r="V129" i="20"/>
  <c r="U129" i="20"/>
  <c r="T129" i="20"/>
  <c r="AC128" i="20"/>
  <c r="AA128" i="20"/>
  <c r="Z128" i="20"/>
  <c r="Y128" i="20"/>
  <c r="X128" i="20"/>
  <c r="V128" i="20"/>
  <c r="U128" i="20"/>
  <c r="T128" i="20"/>
  <c r="AC127" i="20"/>
  <c r="AA127" i="20"/>
  <c r="Z127" i="20"/>
  <c r="Y127" i="20"/>
  <c r="X127" i="20"/>
  <c r="V127" i="20"/>
  <c r="U127" i="20"/>
  <c r="T127" i="20"/>
  <c r="AC126" i="20"/>
  <c r="AA126" i="20"/>
  <c r="Z126" i="20"/>
  <c r="Y126" i="20"/>
  <c r="X126" i="20"/>
  <c r="V126" i="20"/>
  <c r="U126" i="20"/>
  <c r="T126" i="20"/>
  <c r="W126" i="20" s="1"/>
  <c r="AC125" i="20"/>
  <c r="AA125" i="20"/>
  <c r="Z125" i="20"/>
  <c r="Y125" i="20"/>
  <c r="X125" i="20"/>
  <c r="V125" i="20"/>
  <c r="U125" i="20"/>
  <c r="T125" i="20"/>
  <c r="W125" i="20" s="1"/>
  <c r="AC116" i="20"/>
  <c r="AA116" i="20"/>
  <c r="Z116" i="20"/>
  <c r="Y116" i="20"/>
  <c r="X116" i="20"/>
  <c r="V116" i="20"/>
  <c r="U116" i="20"/>
  <c r="T116" i="20"/>
  <c r="AC115" i="20"/>
  <c r="AA115" i="20"/>
  <c r="Z115" i="20"/>
  <c r="Y115" i="20"/>
  <c r="X115" i="20"/>
  <c r="V115" i="20"/>
  <c r="U115" i="20"/>
  <c r="T115" i="20"/>
  <c r="AC114" i="20"/>
  <c r="AA114" i="20"/>
  <c r="Z114" i="20"/>
  <c r="Y114" i="20"/>
  <c r="X114" i="20"/>
  <c r="V114" i="20"/>
  <c r="U114" i="20"/>
  <c r="T114" i="20"/>
  <c r="AC113" i="20"/>
  <c r="AA113" i="20"/>
  <c r="Z113" i="20"/>
  <c r="Y113" i="20"/>
  <c r="X113" i="20"/>
  <c r="V113" i="20"/>
  <c r="U113" i="20"/>
  <c r="T113" i="20"/>
  <c r="AC112" i="20"/>
  <c r="AA112" i="20"/>
  <c r="Z112" i="20"/>
  <c r="Y112" i="20"/>
  <c r="X112" i="20"/>
  <c r="V112" i="20"/>
  <c r="U112" i="20"/>
  <c r="T112" i="20"/>
  <c r="AC111" i="20"/>
  <c r="AA111" i="20"/>
  <c r="Z111" i="20"/>
  <c r="Y111" i="20"/>
  <c r="X111" i="20"/>
  <c r="V111" i="20"/>
  <c r="U111" i="20"/>
  <c r="T111" i="20"/>
  <c r="AC110" i="20"/>
  <c r="AA110" i="20"/>
  <c r="Z110" i="20"/>
  <c r="Y110" i="20"/>
  <c r="X110" i="20"/>
  <c r="V110" i="20"/>
  <c r="U110" i="20"/>
  <c r="T110" i="20"/>
  <c r="AC86" i="20"/>
  <c r="AA86" i="20"/>
  <c r="Z86" i="20"/>
  <c r="Y86" i="20"/>
  <c r="X86" i="20"/>
  <c r="V86" i="20"/>
  <c r="U86" i="20"/>
  <c r="T86" i="20"/>
  <c r="W86" i="20" s="1"/>
  <c r="AC85" i="20"/>
  <c r="AA85" i="20"/>
  <c r="Z85" i="20"/>
  <c r="Y85" i="20"/>
  <c r="X85" i="20"/>
  <c r="V85" i="20"/>
  <c r="U85" i="20"/>
  <c r="T85" i="20"/>
  <c r="AC84" i="20"/>
  <c r="AA84" i="20"/>
  <c r="Z84" i="20"/>
  <c r="Y84" i="20"/>
  <c r="X84" i="20"/>
  <c r="V84" i="20"/>
  <c r="U84" i="20"/>
  <c r="T84" i="20"/>
  <c r="AC83" i="20"/>
  <c r="AA83" i="20"/>
  <c r="Z83" i="20"/>
  <c r="Y83" i="20"/>
  <c r="X83" i="20"/>
  <c r="V83" i="20"/>
  <c r="U83" i="20"/>
  <c r="T83" i="20"/>
  <c r="AC82" i="20"/>
  <c r="AA82" i="20"/>
  <c r="Z82" i="20"/>
  <c r="Y82" i="20"/>
  <c r="X82" i="20"/>
  <c r="V82" i="20"/>
  <c r="U82" i="20"/>
  <c r="T82" i="20"/>
  <c r="AC81" i="20"/>
  <c r="AA81" i="20"/>
  <c r="Z81" i="20"/>
  <c r="Y81" i="20"/>
  <c r="X81" i="20"/>
  <c r="V81" i="20"/>
  <c r="U81" i="20"/>
  <c r="T81" i="20"/>
  <c r="AC80" i="20"/>
  <c r="AA80" i="20"/>
  <c r="Z80" i="20"/>
  <c r="Y80" i="20"/>
  <c r="X80" i="20"/>
  <c r="V80" i="20"/>
  <c r="U80" i="20"/>
  <c r="T80" i="20"/>
  <c r="AC36" i="20"/>
  <c r="AC37" i="20"/>
  <c r="AC38" i="20"/>
  <c r="AC39" i="20"/>
  <c r="AC40" i="20"/>
  <c r="AC41" i="20"/>
  <c r="Y36" i="20"/>
  <c r="Z36" i="20"/>
  <c r="AA36" i="20"/>
  <c r="Y37" i="20"/>
  <c r="Z37" i="20"/>
  <c r="AA37" i="20"/>
  <c r="Y38" i="20"/>
  <c r="Z38" i="20"/>
  <c r="AA38" i="20"/>
  <c r="Y39" i="20"/>
  <c r="Z39" i="20"/>
  <c r="AA39" i="20"/>
  <c r="Y40" i="20"/>
  <c r="Z40" i="20"/>
  <c r="AA40" i="20"/>
  <c r="Y41" i="20"/>
  <c r="Z41" i="20"/>
  <c r="AA41" i="20"/>
  <c r="X36" i="20"/>
  <c r="X37" i="20"/>
  <c r="X38" i="20"/>
  <c r="X39" i="20"/>
  <c r="X40" i="20"/>
  <c r="X41" i="20"/>
  <c r="T36" i="20"/>
  <c r="U36" i="20"/>
  <c r="V36" i="20"/>
  <c r="T37" i="20"/>
  <c r="U37" i="20"/>
  <c r="V37" i="20"/>
  <c r="T38" i="20"/>
  <c r="U38" i="20"/>
  <c r="V38" i="20"/>
  <c r="T39" i="20"/>
  <c r="U39" i="20"/>
  <c r="V39" i="20"/>
  <c r="T40" i="20"/>
  <c r="U40" i="20"/>
  <c r="V40" i="20"/>
  <c r="T41" i="20"/>
  <c r="U41" i="20"/>
  <c r="V41" i="20"/>
  <c r="W128" i="20" l="1"/>
  <c r="AB255" i="20"/>
  <c r="W40" i="20"/>
  <c r="W206" i="20"/>
  <c r="W207" i="20"/>
  <c r="W235" i="20"/>
  <c r="W81" i="20"/>
  <c r="W82" i="20"/>
  <c r="W85" i="20"/>
  <c r="W204" i="20"/>
  <c r="W146" i="20"/>
  <c r="W155" i="20"/>
  <c r="AB113" i="20"/>
  <c r="AB207" i="20"/>
  <c r="AB235" i="20"/>
  <c r="AB237" i="20"/>
  <c r="AB189" i="20"/>
  <c r="AB185" i="20"/>
  <c r="AB188" i="20"/>
  <c r="AB145" i="20"/>
  <c r="AB125" i="20"/>
  <c r="AB128" i="20"/>
  <c r="AB40" i="20"/>
  <c r="AB39" i="20"/>
  <c r="W39" i="20"/>
  <c r="W36" i="20"/>
  <c r="W38" i="20"/>
  <c r="AB38" i="20"/>
  <c r="W110" i="20"/>
  <c r="W112" i="20"/>
  <c r="AB131" i="20"/>
  <c r="AB140" i="20"/>
  <c r="AB141" i="20"/>
  <c r="AB144" i="20"/>
  <c r="AB156" i="20"/>
  <c r="W160" i="20"/>
  <c r="AB160" i="20"/>
  <c r="AB204" i="20"/>
  <c r="AB257" i="20"/>
  <c r="AB36" i="20"/>
  <c r="W80" i="20"/>
  <c r="AB82" i="20"/>
  <c r="AB83" i="20"/>
  <c r="W84" i="20"/>
  <c r="AB157" i="20"/>
  <c r="AB158" i="20"/>
  <c r="AB161" i="20"/>
  <c r="AB184" i="20"/>
  <c r="AB187" i="20"/>
  <c r="W201" i="20"/>
  <c r="AB201" i="20"/>
  <c r="W202" i="20"/>
  <c r="AB258" i="20"/>
  <c r="W41" i="20"/>
  <c r="W37" i="20"/>
  <c r="AB41" i="20"/>
  <c r="AB37" i="20"/>
  <c r="AB114" i="20"/>
  <c r="AB115" i="20"/>
  <c r="AB130" i="20"/>
  <c r="W143" i="20"/>
  <c r="AB143" i="20"/>
  <c r="W186" i="20"/>
  <c r="AB206" i="20"/>
  <c r="AB236" i="20"/>
  <c r="AB239" i="20"/>
  <c r="W253" i="20"/>
  <c r="AB253" i="20"/>
  <c r="W83" i="20"/>
  <c r="AB84" i="20"/>
  <c r="AB85" i="20"/>
  <c r="W114" i="20"/>
  <c r="AB116" i="20"/>
  <c r="W127" i="20"/>
  <c r="AB127" i="20"/>
  <c r="W140" i="20"/>
  <c r="AB142" i="20"/>
  <c r="W145" i="20"/>
  <c r="W157" i="20"/>
  <c r="AB159" i="20"/>
  <c r="W185" i="20"/>
  <c r="W188" i="20"/>
  <c r="AB190" i="20"/>
  <c r="W203" i="20"/>
  <c r="AB203" i="20"/>
  <c r="W236" i="20"/>
  <c r="W237" i="20"/>
  <c r="AB252" i="20"/>
  <c r="W255" i="20"/>
  <c r="W258" i="20"/>
  <c r="AB86" i="20"/>
  <c r="W111" i="20"/>
  <c r="W113" i="20"/>
  <c r="W129" i="20"/>
  <c r="W130" i="20"/>
  <c r="W142" i="20"/>
  <c r="W156" i="20"/>
  <c r="W159" i="20"/>
  <c r="W187" i="20"/>
  <c r="W190" i="20"/>
  <c r="W205" i="20"/>
  <c r="AB205" i="20"/>
  <c r="W238" i="20"/>
  <c r="W239" i="20"/>
  <c r="W252" i="20"/>
  <c r="W257" i="20"/>
  <c r="AB111" i="20"/>
  <c r="W116" i="20"/>
  <c r="AB80" i="20"/>
  <c r="AB81" i="20"/>
  <c r="AB110" i="20"/>
  <c r="AB112" i="20"/>
  <c r="W115" i="20"/>
  <c r="AB126" i="20"/>
  <c r="AB129" i="20"/>
  <c r="W131" i="20"/>
  <c r="W141" i="20"/>
  <c r="W144" i="20"/>
  <c r="AB146" i="20"/>
  <c r="AB155" i="20"/>
  <c r="W158" i="20"/>
  <c r="W161" i="20"/>
  <c r="W184" i="20"/>
  <c r="AB186" i="20"/>
  <c r="W189" i="20"/>
  <c r="AB202" i="20"/>
  <c r="AB238" i="20"/>
  <c r="W240" i="20"/>
  <c r="W241" i="20"/>
  <c r="W254" i="20"/>
  <c r="AB256" i="20"/>
  <c r="AC386" i="20"/>
  <c r="AB386" i="20" s="1"/>
  <c r="AC385" i="20"/>
  <c r="AB385" i="20" s="1"/>
  <c r="AC384" i="20"/>
  <c r="AB384" i="20" s="1"/>
  <c r="AC383" i="20"/>
  <c r="AB383" i="20" s="1"/>
  <c r="AC382" i="20"/>
  <c r="AB382" i="20" s="1"/>
  <c r="AC381" i="20"/>
  <c r="AB381" i="20" s="1"/>
  <c r="AC380" i="20"/>
  <c r="AB380" i="20" s="1"/>
  <c r="AC354" i="20"/>
  <c r="AC353" i="20"/>
  <c r="AC352" i="20"/>
  <c r="AC351" i="20"/>
  <c r="AC350" i="20"/>
  <c r="AC349" i="20"/>
  <c r="AC348" i="20"/>
  <c r="AC338" i="20"/>
  <c r="AC337" i="20"/>
  <c r="AC336" i="20"/>
  <c r="AC335" i="20"/>
  <c r="AC334" i="20"/>
  <c r="AC333" i="20"/>
  <c r="AC332" i="20"/>
  <c r="AC322" i="20"/>
  <c r="AC321" i="20"/>
  <c r="AC320" i="20"/>
  <c r="AC319" i="20"/>
  <c r="AC318" i="20"/>
  <c r="AC317" i="20"/>
  <c r="AC316" i="20"/>
  <c r="AC306" i="20"/>
  <c r="AC305" i="20"/>
  <c r="AC304" i="20"/>
  <c r="AC303" i="20"/>
  <c r="AC302" i="20"/>
  <c r="AC301" i="20"/>
  <c r="AC300" i="20"/>
  <c r="AC290" i="20"/>
  <c r="AC289" i="20"/>
  <c r="AC288" i="20"/>
  <c r="AC287" i="20"/>
  <c r="AC286" i="20"/>
  <c r="AC285" i="20"/>
  <c r="AC284" i="20"/>
  <c r="AC274" i="20"/>
  <c r="AC273" i="20"/>
  <c r="AC272" i="20"/>
  <c r="AC271" i="20"/>
  <c r="AC270" i="20"/>
  <c r="AC269" i="20"/>
  <c r="AC268" i="20"/>
  <c r="AC71" i="20"/>
  <c r="AC70" i="20"/>
  <c r="AC69" i="20"/>
  <c r="AC68" i="20"/>
  <c r="AC67" i="20"/>
  <c r="AC66" i="20"/>
  <c r="AC65" i="20"/>
  <c r="AC56" i="20"/>
  <c r="AC55" i="20"/>
  <c r="AC54" i="20"/>
  <c r="AC53" i="20"/>
  <c r="AC52" i="20"/>
  <c r="AC51" i="20"/>
  <c r="AC50" i="20"/>
  <c r="AC35" i="20"/>
  <c r="AC31" i="20"/>
  <c r="AC30" i="20"/>
  <c r="AC29" i="20"/>
  <c r="AC28" i="20"/>
  <c r="AC27" i="20"/>
  <c r="AC26" i="20"/>
  <c r="AC25" i="20"/>
  <c r="AA386" i="20"/>
  <c r="Z386" i="20"/>
  <c r="Y386" i="20"/>
  <c r="X386" i="20"/>
  <c r="W386" i="20" s="1"/>
  <c r="AA385" i="20"/>
  <c r="Z385" i="20"/>
  <c r="Y385" i="20"/>
  <c r="X385" i="20"/>
  <c r="W385" i="20" s="1"/>
  <c r="AA384" i="20"/>
  <c r="Z384" i="20"/>
  <c r="Y384" i="20"/>
  <c r="X384" i="20"/>
  <c r="W384" i="20" s="1"/>
  <c r="AA383" i="20"/>
  <c r="Z383" i="20"/>
  <c r="Y383" i="20"/>
  <c r="X383" i="20"/>
  <c r="W383" i="20" s="1"/>
  <c r="AA382" i="20"/>
  <c r="Z382" i="20"/>
  <c r="Y382" i="20"/>
  <c r="X382" i="20"/>
  <c r="W382" i="20" s="1"/>
  <c r="AA381" i="20"/>
  <c r="Z381" i="20"/>
  <c r="Y381" i="20"/>
  <c r="X381" i="20"/>
  <c r="W381" i="20" s="1"/>
  <c r="AA380" i="20"/>
  <c r="Z380" i="20"/>
  <c r="Y380" i="20"/>
  <c r="X380" i="20"/>
  <c r="W380" i="20" s="1"/>
  <c r="AA354" i="20"/>
  <c r="Z354" i="20"/>
  <c r="Y354" i="20"/>
  <c r="X354" i="20"/>
  <c r="AA353" i="20"/>
  <c r="Z353" i="20"/>
  <c r="Y353" i="20"/>
  <c r="X353" i="20"/>
  <c r="AA352" i="20"/>
  <c r="Z352" i="20"/>
  <c r="Y352" i="20"/>
  <c r="X352" i="20"/>
  <c r="AA351" i="20"/>
  <c r="Z351" i="20"/>
  <c r="Y351" i="20"/>
  <c r="X351" i="20"/>
  <c r="AA350" i="20"/>
  <c r="Z350" i="20"/>
  <c r="Y350" i="20"/>
  <c r="X350" i="20"/>
  <c r="AA349" i="20"/>
  <c r="Z349" i="20"/>
  <c r="Y349" i="20"/>
  <c r="X349" i="20"/>
  <c r="AA348" i="20"/>
  <c r="Z348" i="20"/>
  <c r="Y348" i="20"/>
  <c r="X348" i="20"/>
  <c r="AA338" i="20"/>
  <c r="Z338" i="20"/>
  <c r="Y338" i="20"/>
  <c r="X338" i="20"/>
  <c r="AA337" i="20"/>
  <c r="Z337" i="20"/>
  <c r="Y337" i="20"/>
  <c r="X337" i="20"/>
  <c r="AA336" i="20"/>
  <c r="Z336" i="20"/>
  <c r="Y336" i="20"/>
  <c r="X336" i="20"/>
  <c r="AA335" i="20"/>
  <c r="Z335" i="20"/>
  <c r="Y335" i="20"/>
  <c r="X335" i="20"/>
  <c r="AA334" i="20"/>
  <c r="Z334" i="20"/>
  <c r="Y334" i="20"/>
  <c r="X334" i="20"/>
  <c r="AA333" i="20"/>
  <c r="Z333" i="20"/>
  <c r="Y333" i="20"/>
  <c r="X333" i="20"/>
  <c r="AA332" i="20"/>
  <c r="Z332" i="20"/>
  <c r="Y332" i="20"/>
  <c r="X332" i="20"/>
  <c r="AA322" i="20"/>
  <c r="Z322" i="20"/>
  <c r="Y322" i="20"/>
  <c r="X322" i="20"/>
  <c r="AA321" i="20"/>
  <c r="Z321" i="20"/>
  <c r="Y321" i="20"/>
  <c r="X321" i="20"/>
  <c r="AA320" i="20"/>
  <c r="Z320" i="20"/>
  <c r="Y320" i="20"/>
  <c r="X320" i="20"/>
  <c r="AA319" i="20"/>
  <c r="Z319" i="20"/>
  <c r="Y319" i="20"/>
  <c r="X319" i="20"/>
  <c r="AA318" i="20"/>
  <c r="Z318" i="20"/>
  <c r="Y318" i="20"/>
  <c r="X318" i="20"/>
  <c r="AA317" i="20"/>
  <c r="Z317" i="20"/>
  <c r="Y317" i="20"/>
  <c r="X317" i="20"/>
  <c r="AA316" i="20"/>
  <c r="Z316" i="20"/>
  <c r="Y316" i="20"/>
  <c r="X316" i="20"/>
  <c r="AA306" i="20"/>
  <c r="Z306" i="20"/>
  <c r="Y306" i="20"/>
  <c r="X306" i="20"/>
  <c r="AA305" i="20"/>
  <c r="Z305" i="20"/>
  <c r="Y305" i="20"/>
  <c r="X305" i="20"/>
  <c r="AA304" i="20"/>
  <c r="Z304" i="20"/>
  <c r="Y304" i="20"/>
  <c r="X304" i="20"/>
  <c r="AA303" i="20"/>
  <c r="Z303" i="20"/>
  <c r="Y303" i="20"/>
  <c r="X303" i="20"/>
  <c r="AA302" i="20"/>
  <c r="Z302" i="20"/>
  <c r="Y302" i="20"/>
  <c r="X302" i="20"/>
  <c r="AA301" i="20"/>
  <c r="Z301" i="20"/>
  <c r="Y301" i="20"/>
  <c r="X301" i="20"/>
  <c r="AA300" i="20"/>
  <c r="Z300" i="20"/>
  <c r="Y300" i="20"/>
  <c r="X300" i="20"/>
  <c r="AA290" i="20"/>
  <c r="Z290" i="20"/>
  <c r="Y290" i="20"/>
  <c r="X290" i="20"/>
  <c r="AA289" i="20"/>
  <c r="Z289" i="20"/>
  <c r="Y289" i="20"/>
  <c r="X289" i="20"/>
  <c r="AA288" i="20"/>
  <c r="Z288" i="20"/>
  <c r="Y288" i="20"/>
  <c r="X288" i="20"/>
  <c r="AA287" i="20"/>
  <c r="Z287" i="20"/>
  <c r="Y287" i="20"/>
  <c r="X287" i="20"/>
  <c r="AA286" i="20"/>
  <c r="Z286" i="20"/>
  <c r="Y286" i="20"/>
  <c r="X286" i="20"/>
  <c r="AA285" i="20"/>
  <c r="Z285" i="20"/>
  <c r="Y285" i="20"/>
  <c r="X285" i="20"/>
  <c r="AA284" i="20"/>
  <c r="Z284" i="20"/>
  <c r="Y284" i="20"/>
  <c r="X284" i="20"/>
  <c r="Z274" i="20"/>
  <c r="Y274" i="20"/>
  <c r="X274" i="20"/>
  <c r="Z273" i="20"/>
  <c r="Y273" i="20"/>
  <c r="X273" i="20"/>
  <c r="Z272" i="20"/>
  <c r="Y272" i="20"/>
  <c r="X272" i="20"/>
  <c r="Z271" i="20"/>
  <c r="Y271" i="20"/>
  <c r="X271" i="20"/>
  <c r="Z270" i="20"/>
  <c r="Y270" i="20"/>
  <c r="X270" i="20"/>
  <c r="Z269" i="20"/>
  <c r="Y269" i="20"/>
  <c r="X269" i="20"/>
  <c r="Z268" i="20"/>
  <c r="Y268" i="20"/>
  <c r="X268" i="20"/>
  <c r="AA71" i="20"/>
  <c r="Z71" i="20"/>
  <c r="Y71" i="20"/>
  <c r="X71" i="20"/>
  <c r="AA70" i="20"/>
  <c r="Z70" i="20"/>
  <c r="Y70" i="20"/>
  <c r="X70" i="20"/>
  <c r="AA69" i="20"/>
  <c r="Z69" i="20"/>
  <c r="Y69" i="20"/>
  <c r="X69" i="20"/>
  <c r="AA68" i="20"/>
  <c r="Z68" i="20"/>
  <c r="Y68" i="20"/>
  <c r="X68" i="20"/>
  <c r="AA67" i="20"/>
  <c r="Z67" i="20"/>
  <c r="Y67" i="20"/>
  <c r="X67" i="20"/>
  <c r="AA66" i="20"/>
  <c r="Z66" i="20"/>
  <c r="Y66" i="20"/>
  <c r="X66" i="20"/>
  <c r="AA65" i="20"/>
  <c r="Z65" i="20"/>
  <c r="Y65" i="20"/>
  <c r="X65" i="20"/>
  <c r="Y54" i="20"/>
  <c r="X50" i="20"/>
  <c r="AA56" i="20"/>
  <c r="Z56" i="20"/>
  <c r="Y56" i="20"/>
  <c r="X56" i="20"/>
  <c r="AA55" i="20"/>
  <c r="Z55" i="20"/>
  <c r="Y55" i="20"/>
  <c r="X55" i="20"/>
  <c r="AA54" i="20"/>
  <c r="Z54" i="20"/>
  <c r="X54" i="20"/>
  <c r="AA53" i="20"/>
  <c r="Z53" i="20"/>
  <c r="Y53" i="20"/>
  <c r="X53" i="20"/>
  <c r="AA52" i="20"/>
  <c r="Z52" i="20"/>
  <c r="Y52" i="20"/>
  <c r="X52" i="20"/>
  <c r="AA51" i="20"/>
  <c r="Z51" i="20"/>
  <c r="Y51" i="20"/>
  <c r="X51" i="20"/>
  <c r="AA50" i="20"/>
  <c r="Z50" i="20"/>
  <c r="Y50" i="20"/>
  <c r="AA35" i="20"/>
  <c r="Z35" i="20"/>
  <c r="Y35" i="20"/>
  <c r="X35" i="20"/>
  <c r="AA31" i="20"/>
  <c r="Z31" i="20"/>
  <c r="X31" i="20"/>
  <c r="AA30" i="20"/>
  <c r="Z30" i="20"/>
  <c r="X30" i="20"/>
  <c r="AA29" i="20"/>
  <c r="Z29" i="20"/>
  <c r="X29" i="20"/>
  <c r="AA28" i="20"/>
  <c r="Z28" i="20"/>
  <c r="X28" i="20"/>
  <c r="AA27" i="20"/>
  <c r="Z27" i="20"/>
  <c r="X27" i="20"/>
  <c r="AA26" i="20"/>
  <c r="Z26" i="20"/>
  <c r="X26" i="20"/>
  <c r="AA25" i="20"/>
  <c r="Z25" i="20"/>
  <c r="X25" i="20"/>
  <c r="AA11" i="20"/>
  <c r="X11" i="20"/>
  <c r="V380" i="20"/>
  <c r="U380" i="20"/>
  <c r="T380" i="20"/>
  <c r="V354" i="20"/>
  <c r="U354" i="20"/>
  <c r="T354" i="20"/>
  <c r="V353" i="20"/>
  <c r="U353" i="20"/>
  <c r="T353" i="20"/>
  <c r="V352" i="20"/>
  <c r="U352" i="20"/>
  <c r="T352" i="20"/>
  <c r="V351" i="20"/>
  <c r="U351" i="20"/>
  <c r="T351" i="20"/>
  <c r="V350" i="20"/>
  <c r="U350" i="20"/>
  <c r="T350" i="20"/>
  <c r="V349" i="20"/>
  <c r="U349" i="20"/>
  <c r="T349" i="20"/>
  <c r="V348" i="20"/>
  <c r="U348" i="20"/>
  <c r="T348" i="20"/>
  <c r="V338" i="20"/>
  <c r="U338" i="20"/>
  <c r="T338" i="20"/>
  <c r="V337" i="20"/>
  <c r="U337" i="20"/>
  <c r="T337" i="20"/>
  <c r="V336" i="20"/>
  <c r="U336" i="20"/>
  <c r="T336" i="20"/>
  <c r="V335" i="20"/>
  <c r="U335" i="20"/>
  <c r="T335" i="20"/>
  <c r="V334" i="20"/>
  <c r="U334" i="20"/>
  <c r="T334" i="20"/>
  <c r="V333" i="20"/>
  <c r="U333" i="20"/>
  <c r="T333" i="20"/>
  <c r="V332" i="20"/>
  <c r="U332" i="20"/>
  <c r="T332" i="20"/>
  <c r="V322" i="20"/>
  <c r="U322" i="20"/>
  <c r="T322" i="20"/>
  <c r="V321" i="20"/>
  <c r="U321" i="20"/>
  <c r="T321" i="20"/>
  <c r="V320" i="20"/>
  <c r="U320" i="20"/>
  <c r="T320" i="20"/>
  <c r="V319" i="20"/>
  <c r="U319" i="20"/>
  <c r="T319" i="20"/>
  <c r="V318" i="20"/>
  <c r="U318" i="20"/>
  <c r="T318" i="20"/>
  <c r="V317" i="20"/>
  <c r="U317" i="20"/>
  <c r="T317" i="20"/>
  <c r="V316" i="20"/>
  <c r="U316" i="20"/>
  <c r="T316" i="20"/>
  <c r="V306" i="20"/>
  <c r="U306" i="20"/>
  <c r="T306" i="20"/>
  <c r="V305" i="20"/>
  <c r="U305" i="20"/>
  <c r="T305" i="20"/>
  <c r="V304" i="20"/>
  <c r="U304" i="20"/>
  <c r="T304" i="20"/>
  <c r="V303" i="20"/>
  <c r="U303" i="20"/>
  <c r="T303" i="20"/>
  <c r="V302" i="20"/>
  <c r="U302" i="20"/>
  <c r="T302" i="20"/>
  <c r="V301" i="20"/>
  <c r="U301" i="20"/>
  <c r="T301" i="20"/>
  <c r="V300" i="20"/>
  <c r="U300" i="20"/>
  <c r="T300" i="20"/>
  <c r="V290" i="20"/>
  <c r="U290" i="20"/>
  <c r="T290" i="20"/>
  <c r="V289" i="20"/>
  <c r="U289" i="20"/>
  <c r="T289" i="20"/>
  <c r="V288" i="20"/>
  <c r="U288" i="20"/>
  <c r="T288" i="20"/>
  <c r="V287" i="20"/>
  <c r="U287" i="20"/>
  <c r="T287" i="20"/>
  <c r="V286" i="20"/>
  <c r="U286" i="20"/>
  <c r="T286" i="20"/>
  <c r="V285" i="20"/>
  <c r="U285" i="20"/>
  <c r="T285" i="20"/>
  <c r="V284" i="20"/>
  <c r="U284" i="20"/>
  <c r="T284" i="20"/>
  <c r="U274" i="20"/>
  <c r="T274" i="20"/>
  <c r="U273" i="20"/>
  <c r="T273" i="20"/>
  <c r="U272" i="20"/>
  <c r="T272" i="20"/>
  <c r="U271" i="20"/>
  <c r="T271" i="20"/>
  <c r="U270" i="20"/>
  <c r="T270" i="20"/>
  <c r="U269" i="20"/>
  <c r="T269" i="20"/>
  <c r="U268" i="20"/>
  <c r="T268" i="20"/>
  <c r="V71" i="20"/>
  <c r="U71" i="20"/>
  <c r="T71" i="20"/>
  <c r="V70" i="20"/>
  <c r="U70" i="20"/>
  <c r="T70" i="20"/>
  <c r="V69" i="20"/>
  <c r="U69" i="20"/>
  <c r="T69" i="20"/>
  <c r="V68" i="20"/>
  <c r="U68" i="20"/>
  <c r="T68" i="20"/>
  <c r="V67" i="20"/>
  <c r="U67" i="20"/>
  <c r="T67" i="20"/>
  <c r="V66" i="20"/>
  <c r="U66" i="20"/>
  <c r="T66" i="20"/>
  <c r="V65" i="20"/>
  <c r="U65" i="20"/>
  <c r="T65" i="20"/>
  <c r="V56" i="20"/>
  <c r="U56" i="20"/>
  <c r="T56" i="20"/>
  <c r="V55" i="20"/>
  <c r="U55" i="20"/>
  <c r="T55" i="20"/>
  <c r="V54" i="20"/>
  <c r="U54" i="20"/>
  <c r="T54" i="20"/>
  <c r="V53" i="20"/>
  <c r="U53" i="20"/>
  <c r="T53" i="20"/>
  <c r="V52" i="20"/>
  <c r="U52" i="20"/>
  <c r="T52" i="20"/>
  <c r="V51" i="20"/>
  <c r="U51" i="20"/>
  <c r="T51" i="20"/>
  <c r="V50" i="20"/>
  <c r="U50" i="20"/>
  <c r="T50" i="20"/>
  <c r="V35" i="20"/>
  <c r="U35" i="20"/>
  <c r="T35" i="20"/>
  <c r="U29" i="20"/>
  <c r="V29" i="20"/>
  <c r="V31" i="20"/>
  <c r="U31" i="20"/>
  <c r="V30" i="20"/>
  <c r="U30" i="20"/>
  <c r="V28" i="20"/>
  <c r="U28" i="20"/>
  <c r="V27" i="20"/>
  <c r="U27" i="20"/>
  <c r="V26" i="20"/>
  <c r="U26" i="20"/>
  <c r="V25" i="20"/>
  <c r="U25" i="20"/>
  <c r="U12" i="20"/>
  <c r="V12" i="20"/>
  <c r="U13" i="20"/>
  <c r="V13" i="20"/>
  <c r="U14" i="20"/>
  <c r="V14" i="20"/>
  <c r="U15" i="20"/>
  <c r="V15" i="20"/>
  <c r="U16" i="20"/>
  <c r="V16" i="20"/>
  <c r="U17" i="20"/>
  <c r="V17" i="20"/>
  <c r="AC12" i="20"/>
  <c r="AC13" i="20"/>
  <c r="AC14" i="20"/>
  <c r="AC15" i="20"/>
  <c r="AC16" i="20"/>
  <c r="AC17" i="20"/>
  <c r="AC11" i="20"/>
  <c r="X12" i="20"/>
  <c r="Z12" i="20"/>
  <c r="AA12" i="20"/>
  <c r="X13" i="20"/>
  <c r="Z13" i="20"/>
  <c r="AA13" i="20"/>
  <c r="X14" i="20"/>
  <c r="Z14" i="20"/>
  <c r="AA14" i="20"/>
  <c r="X15" i="20"/>
  <c r="Z15" i="20"/>
  <c r="AA15" i="20"/>
  <c r="X16" i="20"/>
  <c r="Z16" i="20"/>
  <c r="AA16" i="20"/>
  <c r="X17" i="20"/>
  <c r="Z17" i="20"/>
  <c r="AA17" i="20"/>
  <c r="Z11" i="20"/>
  <c r="V11" i="20"/>
  <c r="U11" i="20"/>
  <c r="W35" i="20" l="1"/>
  <c r="AB35" i="20"/>
  <c r="X54" i="4"/>
  <c r="X43" i="4"/>
  <c r="W23" i="4"/>
  <c r="V23" i="4"/>
  <c r="W22" i="4"/>
  <c r="V22" i="4"/>
  <c r="O268" i="20" l="1"/>
  <c r="AA268" i="20" s="1"/>
  <c r="O269" i="20"/>
  <c r="AA269" i="20" s="1"/>
  <c r="O270" i="20"/>
  <c r="AA270" i="20" s="1"/>
  <c r="O271" i="20"/>
  <c r="AA271" i="20" s="1"/>
  <c r="O272" i="20"/>
  <c r="AA272" i="20" s="1"/>
  <c r="O273" i="20"/>
  <c r="AA273" i="20" s="1"/>
  <c r="O274" i="20"/>
  <c r="AA274" i="20" s="1"/>
  <c r="N269" i="20"/>
  <c r="V269" i="20" s="1"/>
  <c r="N270" i="20"/>
  <c r="V270" i="20" s="1"/>
  <c r="N271" i="20"/>
  <c r="V271" i="20" s="1"/>
  <c r="N272" i="20"/>
  <c r="V272" i="20" s="1"/>
  <c r="N273" i="20"/>
  <c r="V273" i="20" s="1"/>
  <c r="N274" i="20"/>
  <c r="V274" i="20" s="1"/>
  <c r="N268" i="20"/>
  <c r="V268" i="20" s="1"/>
  <c r="D25" i="20"/>
  <c r="Y25" i="20" s="1"/>
  <c r="D26" i="20"/>
  <c r="Y26" i="20" s="1"/>
  <c r="D27" i="20"/>
  <c r="Y27" i="20" s="1"/>
  <c r="D28" i="20"/>
  <c r="Y28" i="20" s="1"/>
  <c r="D29" i="20"/>
  <c r="Y29" i="20" s="1"/>
  <c r="D30" i="20"/>
  <c r="Y30" i="20" s="1"/>
  <c r="D31" i="20"/>
  <c r="Y31" i="20" s="1"/>
  <c r="C31" i="20"/>
  <c r="T31" i="20" s="1"/>
  <c r="C30" i="20"/>
  <c r="T30" i="20" s="1"/>
  <c r="C29" i="20"/>
  <c r="T29" i="20" s="1"/>
  <c r="C28" i="20"/>
  <c r="T28" i="20" s="1"/>
  <c r="C27" i="20"/>
  <c r="T27" i="20" s="1"/>
  <c r="C26" i="20"/>
  <c r="T26" i="20" s="1"/>
  <c r="C25" i="20"/>
  <c r="T25" i="20" s="1"/>
  <c r="D11" i="20"/>
  <c r="Y11" i="20" s="1"/>
  <c r="D12" i="20"/>
  <c r="Y12" i="20" s="1"/>
  <c r="D13" i="20"/>
  <c r="Y13" i="20" s="1"/>
  <c r="D14" i="20"/>
  <c r="Y14" i="20" s="1"/>
  <c r="D15" i="20"/>
  <c r="Y15" i="20" s="1"/>
  <c r="D16" i="20"/>
  <c r="Y16" i="20" s="1"/>
  <c r="D17" i="20"/>
  <c r="Y17" i="20" s="1"/>
  <c r="C17" i="20"/>
  <c r="T17" i="20" s="1"/>
  <c r="W17" i="20" s="1"/>
  <c r="C16" i="20"/>
  <c r="T16" i="20" s="1"/>
  <c r="W16" i="20" s="1"/>
  <c r="C15" i="20"/>
  <c r="T15" i="20" s="1"/>
  <c r="W15" i="20" s="1"/>
  <c r="C14" i="20"/>
  <c r="T14" i="20" s="1"/>
  <c r="W14" i="20" s="1"/>
  <c r="C13" i="20"/>
  <c r="T13" i="20" s="1"/>
  <c r="W13" i="20" s="1"/>
  <c r="C12" i="20"/>
  <c r="T12" i="20" s="1"/>
  <c r="W12" i="20" s="1"/>
  <c r="C11" i="20"/>
  <c r="T11" i="20" s="1"/>
  <c r="W11" i="20" s="1"/>
  <c r="DM18" i="36" l="1"/>
  <c r="DB18" i="36"/>
  <c r="CN24" i="36"/>
  <c r="CN18" i="36"/>
  <c r="N40" i="25"/>
  <c r="N41" i="25"/>
  <c r="N42" i="25"/>
  <c r="N43" i="25"/>
  <c r="N44" i="25"/>
  <c r="N45" i="25"/>
  <c r="N46" i="25"/>
  <c r="N47" i="25"/>
  <c r="N48" i="25"/>
  <c r="N49" i="25"/>
  <c r="N50" i="25"/>
  <c r="N51" i="25"/>
  <c r="N52" i="25"/>
  <c r="N53" i="25"/>
  <c r="N54" i="25"/>
  <c r="N55" i="25"/>
  <c r="N56" i="25"/>
  <c r="N57" i="25"/>
  <c r="N58" i="25"/>
  <c r="N59" i="25"/>
  <c r="N60" i="25"/>
  <c r="N61" i="25"/>
  <c r="N62" i="25"/>
  <c r="N63" i="25"/>
  <c r="N64" i="25"/>
  <c r="N65" i="25"/>
  <c r="N66" i="25"/>
  <c r="N67" i="25"/>
  <c r="N68" i="25"/>
  <c r="N69" i="25"/>
  <c r="N70" i="25"/>
  <c r="N71" i="25"/>
  <c r="N72" i="25"/>
  <c r="N73" i="25"/>
  <c r="N74" i="25"/>
  <c r="N75" i="25"/>
  <c r="N76" i="25"/>
  <c r="N77" i="25"/>
  <c r="N78" i="25"/>
  <c r="N79" i="25"/>
  <c r="N80" i="25"/>
  <c r="N81" i="25"/>
  <c r="N82" i="25"/>
  <c r="N83" i="25"/>
  <c r="N84" i="25"/>
  <c r="N85" i="25"/>
  <c r="N86" i="25"/>
  <c r="N87" i="25"/>
  <c r="N88" i="25"/>
  <c r="N89" i="25"/>
  <c r="N90" i="25"/>
  <c r="N91" i="25"/>
  <c r="N92" i="25"/>
  <c r="N93" i="25"/>
  <c r="N94" i="25"/>
  <c r="N95" i="25"/>
  <c r="N96" i="25"/>
  <c r="N97" i="25"/>
  <c r="N98" i="25"/>
  <c r="N99" i="25"/>
  <c r="N100" i="25"/>
  <c r="N101" i="25"/>
  <c r="N102" i="25"/>
  <c r="N103" i="25"/>
  <c r="N104" i="25"/>
  <c r="N105" i="25"/>
  <c r="N106" i="25"/>
  <c r="N107" i="25"/>
  <c r="N108" i="25"/>
  <c r="N109" i="25"/>
  <c r="N110" i="25"/>
  <c r="N111" i="25"/>
  <c r="N112" i="25"/>
  <c r="N113" i="25"/>
  <c r="N114" i="25"/>
  <c r="N115" i="25"/>
  <c r="N116" i="25"/>
  <c r="N117" i="25"/>
  <c r="N118" i="25"/>
  <c r="N119" i="25"/>
  <c r="N120" i="25"/>
  <c r="N121" i="25"/>
  <c r="N122" i="25"/>
  <c r="N123" i="25"/>
  <c r="N124" i="25"/>
  <c r="N125" i="25"/>
  <c r="N126" i="25"/>
  <c r="N127" i="25"/>
  <c r="N128" i="25"/>
  <c r="N129" i="25"/>
  <c r="N130" i="25"/>
  <c r="N131" i="25"/>
  <c r="N132" i="25"/>
  <c r="N133" i="25"/>
  <c r="N134" i="25"/>
  <c r="N135" i="25"/>
  <c r="N138" i="25"/>
  <c r="N139" i="25"/>
  <c r="N140" i="25"/>
  <c r="N141" i="25"/>
  <c r="N142" i="25"/>
  <c r="N143" i="25"/>
  <c r="N144" i="25"/>
  <c r="N145" i="25"/>
  <c r="N146" i="25"/>
  <c r="N147" i="25"/>
  <c r="N148" i="25"/>
  <c r="N149" i="25"/>
  <c r="N150" i="25"/>
  <c r="N151" i="25"/>
  <c r="N152" i="25"/>
  <c r="N153" i="25"/>
  <c r="N154" i="25"/>
  <c r="N155" i="25"/>
  <c r="N156" i="25"/>
  <c r="N157" i="25"/>
  <c r="N158" i="25"/>
  <c r="N159" i="25"/>
  <c r="N160" i="25"/>
  <c r="N161" i="25"/>
  <c r="N162" i="25"/>
  <c r="N163" i="25"/>
  <c r="N164" i="25"/>
  <c r="N165" i="25"/>
  <c r="N166" i="25"/>
  <c r="N167" i="25"/>
  <c r="N168" i="25"/>
  <c r="N169" i="25"/>
  <c r="N170" i="25"/>
  <c r="N174" i="25"/>
  <c r="N175" i="25"/>
  <c r="N176" i="25"/>
  <c r="N177" i="25"/>
  <c r="N178" i="25"/>
  <c r="N179" i="25"/>
  <c r="N180" i="25"/>
  <c r="N181" i="25"/>
  <c r="N182" i="25"/>
  <c r="N183" i="25"/>
  <c r="N184" i="25"/>
  <c r="N185" i="25"/>
  <c r="N186" i="25"/>
  <c r="N187" i="25"/>
  <c r="N188" i="25"/>
  <c r="N189" i="25"/>
  <c r="N190" i="25"/>
  <c r="N191" i="25"/>
  <c r="N192" i="25"/>
  <c r="N193" i="25"/>
  <c r="N194" i="25"/>
  <c r="N195" i="25"/>
  <c r="N199" i="25"/>
  <c r="N200" i="25"/>
  <c r="N201" i="25"/>
  <c r="N202" i="25"/>
  <c r="N203" i="25"/>
  <c r="N204" i="25"/>
  <c r="N205" i="25"/>
  <c r="N206" i="25"/>
  <c r="N207" i="25"/>
  <c r="N208" i="25"/>
  <c r="N209" i="25"/>
  <c r="N210" i="25"/>
  <c r="N211" i="25"/>
  <c r="N212" i="25"/>
  <c r="N213" i="25"/>
  <c r="N214" i="25"/>
  <c r="N215" i="25"/>
  <c r="N216" i="25"/>
  <c r="N217" i="25"/>
  <c r="N218" i="25"/>
  <c r="N219" i="25"/>
  <c r="N220" i="25"/>
  <c r="N221" i="25"/>
  <c r="N222" i="25"/>
  <c r="N223" i="25"/>
  <c r="N224" i="25"/>
  <c r="N228" i="25"/>
  <c r="N229" i="25"/>
  <c r="N230" i="25"/>
  <c r="N231" i="25"/>
  <c r="N232" i="25"/>
  <c r="N233" i="25"/>
  <c r="N234" i="25"/>
  <c r="N235" i="25"/>
  <c r="N236" i="25"/>
  <c r="N237" i="25"/>
  <c r="M237" i="25"/>
  <c r="M223" i="25"/>
  <c r="M224" i="25"/>
  <c r="M225" i="25"/>
  <c r="N225" i="25" s="1"/>
  <c r="M226" i="25"/>
  <c r="N226" i="25" s="1"/>
  <c r="M227" i="25"/>
  <c r="N227" i="25" s="1"/>
  <c r="M228" i="25"/>
  <c r="M229" i="25"/>
  <c r="M230" i="25"/>
  <c r="M231" i="25"/>
  <c r="M232" i="25"/>
  <c r="M233" i="25"/>
  <c r="M234" i="25"/>
  <c r="M235" i="25"/>
  <c r="M236" i="25"/>
  <c r="I173" i="25"/>
  <c r="I172" i="25"/>
  <c r="J47" i="25"/>
  <c r="J46" i="25"/>
  <c r="J45" i="25"/>
  <c r="J44" i="25"/>
  <c r="J40" i="25"/>
  <c r="J39" i="25"/>
  <c r="J38" i="25"/>
  <c r="J37" i="25"/>
  <c r="H69" i="4" l="1"/>
  <c r="F19" i="36" s="1"/>
  <c r="I69" i="4"/>
  <c r="X75" i="4" s="1"/>
  <c r="X69" i="4" l="1"/>
  <c r="Q19" i="36"/>
  <c r="AG11" i="20"/>
  <c r="AG13" i="20"/>
  <c r="C9" i="26" l="1"/>
  <c r="BO18" i="36" l="1"/>
  <c r="AP18" i="36"/>
  <c r="M27" i="24"/>
  <c r="M23" i="24"/>
  <c r="H27" i="24"/>
  <c r="H23" i="24"/>
  <c r="AF11" i="20" l="1"/>
  <c r="F11" i="30"/>
  <c r="F8" i="30"/>
  <c r="G8" i="30" s="1"/>
  <c r="F7" i="30"/>
  <c r="G7" i="30" s="1"/>
  <c r="F12" i="30"/>
  <c r="F10" i="30"/>
  <c r="G10" i="30" s="1"/>
  <c r="F9" i="30"/>
  <c r="G9" i="30" s="1"/>
  <c r="B58" i="28" l="1"/>
  <c r="B57" i="28"/>
  <c r="G17" i="28"/>
  <c r="G16" i="28"/>
  <c r="M69" i="4" l="1"/>
  <c r="M70" i="4"/>
  <c r="M71" i="4"/>
  <c r="M72" i="4"/>
  <c r="M73" i="4"/>
  <c r="L69" i="4"/>
  <c r="L70" i="4"/>
  <c r="L71" i="4"/>
  <c r="L72" i="4"/>
  <c r="L73" i="4"/>
  <c r="I70" i="4"/>
  <c r="I71" i="4"/>
  <c r="I72" i="4"/>
  <c r="I73" i="4"/>
  <c r="H70" i="4"/>
  <c r="H71" i="4"/>
  <c r="H72" i="4"/>
  <c r="H73" i="4"/>
  <c r="X23" i="4"/>
  <c r="F23" i="36" l="1"/>
  <c r="X73" i="4"/>
  <c r="Q23" i="36"/>
  <c r="X79" i="4"/>
  <c r="F22" i="36"/>
  <c r="X72" i="4"/>
  <c r="X78" i="4"/>
  <c r="Q22" i="36"/>
  <c r="X71" i="4"/>
  <c r="F21" i="36"/>
  <c r="X77" i="4"/>
  <c r="Q21" i="36"/>
  <c r="X70" i="4"/>
  <c r="F20" i="36"/>
  <c r="X76" i="4"/>
  <c r="Q20" i="36"/>
  <c r="X22" i="4"/>
  <c r="AQ10" i="20"/>
  <c r="AL10" i="20"/>
  <c r="G11" i="30"/>
  <c r="G12" i="30"/>
  <c r="G13" i="30"/>
  <c r="G14" i="30"/>
  <c r="G15" i="30"/>
  <c r="G16" i="30"/>
  <c r="G17" i="30"/>
  <c r="G18" i="30"/>
  <c r="G19" i="30"/>
  <c r="G20" i="30"/>
  <c r="G21" i="30"/>
  <c r="G22" i="30"/>
  <c r="G23" i="30"/>
  <c r="G24" i="30"/>
  <c r="G25" i="30"/>
  <c r="G26" i="30"/>
  <c r="G27" i="30"/>
  <c r="G28" i="30"/>
  <c r="G29" i="30"/>
  <c r="G30" i="30"/>
  <c r="F13" i="30"/>
  <c r="F14" i="30"/>
  <c r="F15" i="30"/>
  <c r="F16" i="30"/>
  <c r="F17" i="30"/>
  <c r="F18" i="30"/>
  <c r="F19" i="30"/>
  <c r="F20" i="30"/>
  <c r="F21" i="30"/>
  <c r="F22" i="30"/>
  <c r="F23" i="30"/>
  <c r="F24" i="30"/>
  <c r="F25" i="30"/>
  <c r="F26" i="30"/>
  <c r="F27" i="30"/>
  <c r="F28" i="30"/>
  <c r="F29" i="30"/>
  <c r="F30" i="30"/>
  <c r="BU5" i="20"/>
  <c r="H7" i="30" l="1"/>
  <c r="K7" i="30" s="1"/>
  <c r="F15" i="11" s="1"/>
  <c r="H9" i="30"/>
  <c r="H14" i="30"/>
  <c r="H26" i="30"/>
  <c r="H18" i="30"/>
  <c r="H28" i="30"/>
  <c r="H24" i="30"/>
  <c r="H20" i="30"/>
  <c r="H16" i="30"/>
  <c r="H12" i="30"/>
  <c r="H8" i="30"/>
  <c r="H22" i="30"/>
  <c r="H27" i="30"/>
  <c r="H23" i="30"/>
  <c r="H19" i="30"/>
  <c r="H15" i="30"/>
  <c r="H11" i="30"/>
  <c r="H10" i="30"/>
  <c r="H30" i="30"/>
  <c r="H29" i="30"/>
  <c r="H25" i="30"/>
  <c r="H21" i="30"/>
  <c r="H17" i="30"/>
  <c r="H13" i="30"/>
  <c r="F45" i="26" l="1"/>
  <c r="R15" i="26"/>
  <c r="F30" i="11"/>
  <c r="F45" i="11"/>
  <c r="R45" i="26"/>
  <c r="F15" i="26"/>
  <c r="R30" i="11"/>
  <c r="F30" i="26"/>
  <c r="R30" i="26"/>
  <c r="R45" i="11"/>
  <c r="R15" i="11"/>
  <c r="AG363" i="20" l="1"/>
  <c r="AG364" i="20"/>
  <c r="AG365" i="20"/>
  <c r="AG366" i="20"/>
  <c r="AG367" i="20"/>
  <c r="AG368" i="20"/>
  <c r="AG369" i="20"/>
  <c r="AG370" i="20"/>
  <c r="AG371" i="20"/>
  <c r="AG372" i="20"/>
  <c r="AG373" i="20"/>
  <c r="AG374" i="20"/>
  <c r="AG375" i="20"/>
  <c r="AG376" i="20"/>
  <c r="AG377" i="20"/>
  <c r="AG378" i="20"/>
  <c r="AG379" i="20"/>
  <c r="AG380" i="20"/>
  <c r="AG381" i="20"/>
  <c r="AG382" i="20"/>
  <c r="AG383" i="20"/>
  <c r="AG384" i="20"/>
  <c r="AG385" i="20"/>
  <c r="AG386" i="20"/>
  <c r="AG387" i="20"/>
  <c r="AG388" i="20"/>
  <c r="AG389" i="20"/>
  <c r="AG390" i="20"/>
  <c r="AG391" i="20"/>
  <c r="AG392" i="20"/>
  <c r="AG393" i="20"/>
  <c r="AG394" i="20"/>
  <c r="AF363" i="20"/>
  <c r="AF364" i="20"/>
  <c r="AF365" i="20"/>
  <c r="AF366" i="20"/>
  <c r="AF367" i="20"/>
  <c r="AF368" i="20"/>
  <c r="AF369" i="20"/>
  <c r="AF370" i="20"/>
  <c r="AF371" i="20"/>
  <c r="AF372" i="20"/>
  <c r="AF373" i="20"/>
  <c r="AF374" i="20"/>
  <c r="AF375" i="20"/>
  <c r="AF376" i="20"/>
  <c r="AF377" i="20"/>
  <c r="AF378" i="20"/>
  <c r="AF379" i="20"/>
  <c r="AF380" i="20"/>
  <c r="AF381" i="20"/>
  <c r="AF382" i="20"/>
  <c r="AF383" i="20"/>
  <c r="AF384" i="20"/>
  <c r="AF385" i="20"/>
  <c r="AF386" i="20"/>
  <c r="AF387" i="20"/>
  <c r="AF388" i="20"/>
  <c r="AF389" i="20"/>
  <c r="AF390" i="20"/>
  <c r="AF391" i="20"/>
  <c r="AF392" i="20"/>
  <c r="AF393" i="20"/>
  <c r="AF394" i="20"/>
  <c r="AG12" i="20" l="1"/>
  <c r="AG14" i="20"/>
  <c r="AG15" i="20"/>
  <c r="AG16" i="20"/>
  <c r="AG17" i="20"/>
  <c r="AG18" i="20"/>
  <c r="AG19" i="20"/>
  <c r="AG20" i="20"/>
  <c r="AG21" i="20"/>
  <c r="AG22" i="20"/>
  <c r="AG23" i="20"/>
  <c r="AG24" i="20"/>
  <c r="AG25" i="20"/>
  <c r="AG26" i="20"/>
  <c r="AG27" i="20"/>
  <c r="AG28" i="20"/>
  <c r="AG29" i="20"/>
  <c r="AG30" i="20"/>
  <c r="AG31" i="20"/>
  <c r="AG32" i="20"/>
  <c r="AG33" i="20"/>
  <c r="AG34" i="20"/>
  <c r="AG35" i="20"/>
  <c r="AG36" i="20"/>
  <c r="AG37" i="20"/>
  <c r="AG38" i="20"/>
  <c r="AG39" i="20"/>
  <c r="AG40" i="20"/>
  <c r="AG41" i="20"/>
  <c r="AG42" i="20"/>
  <c r="AG43" i="20"/>
  <c r="AG44" i="20"/>
  <c r="AG45" i="20"/>
  <c r="AG46" i="20"/>
  <c r="AG47" i="20"/>
  <c r="AG48" i="20"/>
  <c r="AG49" i="20"/>
  <c r="AG50" i="20"/>
  <c r="AG51" i="20"/>
  <c r="AG52" i="20"/>
  <c r="AG53" i="20"/>
  <c r="AG54" i="20"/>
  <c r="AG55" i="20"/>
  <c r="AG56" i="20"/>
  <c r="AG57" i="20"/>
  <c r="AG58" i="20"/>
  <c r="AG59" i="20"/>
  <c r="AG60" i="20"/>
  <c r="AG61" i="20"/>
  <c r="AG62" i="20"/>
  <c r="AG63" i="20"/>
  <c r="AG64" i="20"/>
  <c r="AG65" i="20"/>
  <c r="AG66" i="20"/>
  <c r="AG67" i="20"/>
  <c r="AG68" i="20"/>
  <c r="AG69" i="20"/>
  <c r="AG70" i="20"/>
  <c r="AG71" i="20"/>
  <c r="AG72" i="20"/>
  <c r="AG73" i="20"/>
  <c r="AG74" i="20"/>
  <c r="AG75" i="20"/>
  <c r="AG76" i="20"/>
  <c r="AG77" i="20"/>
  <c r="AG78" i="20"/>
  <c r="AG79" i="20"/>
  <c r="AG80" i="20"/>
  <c r="AG81" i="20"/>
  <c r="AG82" i="20"/>
  <c r="AG83" i="20"/>
  <c r="AG84" i="20"/>
  <c r="AG85" i="20"/>
  <c r="AG86" i="20"/>
  <c r="AG87" i="20"/>
  <c r="AG88" i="20"/>
  <c r="AG89" i="20"/>
  <c r="AG90" i="20"/>
  <c r="AG91" i="20"/>
  <c r="AG92" i="20"/>
  <c r="AG93" i="20"/>
  <c r="AG94" i="20"/>
  <c r="AG95" i="20"/>
  <c r="AG96" i="20"/>
  <c r="AG97" i="20"/>
  <c r="AG98" i="20"/>
  <c r="AG99" i="20"/>
  <c r="AG100" i="20"/>
  <c r="AG101" i="20"/>
  <c r="AG102" i="20"/>
  <c r="AG103" i="20"/>
  <c r="AG104" i="20"/>
  <c r="AG105" i="20"/>
  <c r="AG106" i="20"/>
  <c r="AG107" i="20"/>
  <c r="AG108" i="20"/>
  <c r="AG109" i="20"/>
  <c r="AG117" i="20"/>
  <c r="AG118" i="20"/>
  <c r="AG119" i="20"/>
  <c r="AG120" i="20"/>
  <c r="AG121" i="20"/>
  <c r="AG122" i="20"/>
  <c r="AG123" i="20"/>
  <c r="AG124" i="20"/>
  <c r="AG132" i="20"/>
  <c r="AG133" i="20"/>
  <c r="AG134" i="20"/>
  <c r="AG135" i="20"/>
  <c r="AG136" i="20"/>
  <c r="AG137" i="20"/>
  <c r="AG138" i="20"/>
  <c r="AG139" i="20"/>
  <c r="AG147" i="20"/>
  <c r="AG148" i="20"/>
  <c r="AG149" i="20"/>
  <c r="AG150" i="20"/>
  <c r="AG151" i="20"/>
  <c r="AG152" i="20"/>
  <c r="AG153" i="20"/>
  <c r="AG154" i="20"/>
  <c r="AG162" i="20"/>
  <c r="AG163" i="20"/>
  <c r="AG164" i="20"/>
  <c r="AG165" i="20"/>
  <c r="AG166" i="20"/>
  <c r="AG167" i="20"/>
  <c r="AG168" i="20"/>
  <c r="AG169" i="20"/>
  <c r="AG170" i="20"/>
  <c r="AG171" i="20"/>
  <c r="AG172" i="20"/>
  <c r="AG173" i="20"/>
  <c r="AG174" i="20"/>
  <c r="AG175" i="20"/>
  <c r="AG176" i="20"/>
  <c r="AG177" i="20"/>
  <c r="AG178" i="20"/>
  <c r="AG179" i="20"/>
  <c r="AG180" i="20"/>
  <c r="AG181" i="20"/>
  <c r="AG182" i="20"/>
  <c r="AG183" i="20"/>
  <c r="AG191" i="20"/>
  <c r="AG192" i="20"/>
  <c r="AG193" i="20"/>
  <c r="AG194" i="20"/>
  <c r="AG195" i="20"/>
  <c r="AG196" i="20"/>
  <c r="AG197" i="20"/>
  <c r="AG198" i="20"/>
  <c r="AG199" i="20"/>
  <c r="AG200" i="20"/>
  <c r="AG201" i="20"/>
  <c r="AG202" i="20"/>
  <c r="AG203" i="20"/>
  <c r="AG204" i="20"/>
  <c r="AG205" i="20"/>
  <c r="AG206" i="20"/>
  <c r="AG207" i="20"/>
  <c r="AG208" i="20"/>
  <c r="AG209" i="20"/>
  <c r="AG210" i="20"/>
  <c r="AG211" i="20"/>
  <c r="AG212" i="20"/>
  <c r="AG213" i="20"/>
  <c r="AG214" i="20"/>
  <c r="AG215" i="20"/>
  <c r="AG216" i="20"/>
  <c r="AG217" i="20"/>
  <c r="AG218" i="20"/>
  <c r="AG219" i="20"/>
  <c r="AG220" i="20"/>
  <c r="AG221" i="20"/>
  <c r="AG222" i="20"/>
  <c r="AG223" i="20"/>
  <c r="AG224" i="20"/>
  <c r="AG225" i="20"/>
  <c r="AG226" i="20"/>
  <c r="AG227" i="20"/>
  <c r="AG228" i="20"/>
  <c r="AG229" i="20"/>
  <c r="AG230" i="20"/>
  <c r="AG231" i="20"/>
  <c r="AG232" i="20"/>
  <c r="AG233" i="20"/>
  <c r="AG234" i="20"/>
  <c r="AG235" i="20"/>
  <c r="AG236" i="20"/>
  <c r="AG237" i="20"/>
  <c r="AG238" i="20"/>
  <c r="AG239" i="20"/>
  <c r="AG240" i="20"/>
  <c r="AG241" i="20"/>
  <c r="AG242" i="20"/>
  <c r="AG243" i="20"/>
  <c r="AG244" i="20"/>
  <c r="AG245" i="20"/>
  <c r="AG246" i="20"/>
  <c r="AG247" i="20"/>
  <c r="AG248" i="20"/>
  <c r="AG249" i="20"/>
  <c r="AG250" i="20"/>
  <c r="AG251" i="20"/>
  <c r="AG252" i="20"/>
  <c r="AG253" i="20"/>
  <c r="AG254" i="20"/>
  <c r="AG255" i="20"/>
  <c r="AG256" i="20"/>
  <c r="AG257" i="20"/>
  <c r="AG258" i="20"/>
  <c r="AG259" i="20"/>
  <c r="AG260" i="20"/>
  <c r="AG261" i="20"/>
  <c r="AG262" i="20"/>
  <c r="AG263" i="20"/>
  <c r="AG264" i="20"/>
  <c r="AG265" i="20"/>
  <c r="AG266" i="20"/>
  <c r="AG267" i="20"/>
  <c r="AG268" i="20"/>
  <c r="AG269" i="20"/>
  <c r="AG270" i="20"/>
  <c r="AG271" i="20"/>
  <c r="AG272" i="20"/>
  <c r="AG273" i="20"/>
  <c r="AG274" i="20"/>
  <c r="AG275" i="20"/>
  <c r="AG276" i="20"/>
  <c r="AG277" i="20"/>
  <c r="AG278" i="20"/>
  <c r="AG279" i="20"/>
  <c r="AG280" i="20"/>
  <c r="AG281" i="20"/>
  <c r="AG282" i="20"/>
  <c r="AG283" i="20"/>
  <c r="AG284" i="20"/>
  <c r="AG285" i="20"/>
  <c r="AG286" i="20"/>
  <c r="AG287" i="20"/>
  <c r="AG288" i="20"/>
  <c r="AG289" i="20"/>
  <c r="AG290" i="20"/>
  <c r="AG291" i="20"/>
  <c r="AG292" i="20"/>
  <c r="AG293" i="20"/>
  <c r="AG294" i="20"/>
  <c r="AG295" i="20"/>
  <c r="AG296" i="20"/>
  <c r="AG297" i="20"/>
  <c r="AG298" i="20"/>
  <c r="AG299" i="20"/>
  <c r="AG300" i="20"/>
  <c r="AG301" i="20"/>
  <c r="AG302" i="20"/>
  <c r="AG303" i="20"/>
  <c r="AG304" i="20"/>
  <c r="AG305" i="20"/>
  <c r="AG306" i="20"/>
  <c r="AG307" i="20"/>
  <c r="AG308" i="20"/>
  <c r="AG309" i="20"/>
  <c r="AG310" i="20"/>
  <c r="AG311" i="20"/>
  <c r="AG312" i="20"/>
  <c r="AG313" i="20"/>
  <c r="AG314" i="20"/>
  <c r="AG315" i="20"/>
  <c r="AG316" i="20"/>
  <c r="AG317" i="20"/>
  <c r="AG318" i="20"/>
  <c r="AG319" i="20"/>
  <c r="AG320" i="20"/>
  <c r="AG321" i="20"/>
  <c r="AG322" i="20"/>
  <c r="AG323" i="20"/>
  <c r="AG324" i="20"/>
  <c r="AG325" i="20"/>
  <c r="AG326" i="20"/>
  <c r="AG327" i="20"/>
  <c r="AG328" i="20"/>
  <c r="AG329" i="20"/>
  <c r="AG330" i="20"/>
  <c r="AG331" i="20"/>
  <c r="AG332" i="20"/>
  <c r="AG333" i="20"/>
  <c r="AG334" i="20"/>
  <c r="AG335" i="20"/>
  <c r="AG336" i="20"/>
  <c r="AG337" i="20"/>
  <c r="AG338" i="20"/>
  <c r="AG339" i="20"/>
  <c r="AG340" i="20"/>
  <c r="AG341" i="20"/>
  <c r="AG342" i="20"/>
  <c r="AG343" i="20"/>
  <c r="AG344" i="20"/>
  <c r="AG345" i="20"/>
  <c r="AG346" i="20"/>
  <c r="AG347" i="20"/>
  <c r="AG348" i="20"/>
  <c r="AG349" i="20"/>
  <c r="AG350" i="20"/>
  <c r="AG351" i="20"/>
  <c r="AG352" i="20"/>
  <c r="AG353" i="20"/>
  <c r="AG354" i="20"/>
  <c r="AG355" i="20"/>
  <c r="AG356" i="20"/>
  <c r="AG357" i="20"/>
  <c r="AG358" i="20"/>
  <c r="AG359" i="20"/>
  <c r="AG360" i="20"/>
  <c r="AG361" i="20"/>
  <c r="AG362"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53" i="20"/>
  <c r="AF54" i="20"/>
  <c r="AF55" i="20"/>
  <c r="AF56" i="20"/>
  <c r="AF57" i="20"/>
  <c r="AF58" i="20"/>
  <c r="AF59" i="20"/>
  <c r="AF60" i="20"/>
  <c r="AF61" i="20"/>
  <c r="AF62" i="20"/>
  <c r="AF63" i="20"/>
  <c r="AF64" i="20"/>
  <c r="AF65" i="20"/>
  <c r="AF66"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G110" i="20" s="1"/>
  <c r="AF111" i="20"/>
  <c r="AG111" i="20" s="1"/>
  <c r="AF112" i="20"/>
  <c r="AG112" i="20" s="1"/>
  <c r="AF113" i="20"/>
  <c r="AG113" i="20" s="1"/>
  <c r="AF114" i="20"/>
  <c r="AG114" i="20" s="1"/>
  <c r="AF115" i="20"/>
  <c r="AG115" i="20" s="1"/>
  <c r="AF116" i="20"/>
  <c r="AG116" i="20" s="1"/>
  <c r="AF117" i="20"/>
  <c r="AF118" i="20"/>
  <c r="AF119" i="20"/>
  <c r="AF120" i="20"/>
  <c r="AF121" i="20"/>
  <c r="AF122" i="20"/>
  <c r="AF123" i="20"/>
  <c r="AF124" i="20"/>
  <c r="AF125" i="20"/>
  <c r="AG125" i="20" s="1"/>
  <c r="AF126" i="20"/>
  <c r="AG126" i="20" s="1"/>
  <c r="AF127" i="20"/>
  <c r="AG127" i="20" s="1"/>
  <c r="AF128" i="20"/>
  <c r="AG128" i="20" s="1"/>
  <c r="AF129" i="20"/>
  <c r="AG129" i="20" s="1"/>
  <c r="AF130" i="20"/>
  <c r="AG130" i="20" s="1"/>
  <c r="AF131" i="20"/>
  <c r="AG131" i="20" s="1"/>
  <c r="AF132" i="20"/>
  <c r="AF133" i="20"/>
  <c r="AF134" i="20"/>
  <c r="AF135" i="20"/>
  <c r="AF136" i="20"/>
  <c r="AF137" i="20"/>
  <c r="AF138" i="20"/>
  <c r="AF139" i="20"/>
  <c r="AF140" i="20"/>
  <c r="AG140" i="20" s="1"/>
  <c r="AF141" i="20"/>
  <c r="AG141" i="20" s="1"/>
  <c r="AF142" i="20"/>
  <c r="AG142" i="20" s="1"/>
  <c r="AF143" i="20"/>
  <c r="AG143" i="20" s="1"/>
  <c r="AF144" i="20"/>
  <c r="AG144" i="20" s="1"/>
  <c r="AF145" i="20"/>
  <c r="AG145" i="20" s="1"/>
  <c r="AF146" i="20"/>
  <c r="AG146" i="20" s="1"/>
  <c r="AF147" i="20"/>
  <c r="AF148" i="20"/>
  <c r="AF149" i="20"/>
  <c r="AF150" i="20"/>
  <c r="AF151" i="20"/>
  <c r="AF152" i="20"/>
  <c r="AF153" i="20"/>
  <c r="AF154" i="20"/>
  <c r="AF155" i="20"/>
  <c r="AG155" i="20" s="1"/>
  <c r="AF156" i="20"/>
  <c r="AG156" i="20" s="1"/>
  <c r="AF157" i="20"/>
  <c r="AG157" i="20" s="1"/>
  <c r="AF158" i="20"/>
  <c r="AG158" i="20" s="1"/>
  <c r="AF159" i="20"/>
  <c r="AG159" i="20" s="1"/>
  <c r="AF160" i="20"/>
  <c r="AG160" i="20" s="1"/>
  <c r="AF161" i="20"/>
  <c r="AG161" i="20" s="1"/>
  <c r="AF162" i="20"/>
  <c r="AF163" i="20"/>
  <c r="AF164" i="20"/>
  <c r="AF165" i="20"/>
  <c r="AF166" i="20"/>
  <c r="AF167" i="20"/>
  <c r="AF168" i="20"/>
  <c r="AF169" i="20"/>
  <c r="AF170" i="20"/>
  <c r="AF171" i="20"/>
  <c r="AF172" i="20"/>
  <c r="AF173" i="20"/>
  <c r="AF174" i="20"/>
  <c r="AF175" i="20"/>
  <c r="AF176" i="20"/>
  <c r="AF177" i="20"/>
  <c r="AF178" i="20"/>
  <c r="AF179" i="20"/>
  <c r="AF180" i="20"/>
  <c r="AF181" i="20"/>
  <c r="AF182" i="20"/>
  <c r="AF183" i="20"/>
  <c r="AF184" i="20"/>
  <c r="AG184" i="20" s="1"/>
  <c r="AF185" i="20"/>
  <c r="AG185" i="20" s="1"/>
  <c r="AF186" i="20"/>
  <c r="AG186" i="20" s="1"/>
  <c r="AF187" i="20"/>
  <c r="AG187" i="20" s="1"/>
  <c r="AF188" i="20"/>
  <c r="AG188" i="20" s="1"/>
  <c r="AF189" i="20"/>
  <c r="AG189" i="20" s="1"/>
  <c r="AF190" i="20"/>
  <c r="AG190" i="20" s="1"/>
  <c r="AF191" i="20"/>
  <c r="AF192" i="20"/>
  <c r="AF193" i="20"/>
  <c r="AF194" i="20"/>
  <c r="AF195" i="20"/>
  <c r="AF196" i="20"/>
  <c r="AF197" i="20"/>
  <c r="AF198" i="20"/>
  <c r="AF199" i="20"/>
  <c r="AF200" i="20"/>
  <c r="AF201" i="20"/>
  <c r="AF202" i="20"/>
  <c r="AF203" i="20"/>
  <c r="AF204" i="20"/>
  <c r="AF205" i="20"/>
  <c r="AF206" i="20"/>
  <c r="AF207" i="20"/>
  <c r="AF208" i="20"/>
  <c r="AF209" i="20"/>
  <c r="AF210" i="20"/>
  <c r="AF211" i="20"/>
  <c r="AF212" i="20"/>
  <c r="AF213" i="20"/>
  <c r="AF214" i="20"/>
  <c r="AF215" i="20"/>
  <c r="AF216" i="20"/>
  <c r="AF217" i="20"/>
  <c r="AF218" i="20"/>
  <c r="AF219" i="20"/>
  <c r="AF220" i="20"/>
  <c r="AF221" i="20"/>
  <c r="AF222" i="20"/>
  <c r="AF223" i="20"/>
  <c r="AF224" i="20"/>
  <c r="AF225" i="20"/>
  <c r="AF226" i="20"/>
  <c r="AF227" i="20"/>
  <c r="AF228" i="20"/>
  <c r="AF229" i="20"/>
  <c r="AF230" i="20"/>
  <c r="AF231" i="20"/>
  <c r="AF232" i="20"/>
  <c r="AF233" i="20"/>
  <c r="AF234" i="20"/>
  <c r="AF235" i="20"/>
  <c r="AF236" i="20"/>
  <c r="AF237" i="20"/>
  <c r="AF238" i="20"/>
  <c r="AF239" i="20"/>
  <c r="AF240" i="20"/>
  <c r="AF241" i="20"/>
  <c r="AF242" i="20"/>
  <c r="AF243" i="20"/>
  <c r="AF244" i="20"/>
  <c r="AF245" i="20"/>
  <c r="AF246" i="20"/>
  <c r="AF247" i="20"/>
  <c r="AF248" i="20"/>
  <c r="AF249" i="20"/>
  <c r="AF250" i="20"/>
  <c r="AF251" i="20"/>
  <c r="AF252" i="20"/>
  <c r="AF253" i="20"/>
  <c r="AF254" i="20"/>
  <c r="AF255" i="20"/>
  <c r="AF256" i="20"/>
  <c r="AF257" i="20"/>
  <c r="AF258" i="20"/>
  <c r="AF259" i="20"/>
  <c r="AF260" i="20"/>
  <c r="AF261" i="20"/>
  <c r="AF262" i="20"/>
  <c r="AF263" i="20"/>
  <c r="AF264" i="20"/>
  <c r="AF265" i="20"/>
  <c r="AF266" i="20"/>
  <c r="AF267" i="20"/>
  <c r="AF268" i="20"/>
  <c r="AF269" i="20"/>
  <c r="AF270" i="20"/>
  <c r="AF271" i="20"/>
  <c r="AF272" i="20"/>
  <c r="AF273" i="20"/>
  <c r="AF274" i="20"/>
  <c r="AF275" i="20"/>
  <c r="AF276" i="20"/>
  <c r="AF277" i="20"/>
  <c r="AF278" i="20"/>
  <c r="AF279" i="20"/>
  <c r="AF280" i="20"/>
  <c r="AF281" i="20"/>
  <c r="AF282" i="20"/>
  <c r="AF283" i="20"/>
  <c r="AF284" i="20"/>
  <c r="AF285" i="20"/>
  <c r="AF286" i="20"/>
  <c r="AF287" i="20"/>
  <c r="AF288" i="20"/>
  <c r="AF289" i="20"/>
  <c r="AF290" i="20"/>
  <c r="AF291" i="20"/>
  <c r="AF292" i="20"/>
  <c r="AF293" i="20"/>
  <c r="AF294" i="20"/>
  <c r="AF295" i="20"/>
  <c r="AF296" i="20"/>
  <c r="AF297" i="20"/>
  <c r="AF298" i="20"/>
  <c r="AF299" i="20"/>
  <c r="AF300" i="20"/>
  <c r="AF301" i="20"/>
  <c r="AF302" i="20"/>
  <c r="AF303" i="20"/>
  <c r="AF304" i="20"/>
  <c r="AF305" i="20"/>
  <c r="AF306" i="20"/>
  <c r="AF307" i="20"/>
  <c r="AF308" i="20"/>
  <c r="AF309" i="20"/>
  <c r="AF310" i="20"/>
  <c r="AF311" i="20"/>
  <c r="AF312" i="20"/>
  <c r="AF313" i="20"/>
  <c r="AF314" i="20"/>
  <c r="AF315" i="20"/>
  <c r="AF316" i="20"/>
  <c r="AF317" i="20"/>
  <c r="AF318" i="20"/>
  <c r="AF319" i="20"/>
  <c r="AF320" i="20"/>
  <c r="AF321" i="20"/>
  <c r="AF322" i="20"/>
  <c r="AF323" i="20"/>
  <c r="AF324" i="20"/>
  <c r="AF325" i="20"/>
  <c r="AF326" i="20"/>
  <c r="AF327" i="20"/>
  <c r="AF328" i="20"/>
  <c r="AF329" i="20"/>
  <c r="AF330" i="20"/>
  <c r="AF331" i="20"/>
  <c r="AF332" i="20"/>
  <c r="AF333" i="20"/>
  <c r="AF334" i="20"/>
  <c r="AF335" i="20"/>
  <c r="AF336" i="20"/>
  <c r="AF337" i="20"/>
  <c r="AF338" i="20"/>
  <c r="AF339" i="20"/>
  <c r="AF340" i="20"/>
  <c r="AF341" i="20"/>
  <c r="AF342" i="20"/>
  <c r="AF343" i="20"/>
  <c r="AF344" i="20"/>
  <c r="AF345" i="20"/>
  <c r="AF346" i="20"/>
  <c r="AF347" i="20"/>
  <c r="AF348" i="20"/>
  <c r="AF349" i="20"/>
  <c r="AF350" i="20"/>
  <c r="AF351" i="20"/>
  <c r="AF352" i="20"/>
  <c r="AF353" i="20"/>
  <c r="AF354" i="20"/>
  <c r="AF355" i="20"/>
  <c r="AF356" i="20"/>
  <c r="AF357" i="20"/>
  <c r="AF358" i="20"/>
  <c r="AF359" i="20"/>
  <c r="AF360" i="20"/>
  <c r="AF361" i="20"/>
  <c r="AF362" i="20"/>
  <c r="AH17" i="20" l="1"/>
  <c r="AH16" i="20"/>
  <c r="AH11" i="20"/>
  <c r="M38" i="25"/>
  <c r="N38" i="25" s="1"/>
  <c r="M39" i="25"/>
  <c r="N39" i="25" s="1"/>
  <c r="M40" i="25"/>
  <c r="M41" i="25"/>
  <c r="M42" i="25"/>
  <c r="M43" i="25"/>
  <c r="M44" i="25"/>
  <c r="M45" i="25"/>
  <c r="M46" i="25"/>
  <c r="M47" i="25"/>
  <c r="M48" i="25"/>
  <c r="M49" i="25"/>
  <c r="M50" i="25"/>
  <c r="M51" i="25"/>
  <c r="M52" i="25"/>
  <c r="M53" i="25"/>
  <c r="M54" i="25"/>
  <c r="M55" i="25"/>
  <c r="M56" i="25"/>
  <c r="M57" i="25"/>
  <c r="M58" i="25"/>
  <c r="M59" i="25"/>
  <c r="M60" i="25"/>
  <c r="M61" i="25"/>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103" i="25"/>
  <c r="M104" i="25"/>
  <c r="M105" i="25"/>
  <c r="M106" i="25"/>
  <c r="M107" i="25"/>
  <c r="M108" i="25"/>
  <c r="M109" i="25"/>
  <c r="M110" i="25"/>
  <c r="M111" i="25"/>
  <c r="M112" i="25"/>
  <c r="M113" i="25"/>
  <c r="M114" i="25"/>
  <c r="M115" i="25"/>
  <c r="M116" i="25"/>
  <c r="M117" i="25"/>
  <c r="M118" i="25"/>
  <c r="M119" i="25"/>
  <c r="M120" i="25"/>
  <c r="M121" i="25"/>
  <c r="M122" i="25"/>
  <c r="M123" i="25"/>
  <c r="M124" i="25"/>
  <c r="M125" i="25"/>
  <c r="M126" i="25"/>
  <c r="M127" i="25"/>
  <c r="M128" i="25"/>
  <c r="M129" i="25"/>
  <c r="M130" i="25"/>
  <c r="M131" i="25"/>
  <c r="M132" i="25"/>
  <c r="M133" i="25"/>
  <c r="M134" i="25"/>
  <c r="M135" i="25"/>
  <c r="M136" i="25"/>
  <c r="N136" i="25" s="1"/>
  <c r="M137" i="25"/>
  <c r="N137" i="25" s="1"/>
  <c r="M138" i="25"/>
  <c r="M139" i="25"/>
  <c r="M140" i="25"/>
  <c r="M141" i="25"/>
  <c r="M142" i="25"/>
  <c r="M143" i="25"/>
  <c r="M144" i="25"/>
  <c r="M145" i="25"/>
  <c r="M146" i="25"/>
  <c r="M147" i="25"/>
  <c r="M148" i="25"/>
  <c r="M149" i="25"/>
  <c r="M150" i="25"/>
  <c r="M151" i="25"/>
  <c r="M152" i="25"/>
  <c r="M153" i="25"/>
  <c r="M154" i="25"/>
  <c r="M155" i="25"/>
  <c r="M156" i="25"/>
  <c r="M157" i="25"/>
  <c r="M158" i="25"/>
  <c r="M159" i="25"/>
  <c r="M160" i="25"/>
  <c r="M161" i="25"/>
  <c r="M162" i="25"/>
  <c r="M163" i="25"/>
  <c r="M164" i="25"/>
  <c r="M165" i="25"/>
  <c r="M166" i="25"/>
  <c r="M167" i="25"/>
  <c r="M168" i="25"/>
  <c r="M169" i="25"/>
  <c r="M170" i="25"/>
  <c r="M171" i="25"/>
  <c r="N171" i="25" s="1"/>
  <c r="M172" i="25"/>
  <c r="N172" i="25" s="1"/>
  <c r="M173" i="25"/>
  <c r="N173" i="25" s="1"/>
  <c r="M174" i="25"/>
  <c r="M175" i="25"/>
  <c r="M176" i="25"/>
  <c r="M177" i="25"/>
  <c r="M178" i="25"/>
  <c r="M179" i="25"/>
  <c r="M180" i="25"/>
  <c r="M181" i="25"/>
  <c r="M182" i="25"/>
  <c r="M183" i="25"/>
  <c r="M184" i="25"/>
  <c r="M185" i="25"/>
  <c r="M186" i="25"/>
  <c r="M187" i="25"/>
  <c r="M188" i="25"/>
  <c r="M189" i="25"/>
  <c r="M190" i="25"/>
  <c r="M191" i="25"/>
  <c r="M192" i="25"/>
  <c r="M193" i="25"/>
  <c r="M194" i="25"/>
  <c r="M195" i="25"/>
  <c r="M196" i="25"/>
  <c r="N196" i="25" s="1"/>
  <c r="M197" i="25"/>
  <c r="N197" i="25" s="1"/>
  <c r="M198" i="25"/>
  <c r="N198" i="25" s="1"/>
  <c r="M199" i="25"/>
  <c r="M200" i="25"/>
  <c r="M201" i="25"/>
  <c r="M202" i="25"/>
  <c r="M203" i="25"/>
  <c r="M204" i="25"/>
  <c r="M205" i="25"/>
  <c r="M206" i="25"/>
  <c r="M207" i="25"/>
  <c r="M208" i="25"/>
  <c r="M209" i="25"/>
  <c r="M210" i="25"/>
  <c r="M211" i="25"/>
  <c r="M212" i="25"/>
  <c r="M213" i="25"/>
  <c r="M214" i="25"/>
  <c r="M215" i="25"/>
  <c r="M216" i="25"/>
  <c r="M217" i="25"/>
  <c r="M218" i="25"/>
  <c r="M219" i="25"/>
  <c r="M220" i="25"/>
  <c r="M221" i="25"/>
  <c r="M222" i="25"/>
  <c r="AK11" i="20" l="1" a="1"/>
  <c r="AK11" i="20" s="1"/>
  <c r="AO11" i="20" a="1"/>
  <c r="AO11" i="20" s="1"/>
  <c r="AS11" i="20" a="1"/>
  <c r="AS11" i="20" s="1"/>
  <c r="AQ11" i="20" a="1"/>
  <c r="AQ11" i="20" s="1"/>
  <c r="AN11" i="20" a="1"/>
  <c r="AN11" i="20" s="1"/>
  <c r="AV11" i="20" a="1"/>
  <c r="AV11" i="20" s="1"/>
  <c r="B55" i="28" s="1"/>
  <c r="AL11" i="20" a="1"/>
  <c r="AL11" i="20" s="1"/>
  <c r="AP11" i="20" a="1"/>
  <c r="AP11" i="20" s="1"/>
  <c r="AT11" i="20" a="1"/>
  <c r="AT11" i="20" s="1"/>
  <c r="AM11" i="20" a="1"/>
  <c r="AM11" i="20" s="1"/>
  <c r="AU11" i="20" a="1"/>
  <c r="AU11" i="20" s="1"/>
  <c r="AR11" i="20" a="1"/>
  <c r="AR11" i="20" s="1"/>
  <c r="AM16" i="20" a="1"/>
  <c r="AM16" i="20" s="1"/>
  <c r="AQ16" i="20" a="1"/>
  <c r="AQ16" i="20" s="1"/>
  <c r="AU16" i="20" a="1"/>
  <c r="AU16" i="20" s="1"/>
  <c r="AK16" i="20" a="1"/>
  <c r="AK16" i="20" s="1"/>
  <c r="AO16" i="20" a="1"/>
  <c r="AO16" i="20" s="1"/>
  <c r="AN16" i="20" a="1"/>
  <c r="AN16" i="20" s="1"/>
  <c r="AR16" i="20" a="1"/>
  <c r="AR16" i="20" s="1"/>
  <c r="AV16" i="20" a="1"/>
  <c r="AV16" i="20" s="1"/>
  <c r="AL16" i="20" a="1"/>
  <c r="AL16" i="20" s="1"/>
  <c r="AS16" i="20" a="1"/>
  <c r="AS16" i="20" s="1"/>
  <c r="AP16" i="20" a="1"/>
  <c r="AP16" i="20" s="1"/>
  <c r="AT16" i="20" a="1"/>
  <c r="AT16" i="20" s="1"/>
  <c r="AP17" i="20" a="1"/>
  <c r="AP17" i="20" s="1"/>
  <c r="AS17" i="20" a="1"/>
  <c r="AS17" i="20" s="1"/>
  <c r="AR17" i="20" a="1"/>
  <c r="AR17" i="20" s="1"/>
  <c r="AM17" i="20" a="1"/>
  <c r="AM17" i="20" s="1"/>
  <c r="AQ17" i="20" a="1"/>
  <c r="AQ17" i="20" s="1"/>
  <c r="AT17" i="20" a="1"/>
  <c r="AT17" i="20" s="1"/>
  <c r="AN17" i="20" a="1"/>
  <c r="AN17" i="20" s="1"/>
  <c r="AU17" i="20" a="1"/>
  <c r="AU17" i="20" s="1"/>
  <c r="AK17" i="20" a="1"/>
  <c r="AK17" i="20" s="1"/>
  <c r="AL17" i="20" a="1"/>
  <c r="AL17" i="20" s="1"/>
  <c r="AO17" i="20" a="1"/>
  <c r="AO17" i="20" s="1"/>
  <c r="AV17" i="20" a="1"/>
  <c r="AV17" i="20" s="1"/>
  <c r="T72" i="1" l="1"/>
  <c r="T73" i="1" l="1"/>
  <c r="T74" i="1"/>
  <c r="T75" i="1"/>
  <c r="T76" i="1"/>
  <c r="T71" i="1"/>
  <c r="F32" i="1" l="1"/>
  <c r="F28" i="28" s="1"/>
  <c r="F26" i="1"/>
  <c r="F23" i="28" s="1"/>
  <c r="D52" i="4"/>
  <c r="D41" i="4"/>
  <c r="I73" i="1"/>
  <c r="S45" i="26" l="1"/>
  <c r="G45" i="26"/>
  <c r="S15" i="26"/>
  <c r="T15" i="26" s="1"/>
  <c r="W15" i="26" s="1"/>
  <c r="G15" i="26"/>
  <c r="H15" i="26" s="1"/>
  <c r="K15" i="26" s="1"/>
  <c r="S30" i="26"/>
  <c r="G30" i="26"/>
  <c r="S45" i="11"/>
  <c r="G45" i="11"/>
  <c r="S30" i="11"/>
  <c r="G30" i="11"/>
  <c r="S15" i="11"/>
  <c r="G15" i="11"/>
  <c r="H45" i="26" l="1"/>
  <c r="K45" i="26" s="1"/>
  <c r="M45" i="26" s="1"/>
  <c r="T45" i="26"/>
  <c r="W45" i="26" s="1"/>
  <c r="Y45" i="26" s="1"/>
  <c r="H30" i="26"/>
  <c r="K30" i="26" s="1"/>
  <c r="L30" i="26" s="1"/>
  <c r="H15" i="11"/>
  <c r="K15" i="11" s="1"/>
  <c r="L15" i="11" s="1"/>
  <c r="T15" i="11"/>
  <c r="W15" i="11" s="1"/>
  <c r="Y15" i="11" s="1"/>
  <c r="T30" i="11"/>
  <c r="W30" i="11" s="1"/>
  <c r="Y30" i="11" s="1"/>
  <c r="T45" i="11"/>
  <c r="W45" i="11" s="1"/>
  <c r="X45" i="11" s="1"/>
  <c r="T30" i="26"/>
  <c r="W30" i="26" s="1"/>
  <c r="X30" i="26" s="1"/>
  <c r="H30" i="11"/>
  <c r="K30" i="11" s="1"/>
  <c r="L30" i="11" s="1"/>
  <c r="H45" i="11"/>
  <c r="K45" i="11" s="1"/>
  <c r="M45" i="11" s="1"/>
  <c r="X15" i="26"/>
  <c r="Y15" i="26"/>
  <c r="M15" i="26"/>
  <c r="L15" i="26"/>
  <c r="X45" i="26" l="1"/>
  <c r="X30" i="11"/>
  <c r="X15" i="11"/>
  <c r="M15" i="11"/>
  <c r="M30" i="26"/>
  <c r="Y45" i="11"/>
  <c r="L45" i="26"/>
  <c r="M30" i="11"/>
  <c r="Y30" i="26"/>
  <c r="L45" i="11"/>
  <c r="L68" i="4" l="1"/>
  <c r="F12" i="11" s="1"/>
  <c r="AR46" i="26" l="1"/>
  <c r="AU46" i="26" s="1"/>
  <c r="AV46" i="26" s="1"/>
  <c r="AK46" i="26"/>
  <c r="AJ46" i="26"/>
  <c r="AI46" i="26"/>
  <c r="AF46" i="26"/>
  <c r="AR44" i="26"/>
  <c r="AU44" i="26" s="1"/>
  <c r="AV44" i="26" s="1"/>
  <c r="AK44" i="26"/>
  <c r="AJ44" i="26"/>
  <c r="AI44" i="26"/>
  <c r="AF44" i="26"/>
  <c r="AD44" i="26"/>
  <c r="AR43" i="26"/>
  <c r="AU43" i="26" s="1"/>
  <c r="AK43" i="26"/>
  <c r="AJ43" i="26"/>
  <c r="AI43" i="26"/>
  <c r="AF43" i="26"/>
  <c r="AD43" i="26"/>
  <c r="AT42" i="26"/>
  <c r="AR42" i="26"/>
  <c r="AU42" i="26" s="1"/>
  <c r="AK42" i="26"/>
  <c r="AJ42" i="26"/>
  <c r="AI42" i="26"/>
  <c r="AH42" i="26"/>
  <c r="AF42" i="26"/>
  <c r="AN39" i="26"/>
  <c r="AB39" i="26"/>
  <c r="AW31" i="26"/>
  <c r="AV31" i="26"/>
  <c r="AU31" i="26"/>
  <c r="AR31" i="26"/>
  <c r="AK31" i="26"/>
  <c r="AJ31" i="26"/>
  <c r="AI31" i="26"/>
  <c r="AF31" i="26"/>
  <c r="AW29" i="26"/>
  <c r="AV29" i="26"/>
  <c r="AU29" i="26"/>
  <c r="AR29" i="26"/>
  <c r="AP29" i="26"/>
  <c r="AK29" i="26"/>
  <c r="AJ29" i="26"/>
  <c r="AI29" i="26"/>
  <c r="AF29" i="26"/>
  <c r="AD29" i="26"/>
  <c r="AW28" i="26"/>
  <c r="AV28" i="26"/>
  <c r="AU28" i="26"/>
  <c r="AR28" i="26"/>
  <c r="AP28" i="26"/>
  <c r="AK28" i="26"/>
  <c r="AJ28" i="26"/>
  <c r="AI28" i="26"/>
  <c r="AF28" i="26"/>
  <c r="AD28" i="26"/>
  <c r="AW27" i="26"/>
  <c r="AV27" i="26"/>
  <c r="AU27" i="26"/>
  <c r="AT27" i="26"/>
  <c r="AR27" i="26"/>
  <c r="AK27" i="26"/>
  <c r="AJ27" i="26"/>
  <c r="AI27" i="26"/>
  <c r="AH27" i="26"/>
  <c r="AF27" i="26"/>
  <c r="AN24" i="26"/>
  <c r="AB24" i="26"/>
  <c r="AW16" i="26"/>
  <c r="AV16" i="26"/>
  <c r="AU16" i="26"/>
  <c r="AR16" i="26"/>
  <c r="AK16" i="26"/>
  <c r="AJ16" i="26"/>
  <c r="AI16" i="26"/>
  <c r="AF16" i="26"/>
  <c r="AW14" i="26"/>
  <c r="AV14" i="26"/>
  <c r="AU14" i="26"/>
  <c r="AR14" i="26"/>
  <c r="AP14" i="26"/>
  <c r="AK14" i="26"/>
  <c r="AJ14" i="26"/>
  <c r="AI14" i="26"/>
  <c r="AF14" i="26"/>
  <c r="AD14" i="26"/>
  <c r="AW13" i="26"/>
  <c r="AV13" i="26"/>
  <c r="AU13" i="26"/>
  <c r="AR13" i="26"/>
  <c r="AP13" i="26"/>
  <c r="AK13" i="26"/>
  <c r="AJ13" i="26"/>
  <c r="AI13" i="26"/>
  <c r="AF13" i="26"/>
  <c r="AD13" i="26"/>
  <c r="AW12" i="26"/>
  <c r="AV12" i="26"/>
  <c r="AU12" i="26"/>
  <c r="AT12" i="26"/>
  <c r="AR12" i="26"/>
  <c r="AK12" i="26"/>
  <c r="AJ12" i="26"/>
  <c r="AI12" i="26"/>
  <c r="AH12" i="26"/>
  <c r="AF12" i="26"/>
  <c r="AN9" i="26"/>
  <c r="AB9" i="26"/>
  <c r="AV32" i="26" l="1"/>
  <c r="AV33" i="26" s="1"/>
  <c r="AW17" i="26"/>
  <c r="AW32" i="26"/>
  <c r="AK17" i="26"/>
  <c r="AK47" i="26"/>
  <c r="AK32" i="26"/>
  <c r="AJ47" i="26"/>
  <c r="AJ48" i="26" s="1"/>
  <c r="AJ17" i="26"/>
  <c r="AJ18" i="26" s="1"/>
  <c r="AV17" i="26"/>
  <c r="AV18" i="26" s="1"/>
  <c r="AJ32" i="26"/>
  <c r="AJ33" i="26" s="1"/>
  <c r="AW43" i="26"/>
  <c r="AV43" i="26"/>
  <c r="AV42" i="26"/>
  <c r="AW42" i="26"/>
  <c r="AW44" i="26"/>
  <c r="AW46" i="26"/>
  <c r="AW31" i="11"/>
  <c r="AV31" i="11"/>
  <c r="AU31" i="11"/>
  <c r="AR31" i="11"/>
  <c r="AW29" i="11"/>
  <c r="AV29" i="11"/>
  <c r="AU29" i="11"/>
  <c r="AR29" i="11"/>
  <c r="AP29" i="11"/>
  <c r="AW28" i="11"/>
  <c r="AV28" i="11"/>
  <c r="AU28" i="11"/>
  <c r="AR28" i="11"/>
  <c r="AP28" i="11"/>
  <c r="AW27" i="11"/>
  <c r="AV27" i="11"/>
  <c r="AU27" i="11"/>
  <c r="AT27" i="11"/>
  <c r="AR27" i="11"/>
  <c r="AP13" i="11"/>
  <c r="AW16" i="11"/>
  <c r="AV16" i="11"/>
  <c r="AU16" i="11"/>
  <c r="AR16" i="11"/>
  <c r="AW14" i="11"/>
  <c r="AV14" i="11"/>
  <c r="AU14" i="11"/>
  <c r="AR14" i="11"/>
  <c r="AP14" i="11"/>
  <c r="AW13" i="11"/>
  <c r="AV13" i="11"/>
  <c r="AU13" i="11"/>
  <c r="AR13" i="11"/>
  <c r="AW12" i="11"/>
  <c r="AV12" i="11"/>
  <c r="AU12" i="11"/>
  <c r="AT12" i="11"/>
  <c r="AR12" i="11"/>
  <c r="AK43" i="11"/>
  <c r="AJ43" i="11"/>
  <c r="AI43" i="11"/>
  <c r="AF43" i="11"/>
  <c r="AD43" i="11"/>
  <c r="AK46" i="11"/>
  <c r="AJ46" i="11"/>
  <c r="AI46" i="11"/>
  <c r="AF46" i="11"/>
  <c r="AK44" i="11"/>
  <c r="AJ44" i="11"/>
  <c r="AI44" i="11"/>
  <c r="AF44" i="11"/>
  <c r="AD44" i="11"/>
  <c r="AK42" i="11"/>
  <c r="AJ42" i="11"/>
  <c r="AI42" i="11"/>
  <c r="AH42" i="11"/>
  <c r="AF42" i="11"/>
  <c r="AK29" i="11"/>
  <c r="AJ29" i="11"/>
  <c r="AI29" i="11"/>
  <c r="AF29" i="11"/>
  <c r="AK14" i="11"/>
  <c r="AJ14" i="11"/>
  <c r="AI14" i="11"/>
  <c r="AK28" i="11"/>
  <c r="AJ28" i="11"/>
  <c r="AI28" i="11"/>
  <c r="AF28" i="11"/>
  <c r="AF31" i="11"/>
  <c r="AF27" i="11"/>
  <c r="AD28" i="11"/>
  <c r="AD29" i="11"/>
  <c r="AK31" i="11"/>
  <c r="AJ31" i="11"/>
  <c r="AI31" i="11"/>
  <c r="AK27" i="11"/>
  <c r="AJ27" i="11"/>
  <c r="AI27" i="11"/>
  <c r="AK16" i="11"/>
  <c r="AK13" i="11"/>
  <c r="AK12" i="11"/>
  <c r="AI16" i="11"/>
  <c r="AI13" i="11"/>
  <c r="AI12" i="11"/>
  <c r="AJ16" i="11"/>
  <c r="AJ13" i="11"/>
  <c r="AJ12" i="11"/>
  <c r="AF16" i="11"/>
  <c r="AF14" i="11"/>
  <c r="AF13" i="11"/>
  <c r="AF12" i="11"/>
  <c r="AD14" i="11"/>
  <c r="AD13" i="11"/>
  <c r="AA9" i="26"/>
  <c r="AJ34" i="26" l="1"/>
  <c r="AK35" i="26" s="1"/>
  <c r="AV19" i="26"/>
  <c r="AV20" i="26" s="1"/>
  <c r="AV21" i="26" s="1"/>
  <c r="AJ17" i="11"/>
  <c r="AV34" i="26"/>
  <c r="AV35" i="26" s="1"/>
  <c r="AV36" i="26" s="1"/>
  <c r="AJ49" i="26"/>
  <c r="AJ50" i="26" s="1"/>
  <c r="AJ51" i="26" s="1"/>
  <c r="AV47" i="26"/>
  <c r="AV48" i="26" s="1"/>
  <c r="AJ35" i="26"/>
  <c r="AJ36" i="26" s="1"/>
  <c r="AJ19" i="26"/>
  <c r="AJ20" i="26" s="1"/>
  <c r="AJ21" i="26" s="1"/>
  <c r="AK17" i="11"/>
  <c r="AW47" i="26"/>
  <c r="AV49" i="26" l="1"/>
  <c r="AV50" i="26" s="1"/>
  <c r="AV51" i="26" s="1"/>
  <c r="AR44" i="11"/>
  <c r="AU44" i="11" s="1"/>
  <c r="AT42" i="11"/>
  <c r="AR42" i="11"/>
  <c r="AU42" i="11" s="1"/>
  <c r="AN39" i="11"/>
  <c r="AB39" i="11"/>
  <c r="AH27" i="11"/>
  <c r="AN24" i="11"/>
  <c r="AB24" i="11"/>
  <c r="AH12" i="11"/>
  <c r="AN9" i="11"/>
  <c r="AB9" i="11"/>
  <c r="P72" i="1"/>
  <c r="P73" i="1"/>
  <c r="P74" i="1"/>
  <c r="P75" i="1"/>
  <c r="P76" i="1"/>
  <c r="P71" i="1"/>
  <c r="C49" i="1"/>
  <c r="C44" i="28" s="1"/>
  <c r="C48" i="1"/>
  <c r="C43" i="28" s="1"/>
  <c r="A73" i="4"/>
  <c r="O39" i="11" s="1"/>
  <c r="A72" i="4"/>
  <c r="O24" i="26" s="1"/>
  <c r="A71" i="4"/>
  <c r="C51" i="1" s="1"/>
  <c r="C46" i="28" s="1"/>
  <c r="A70" i="4"/>
  <c r="C50" i="1" s="1"/>
  <c r="C45" i="28" s="1"/>
  <c r="A11" i="28"/>
  <c r="A12" i="28"/>
  <c r="A11" i="1"/>
  <c r="A12" i="1"/>
  <c r="A64" i="4"/>
  <c r="A32" i="28" s="1"/>
  <c r="A51" i="4"/>
  <c r="A27" i="28" s="1"/>
  <c r="A40" i="4"/>
  <c r="A25" i="1" s="1"/>
  <c r="A39" i="4"/>
  <c r="A21" i="28" s="1"/>
  <c r="A36" i="4"/>
  <c r="A18" i="28" s="1"/>
  <c r="A18" i="4"/>
  <c r="A15" i="28" s="1"/>
  <c r="AM10" i="20"/>
  <c r="AN10" i="20"/>
  <c r="AO10" i="20"/>
  <c r="AP10" i="20"/>
  <c r="AR10" i="20"/>
  <c r="AS10" i="20"/>
  <c r="AT10" i="20"/>
  <c r="AU10" i="20"/>
  <c r="AK10" i="20"/>
  <c r="B71" i="1"/>
  <c r="B62" i="28"/>
  <c r="B61" i="28"/>
  <c r="J38" i="28"/>
  <c r="I38" i="28"/>
  <c r="J37" i="28"/>
  <c r="I37" i="28"/>
  <c r="C37" i="28"/>
  <c r="J36" i="28"/>
  <c r="I36" i="28"/>
  <c r="C36" i="28"/>
  <c r="F20" i="28"/>
  <c r="F19" i="28"/>
  <c r="F12" i="28"/>
  <c r="D17" i="39" s="1"/>
  <c r="F11" i="28"/>
  <c r="D21" i="39" s="1"/>
  <c r="F10" i="28"/>
  <c r="D19" i="39" s="1"/>
  <c r="B58" i="39" s="1"/>
  <c r="A10" i="28"/>
  <c r="F9" i="28"/>
  <c r="D18" i="39" s="1"/>
  <c r="A9" i="28"/>
  <c r="F8" i="28"/>
  <c r="D12" i="39" s="1"/>
  <c r="A8" i="28"/>
  <c r="F7" i="28"/>
  <c r="D10" i="39" s="1"/>
  <c r="A7" i="28"/>
  <c r="F6" i="28"/>
  <c r="D9" i="39" s="1"/>
  <c r="A6" i="28"/>
  <c r="F5" i="28"/>
  <c r="D8" i="39" s="1"/>
  <c r="A5" i="28"/>
  <c r="B67" i="28"/>
  <c r="D20" i="39" s="1"/>
  <c r="F5" i="1"/>
  <c r="F6" i="1"/>
  <c r="F7" i="1"/>
  <c r="F8" i="1"/>
  <c r="F9" i="1"/>
  <c r="F11" i="1"/>
  <c r="F12" i="1"/>
  <c r="F4" i="1"/>
  <c r="A5" i="1"/>
  <c r="A6" i="1"/>
  <c r="A7" i="1"/>
  <c r="A8" i="1"/>
  <c r="A9" i="1"/>
  <c r="A10" i="1"/>
  <c r="A4" i="1"/>
  <c r="F27" i="26"/>
  <c r="F42" i="26"/>
  <c r="R12" i="26"/>
  <c r="R27" i="26"/>
  <c r="R42" i="26"/>
  <c r="M68" i="4"/>
  <c r="F12" i="26" s="1"/>
  <c r="F27" i="11"/>
  <c r="F42" i="11"/>
  <c r="R12" i="11"/>
  <c r="R27" i="11"/>
  <c r="R42" i="11"/>
  <c r="H68" i="4"/>
  <c r="I68" i="4"/>
  <c r="B67" i="1"/>
  <c r="S46" i="26"/>
  <c r="G46" i="26"/>
  <c r="S44" i="26"/>
  <c r="T44" i="26" s="1"/>
  <c r="W44" i="26" s="1"/>
  <c r="G44" i="26"/>
  <c r="S42" i="26"/>
  <c r="G42" i="26"/>
  <c r="P39" i="26"/>
  <c r="D39" i="26"/>
  <c r="S31" i="26"/>
  <c r="G31" i="26"/>
  <c r="S29" i="26"/>
  <c r="G29" i="26"/>
  <c r="S27" i="26"/>
  <c r="G27" i="26"/>
  <c r="P24" i="26"/>
  <c r="D24" i="26"/>
  <c r="C24" i="26"/>
  <c r="S16" i="26"/>
  <c r="G16" i="26"/>
  <c r="S14" i="26"/>
  <c r="G14" i="26"/>
  <c r="S12" i="26"/>
  <c r="G12" i="26"/>
  <c r="P9" i="26"/>
  <c r="D9" i="26"/>
  <c r="B62" i="1"/>
  <c r="S46" i="11"/>
  <c r="S44" i="11"/>
  <c r="S42" i="11"/>
  <c r="P39" i="11"/>
  <c r="S31" i="11"/>
  <c r="S29" i="11"/>
  <c r="S27" i="11"/>
  <c r="P24" i="11"/>
  <c r="S16" i="11"/>
  <c r="S14" i="11"/>
  <c r="S12" i="11"/>
  <c r="P9" i="11"/>
  <c r="G42" i="11"/>
  <c r="G27" i="11"/>
  <c r="G12" i="11"/>
  <c r="M37" i="25"/>
  <c r="N37" i="25" s="1"/>
  <c r="B63" i="1"/>
  <c r="F19" i="23"/>
  <c r="F20" i="23"/>
  <c r="F21" i="23"/>
  <c r="F16" i="23"/>
  <c r="F17" i="23"/>
  <c r="F18" i="23"/>
  <c r="C24" i="11"/>
  <c r="D39" i="11"/>
  <c r="D24" i="11"/>
  <c r="D9" i="11"/>
  <c r="B66" i="1"/>
  <c r="F73" i="1"/>
  <c r="AR43" i="11"/>
  <c r="AU43" i="11" s="1"/>
  <c r="AV43" i="11" s="1"/>
  <c r="AR46" i="11"/>
  <c r="AU46" i="11" s="1"/>
  <c r="AK47" i="11"/>
  <c r="AW17" i="11"/>
  <c r="AW32" i="11"/>
  <c r="AJ47" i="11"/>
  <c r="AJ48" i="11" s="1"/>
  <c r="AV17" i="11"/>
  <c r="AV18" i="11" s="1"/>
  <c r="AV32" i="11"/>
  <c r="AV33" i="11" s="1"/>
  <c r="C42" i="1"/>
  <c r="G14" i="11"/>
  <c r="G16" i="11"/>
  <c r="G46" i="11"/>
  <c r="G31" i="11"/>
  <c r="F22" i="1"/>
  <c r="O22" i="1" s="1"/>
  <c r="F21" i="1"/>
  <c r="O21" i="1" s="1"/>
  <c r="G44" i="11"/>
  <c r="G29" i="11"/>
  <c r="H29" i="11" s="1"/>
  <c r="K29" i="11" s="1"/>
  <c r="F43" i="1"/>
  <c r="F42" i="1"/>
  <c r="G43" i="1"/>
  <c r="G42" i="1"/>
  <c r="C41" i="1"/>
  <c r="G41" i="1"/>
  <c r="F41" i="1"/>
  <c r="L36" i="28"/>
  <c r="L38" i="28"/>
  <c r="L37" i="28"/>
  <c r="AP22" i="36" l="1"/>
  <c r="BO22" i="36"/>
  <c r="BD23" i="36"/>
  <c r="AE23" i="36"/>
  <c r="BO19" i="36"/>
  <c r="AP19" i="36"/>
  <c r="AE19" i="36"/>
  <c r="BD19" i="36"/>
  <c r="Q18" i="36"/>
  <c r="X74" i="4"/>
  <c r="F18" i="36"/>
  <c r="X68" i="4"/>
  <c r="O173" i="25"/>
  <c r="O125" i="25"/>
  <c r="O93" i="25"/>
  <c r="O236" i="25"/>
  <c r="O189" i="25"/>
  <c r="O157" i="25"/>
  <c r="O237" i="25"/>
  <c r="O229" i="25"/>
  <c r="O221" i="25"/>
  <c r="O213" i="25"/>
  <c r="O199" i="25"/>
  <c r="O167" i="25"/>
  <c r="O135" i="25"/>
  <c r="O103" i="25"/>
  <c r="O71" i="25"/>
  <c r="O39" i="25"/>
  <c r="O177" i="25"/>
  <c r="O145" i="25"/>
  <c r="O113" i="25"/>
  <c r="O81" i="25"/>
  <c r="O49" i="25"/>
  <c r="O46" i="25"/>
  <c r="O54" i="25"/>
  <c r="O62" i="25"/>
  <c r="O70" i="25"/>
  <c r="O78" i="25"/>
  <c r="O86" i="25"/>
  <c r="O94" i="25"/>
  <c r="O102" i="25"/>
  <c r="O110" i="25"/>
  <c r="O118" i="25"/>
  <c r="O126" i="25"/>
  <c r="O134" i="25"/>
  <c r="O142" i="25"/>
  <c r="O150" i="25"/>
  <c r="O158" i="25"/>
  <c r="O166" i="25"/>
  <c r="O174" i="25"/>
  <c r="O182" i="25"/>
  <c r="O190" i="25"/>
  <c r="O198" i="25"/>
  <c r="O206" i="25"/>
  <c r="O228" i="25"/>
  <c r="O220" i="25"/>
  <c r="O212" i="25"/>
  <c r="O195" i="25"/>
  <c r="O163" i="25"/>
  <c r="O131" i="25"/>
  <c r="O99" i="25"/>
  <c r="O67" i="25"/>
  <c r="O56" i="25"/>
  <c r="O88" i="25"/>
  <c r="O112" i="25"/>
  <c r="O136" i="25"/>
  <c r="O168" i="25"/>
  <c r="O192" i="25"/>
  <c r="O226" i="25"/>
  <c r="O187" i="25"/>
  <c r="O91" i="25"/>
  <c r="O179" i="25"/>
  <c r="O51" i="25"/>
  <c r="O141" i="25"/>
  <c r="O117" i="25"/>
  <c r="O69" i="25"/>
  <c r="O43" i="25"/>
  <c r="O197" i="25"/>
  <c r="O101" i="25"/>
  <c r="O235" i="25"/>
  <c r="O227" i="25"/>
  <c r="O219" i="25"/>
  <c r="O211" i="25"/>
  <c r="O191" i="25"/>
  <c r="O159" i="25"/>
  <c r="O127" i="25"/>
  <c r="O95" i="25"/>
  <c r="O63" i="25"/>
  <c r="O201" i="25"/>
  <c r="O169" i="25"/>
  <c r="O137" i="25"/>
  <c r="O105" i="25"/>
  <c r="O73" i="25"/>
  <c r="O40" i="25"/>
  <c r="O48" i="25"/>
  <c r="O64" i="25"/>
  <c r="O80" i="25"/>
  <c r="O104" i="25"/>
  <c r="O128" i="25"/>
  <c r="O152" i="25"/>
  <c r="O176" i="25"/>
  <c r="O200" i="25"/>
  <c r="O218" i="25"/>
  <c r="O155" i="25"/>
  <c r="O59" i="25"/>
  <c r="O115" i="25"/>
  <c r="O37" i="25"/>
  <c r="O149" i="25"/>
  <c r="O109" i="25"/>
  <c r="O61" i="25"/>
  <c r="O165" i="25"/>
  <c r="O205" i="25"/>
  <c r="O77" i="25"/>
  <c r="O233" i="25"/>
  <c r="O225" i="25"/>
  <c r="O217" i="25"/>
  <c r="O209" i="25"/>
  <c r="O183" i="25"/>
  <c r="O151" i="25"/>
  <c r="O119" i="25"/>
  <c r="O87" i="25"/>
  <c r="O55" i="25"/>
  <c r="O193" i="25"/>
  <c r="O161" i="25"/>
  <c r="O129" i="25"/>
  <c r="O97" i="25"/>
  <c r="O65" i="25"/>
  <c r="O42" i="25"/>
  <c r="O50" i="25"/>
  <c r="O58" i="25"/>
  <c r="O66" i="25"/>
  <c r="O74" i="25"/>
  <c r="O82" i="25"/>
  <c r="O90" i="25"/>
  <c r="O98" i="25"/>
  <c r="O106" i="25"/>
  <c r="O114" i="25"/>
  <c r="O122" i="25"/>
  <c r="O130" i="25"/>
  <c r="O138" i="25"/>
  <c r="O146" i="25"/>
  <c r="O154" i="25"/>
  <c r="O162" i="25"/>
  <c r="O170" i="25"/>
  <c r="O178" i="25"/>
  <c r="O186" i="25"/>
  <c r="O194" i="25"/>
  <c r="O202" i="25"/>
  <c r="O232" i="25"/>
  <c r="O224" i="25"/>
  <c r="O216" i="25"/>
  <c r="O147" i="25"/>
  <c r="O133" i="25"/>
  <c r="O85" i="25"/>
  <c r="O53" i="25"/>
  <c r="O41" i="25"/>
  <c r="O181" i="25"/>
  <c r="O45" i="25"/>
  <c r="O231" i="25"/>
  <c r="O223" i="25"/>
  <c r="O215" i="25"/>
  <c r="O207" i="25"/>
  <c r="O175" i="25"/>
  <c r="O143" i="25"/>
  <c r="O111" i="25"/>
  <c r="O79" i="25"/>
  <c r="O47" i="25"/>
  <c r="O185" i="25"/>
  <c r="O153" i="25"/>
  <c r="O121" i="25"/>
  <c r="O89" i="25"/>
  <c r="O57" i="25"/>
  <c r="O44" i="25"/>
  <c r="O52" i="25"/>
  <c r="O60" i="25"/>
  <c r="O68" i="25"/>
  <c r="O76" i="25"/>
  <c r="O84" i="25"/>
  <c r="O92" i="25"/>
  <c r="O100" i="25"/>
  <c r="O108" i="25"/>
  <c r="O116" i="25"/>
  <c r="O124" i="25"/>
  <c r="O132" i="25"/>
  <c r="O140" i="25"/>
  <c r="O148" i="25"/>
  <c r="O156" i="25"/>
  <c r="O164" i="25"/>
  <c r="O172" i="25"/>
  <c r="O180" i="25"/>
  <c r="O188" i="25"/>
  <c r="O196" i="25"/>
  <c r="O204" i="25"/>
  <c r="O230" i="25"/>
  <c r="O222" i="25"/>
  <c r="O214" i="25"/>
  <c r="O203" i="25"/>
  <c r="O171" i="25"/>
  <c r="O139" i="25"/>
  <c r="O107" i="25"/>
  <c r="O75" i="25"/>
  <c r="O38" i="25"/>
  <c r="O72" i="25"/>
  <c r="O96" i="25"/>
  <c r="O120" i="25"/>
  <c r="O144" i="25"/>
  <c r="O160" i="25"/>
  <c r="O184" i="25"/>
  <c r="O234" i="25"/>
  <c r="O210" i="25"/>
  <c r="O123" i="25"/>
  <c r="O208" i="25"/>
  <c r="O83" i="25"/>
  <c r="C39" i="11"/>
  <c r="C43" i="1"/>
  <c r="C39" i="26"/>
  <c r="T12" i="11"/>
  <c r="W12" i="11" s="1"/>
  <c r="X12" i="11" s="1"/>
  <c r="AH14" i="20"/>
  <c r="AH18" i="20"/>
  <c r="AH22" i="20"/>
  <c r="AH26" i="20"/>
  <c r="AH30" i="20"/>
  <c r="AH34" i="20"/>
  <c r="AH38" i="20"/>
  <c r="AH42" i="20"/>
  <c r="AH46" i="20"/>
  <c r="AH50" i="20"/>
  <c r="AH54" i="20"/>
  <c r="AH58" i="20"/>
  <c r="AH62" i="20"/>
  <c r="AH66" i="20"/>
  <c r="AH70" i="20"/>
  <c r="AH74" i="20"/>
  <c r="AH78" i="20"/>
  <c r="AH82" i="20"/>
  <c r="AH86" i="20"/>
  <c r="AH90" i="20"/>
  <c r="AH94" i="20"/>
  <c r="AH98" i="20"/>
  <c r="AH102" i="20"/>
  <c r="AH106" i="20"/>
  <c r="AH110" i="20"/>
  <c r="AH114" i="20"/>
  <c r="AH118" i="20"/>
  <c r="AH122" i="20"/>
  <c r="AH126" i="20"/>
  <c r="AH130" i="20"/>
  <c r="AH134" i="20"/>
  <c r="AH138" i="20"/>
  <c r="AH142" i="20"/>
  <c r="AH146" i="20"/>
  <c r="AH150" i="20"/>
  <c r="AH154" i="20"/>
  <c r="AH158" i="20"/>
  <c r="AH162" i="20"/>
  <c r="AH166" i="20"/>
  <c r="AH170" i="20"/>
  <c r="AH174" i="20"/>
  <c r="AH178" i="20"/>
  <c r="AH182" i="20"/>
  <c r="AH186" i="20"/>
  <c r="AH190" i="20"/>
  <c r="AH194" i="20"/>
  <c r="AH198" i="20"/>
  <c r="AH202" i="20"/>
  <c r="AH206" i="20"/>
  <c r="AH210" i="20"/>
  <c r="AH214" i="20"/>
  <c r="AH15" i="20"/>
  <c r="AH12" i="20"/>
  <c r="AH20" i="20"/>
  <c r="AH24" i="20"/>
  <c r="AH28" i="20"/>
  <c r="AH32" i="20"/>
  <c r="AH36" i="20"/>
  <c r="AH40" i="20"/>
  <c r="AH44" i="20"/>
  <c r="AH48" i="20"/>
  <c r="AH52" i="20"/>
  <c r="AH56" i="20"/>
  <c r="AH60" i="20"/>
  <c r="AH64" i="20"/>
  <c r="AH68" i="20"/>
  <c r="AH72" i="20"/>
  <c r="AH76" i="20"/>
  <c r="AH80" i="20"/>
  <c r="AH84" i="20"/>
  <c r="AH88" i="20"/>
  <c r="AH92" i="20"/>
  <c r="AH96" i="20"/>
  <c r="AH100" i="20"/>
  <c r="AH104" i="20"/>
  <c r="AH108" i="20"/>
  <c r="AH112" i="20"/>
  <c r="AH116" i="20"/>
  <c r="AH120" i="20"/>
  <c r="AH124" i="20"/>
  <c r="AH128" i="20"/>
  <c r="AH132" i="20"/>
  <c r="AH136" i="20"/>
  <c r="AH140" i="20"/>
  <c r="AH144" i="20"/>
  <c r="AH148" i="20"/>
  <c r="AH152" i="20"/>
  <c r="AH156" i="20"/>
  <c r="AH160" i="20"/>
  <c r="AH164" i="20"/>
  <c r="AH168" i="20"/>
  <c r="AH172" i="20"/>
  <c r="AH176" i="20"/>
  <c r="AH180" i="20"/>
  <c r="AH184" i="20"/>
  <c r="AH188" i="20"/>
  <c r="AH192" i="20"/>
  <c r="AH196" i="20"/>
  <c r="AH200" i="20"/>
  <c r="AH204" i="20"/>
  <c r="AH208" i="20"/>
  <c r="AH212" i="20"/>
  <c r="AH216" i="20"/>
  <c r="AH13" i="20"/>
  <c r="AH25" i="20"/>
  <c r="AH33" i="20"/>
  <c r="AH41" i="20"/>
  <c r="AH49" i="20"/>
  <c r="AH57" i="20"/>
  <c r="AH65" i="20"/>
  <c r="AH73" i="20"/>
  <c r="AH81" i="20"/>
  <c r="AH89" i="20"/>
  <c r="AH97" i="20"/>
  <c r="AH105" i="20"/>
  <c r="AH113" i="20"/>
  <c r="AH121" i="20"/>
  <c r="AH129" i="20"/>
  <c r="AH137" i="20"/>
  <c r="AH145" i="20"/>
  <c r="AH153" i="20"/>
  <c r="AH161" i="20"/>
  <c r="AH169" i="20"/>
  <c r="AH177" i="20"/>
  <c r="AH185" i="20"/>
  <c r="AH193" i="20"/>
  <c r="AH201" i="20"/>
  <c r="AH209" i="20"/>
  <c r="AH217" i="20"/>
  <c r="AH221" i="20"/>
  <c r="AH225" i="20"/>
  <c r="AH229" i="20"/>
  <c r="AH233" i="20"/>
  <c r="AH237" i="20"/>
  <c r="AH241" i="20"/>
  <c r="AH245" i="20"/>
  <c r="AH249" i="20"/>
  <c r="AH253" i="20"/>
  <c r="AH257" i="20"/>
  <c r="AH261" i="20"/>
  <c r="AH265" i="20"/>
  <c r="AH269" i="20"/>
  <c r="AH273" i="20"/>
  <c r="AH277" i="20"/>
  <c r="AH281" i="20"/>
  <c r="AH285" i="20"/>
  <c r="AH289" i="20"/>
  <c r="AH293" i="20"/>
  <c r="AH297" i="20"/>
  <c r="AH301" i="20"/>
  <c r="AH305" i="20"/>
  <c r="AH309" i="20"/>
  <c r="AH313" i="20"/>
  <c r="AH317" i="20"/>
  <c r="AH321" i="20"/>
  <c r="AH325" i="20"/>
  <c r="AH329" i="20"/>
  <c r="AH333" i="20"/>
  <c r="AH337" i="20"/>
  <c r="AH341" i="20"/>
  <c r="AH345" i="20"/>
  <c r="AH349" i="20"/>
  <c r="AH353" i="20"/>
  <c r="AH357" i="20"/>
  <c r="AH361" i="20"/>
  <c r="AH365" i="20"/>
  <c r="AH369" i="20"/>
  <c r="AH373" i="20"/>
  <c r="AH377" i="20"/>
  <c r="AH381" i="20"/>
  <c r="AH385" i="20"/>
  <c r="AH389" i="20"/>
  <c r="AH393" i="20"/>
  <c r="AH19" i="20"/>
  <c r="AH27" i="20"/>
  <c r="AH35" i="20"/>
  <c r="AH43" i="20"/>
  <c r="AH51" i="20"/>
  <c r="AH59" i="20"/>
  <c r="AH67" i="20"/>
  <c r="AH75" i="20"/>
  <c r="AH83" i="20"/>
  <c r="AH91" i="20"/>
  <c r="AH99" i="20"/>
  <c r="AH107" i="20"/>
  <c r="AH115" i="20"/>
  <c r="AH123" i="20"/>
  <c r="AH131" i="20"/>
  <c r="AH139" i="20"/>
  <c r="AH147" i="20"/>
  <c r="AH155" i="20"/>
  <c r="AH163" i="20"/>
  <c r="AH171" i="20"/>
  <c r="AH179" i="20"/>
  <c r="AH187" i="20"/>
  <c r="AH195" i="20"/>
  <c r="AH203" i="20"/>
  <c r="AH211" i="20"/>
  <c r="AH218" i="20"/>
  <c r="AH222" i="20"/>
  <c r="AH226" i="20"/>
  <c r="AH230" i="20"/>
  <c r="AH234" i="20"/>
  <c r="AH238" i="20"/>
  <c r="AH242" i="20"/>
  <c r="AH246" i="20"/>
  <c r="AH250" i="20"/>
  <c r="AH254" i="20"/>
  <c r="AH258" i="20"/>
  <c r="AH262" i="20"/>
  <c r="AH266" i="20"/>
  <c r="AH270" i="20"/>
  <c r="AH274" i="20"/>
  <c r="AH278" i="20"/>
  <c r="AH282" i="20"/>
  <c r="AH286" i="20"/>
  <c r="AH290" i="20"/>
  <c r="AH294" i="20"/>
  <c r="AH298" i="20"/>
  <c r="AH302" i="20"/>
  <c r="AH306" i="20"/>
  <c r="AH310" i="20"/>
  <c r="AH314" i="20"/>
  <c r="AH318" i="20"/>
  <c r="AH322" i="20"/>
  <c r="AH326" i="20"/>
  <c r="AH330" i="20"/>
  <c r="AH334" i="20"/>
  <c r="AH338" i="20"/>
  <c r="AH342" i="20"/>
  <c r="AH346" i="20"/>
  <c r="AH350" i="20"/>
  <c r="AH354" i="20"/>
  <c r="AH358" i="20"/>
  <c r="AH362" i="20"/>
  <c r="AH366" i="20"/>
  <c r="AH370" i="20"/>
  <c r="AH374" i="20"/>
  <c r="AH378" i="20"/>
  <c r="AH382" i="20"/>
  <c r="AH386" i="20"/>
  <c r="AH390" i="20"/>
  <c r="AH394" i="20"/>
  <c r="AH21" i="20"/>
  <c r="AH29" i="20"/>
  <c r="AH37" i="20"/>
  <c r="AH45" i="20"/>
  <c r="AH53" i="20"/>
  <c r="AH61" i="20"/>
  <c r="AH69" i="20"/>
  <c r="AH77" i="20"/>
  <c r="AH85" i="20"/>
  <c r="AH93" i="20"/>
  <c r="AH101" i="20"/>
  <c r="AH109" i="20"/>
  <c r="AH117" i="20"/>
  <c r="AH125" i="20"/>
  <c r="AH133" i="20"/>
  <c r="AH141" i="20"/>
  <c r="AH149" i="20"/>
  <c r="AH157" i="20"/>
  <c r="AH165" i="20"/>
  <c r="AH173" i="20"/>
  <c r="AH181" i="20"/>
  <c r="AH189" i="20"/>
  <c r="AH197" i="20"/>
  <c r="AH205" i="20"/>
  <c r="AH213" i="20"/>
  <c r="AH219" i="20"/>
  <c r="AH223" i="20"/>
  <c r="AH227" i="20"/>
  <c r="AH231" i="20"/>
  <c r="AH235" i="20"/>
  <c r="AH239" i="20"/>
  <c r="AH243" i="20"/>
  <c r="AH247" i="20"/>
  <c r="AH251" i="20"/>
  <c r="AH255" i="20"/>
  <c r="AH259" i="20"/>
  <c r="AH263" i="20"/>
  <c r="AH267" i="20"/>
  <c r="AH271" i="20"/>
  <c r="AH275" i="20"/>
  <c r="AH279" i="20"/>
  <c r="AH283" i="20"/>
  <c r="AH287" i="20"/>
  <c r="AH291" i="20"/>
  <c r="AH295" i="20"/>
  <c r="AH299" i="20"/>
  <c r="AH303" i="20"/>
  <c r="AH307" i="20"/>
  <c r="AH311" i="20"/>
  <c r="AH315" i="20"/>
  <c r="AH319" i="20"/>
  <c r="AH323" i="20"/>
  <c r="AH327" i="20"/>
  <c r="AH331" i="20"/>
  <c r="AH335" i="20"/>
  <c r="AH339" i="20"/>
  <c r="AH343" i="20"/>
  <c r="AH347" i="20"/>
  <c r="AH351" i="20"/>
  <c r="AH355" i="20"/>
  <c r="AH359" i="20"/>
  <c r="AH363" i="20"/>
  <c r="AH367" i="20"/>
  <c r="AH371" i="20"/>
  <c r="AH375" i="20"/>
  <c r="AH379" i="20"/>
  <c r="AH383" i="20"/>
  <c r="AH387" i="20"/>
  <c r="AH391" i="20"/>
  <c r="AH23" i="20"/>
  <c r="AH31" i="20"/>
  <c r="AH39" i="20"/>
  <c r="AH47" i="20"/>
  <c r="AH55" i="20"/>
  <c r="AH63" i="20"/>
  <c r="AH71" i="20"/>
  <c r="AH79" i="20"/>
  <c r="AH87" i="20"/>
  <c r="AH95" i="20"/>
  <c r="AH103" i="20"/>
  <c r="AH111" i="20"/>
  <c r="AH119" i="20"/>
  <c r="AH127" i="20"/>
  <c r="AH135" i="20"/>
  <c r="AH143" i="20"/>
  <c r="AH151" i="20"/>
  <c r="AH159" i="20"/>
  <c r="AH167" i="20"/>
  <c r="AH175" i="20"/>
  <c r="AH183" i="20"/>
  <c r="AH191" i="20"/>
  <c r="AH199" i="20"/>
  <c r="AH207" i="20"/>
  <c r="AH215" i="20"/>
  <c r="AH220" i="20"/>
  <c r="AH224" i="20"/>
  <c r="AH228" i="20"/>
  <c r="AH232" i="20"/>
  <c r="AH236" i="20"/>
  <c r="AH240" i="20"/>
  <c r="AH244" i="20"/>
  <c r="AH248" i="20"/>
  <c r="AH252" i="20"/>
  <c r="AH256" i="20"/>
  <c r="AH260" i="20"/>
  <c r="AH264" i="20"/>
  <c r="AH268" i="20"/>
  <c r="AH272" i="20"/>
  <c r="AH276" i="20"/>
  <c r="AH280" i="20"/>
  <c r="AH284" i="20"/>
  <c r="AH288" i="20"/>
  <c r="AH292" i="20"/>
  <c r="AH296" i="20"/>
  <c r="AH300" i="20"/>
  <c r="AH304" i="20"/>
  <c r="AH308" i="20"/>
  <c r="AH312" i="20"/>
  <c r="AH316" i="20"/>
  <c r="AH320" i="20"/>
  <c r="AH324" i="20"/>
  <c r="AH328" i="20"/>
  <c r="AH332" i="20"/>
  <c r="AH336" i="20"/>
  <c r="AH340" i="20"/>
  <c r="AH344" i="20"/>
  <c r="AH348" i="20"/>
  <c r="AH352" i="20"/>
  <c r="AH356" i="20"/>
  <c r="AH360" i="20"/>
  <c r="AH364" i="20"/>
  <c r="AH368" i="20"/>
  <c r="AH372" i="20"/>
  <c r="AH376" i="20"/>
  <c r="AH380" i="20"/>
  <c r="AH384" i="20"/>
  <c r="AH388" i="20"/>
  <c r="AH392" i="20"/>
  <c r="C38" i="28"/>
  <c r="T42" i="26"/>
  <c r="W42" i="26" s="1"/>
  <c r="X42" i="26" s="1"/>
  <c r="H29" i="26"/>
  <c r="K29" i="26" s="1"/>
  <c r="L29" i="26" s="1"/>
  <c r="C53" i="1"/>
  <c r="C48" i="28" s="1"/>
  <c r="O9" i="11"/>
  <c r="T14" i="26"/>
  <c r="W14" i="26" s="1"/>
  <c r="X14" i="26" s="1"/>
  <c r="T29" i="26"/>
  <c r="W29" i="26" s="1"/>
  <c r="Y29" i="26" s="1"/>
  <c r="H19" i="23"/>
  <c r="H14" i="11"/>
  <c r="K14" i="11" s="1"/>
  <c r="L14" i="11" s="1"/>
  <c r="H44" i="11"/>
  <c r="K44" i="11" s="1"/>
  <c r="L44" i="11" s="1"/>
  <c r="T14" i="11"/>
  <c r="W14" i="11" s="1"/>
  <c r="Y14" i="11" s="1"/>
  <c r="H14" i="26"/>
  <c r="K14" i="26" s="1"/>
  <c r="M14" i="26" s="1"/>
  <c r="H44" i="26"/>
  <c r="K44" i="26" s="1"/>
  <c r="M44" i="26" s="1"/>
  <c r="H27" i="26"/>
  <c r="K27" i="26" s="1"/>
  <c r="L27" i="26" s="1"/>
  <c r="H14" i="23"/>
  <c r="K14" i="23" s="1"/>
  <c r="AV34" i="11"/>
  <c r="AV35" i="11" s="1"/>
  <c r="AV36" i="11" s="1"/>
  <c r="AW46" i="11"/>
  <c r="AV46" i="11"/>
  <c r="AW44" i="11"/>
  <c r="AV44" i="11"/>
  <c r="T29" i="11"/>
  <c r="W29" i="11" s="1"/>
  <c r="X29" i="11" s="1"/>
  <c r="T44" i="11"/>
  <c r="W44" i="11" s="1"/>
  <c r="Y44" i="11" s="1"/>
  <c r="AV19" i="11"/>
  <c r="AV20" i="11" s="1"/>
  <c r="AV21" i="11" s="1"/>
  <c r="H17" i="23"/>
  <c r="H21" i="23"/>
  <c r="H15" i="23"/>
  <c r="K15" i="23" s="1"/>
  <c r="X44" i="26"/>
  <c r="Y44" i="26"/>
  <c r="AW42" i="11"/>
  <c r="AV42" i="11"/>
  <c r="L29" i="11"/>
  <c r="M29" i="11"/>
  <c r="AW43" i="11"/>
  <c r="T42" i="11"/>
  <c r="W42" i="11" s="1"/>
  <c r="X42" i="11" s="1"/>
  <c r="H27" i="11"/>
  <c r="K27" i="11" s="1"/>
  <c r="M27" i="11" s="1"/>
  <c r="T12" i="26"/>
  <c r="W12" i="26" s="1"/>
  <c r="Y12" i="26" s="1"/>
  <c r="T27" i="11"/>
  <c r="W27" i="11" s="1"/>
  <c r="Y27" i="11" s="1"/>
  <c r="H12" i="26"/>
  <c r="K12" i="26" s="1"/>
  <c r="M12" i="26" s="1"/>
  <c r="H42" i="26"/>
  <c r="K42" i="26" s="1"/>
  <c r="L42" i="26" s="1"/>
  <c r="H12" i="11"/>
  <c r="K12" i="11" s="1"/>
  <c r="L12" i="11" s="1"/>
  <c r="H42" i="11"/>
  <c r="K42" i="11" s="1"/>
  <c r="M42" i="11" s="1"/>
  <c r="T27" i="26"/>
  <c r="W27" i="26" s="1"/>
  <c r="X27" i="26" s="1"/>
  <c r="O9" i="26"/>
  <c r="C52" i="1"/>
  <c r="C47" i="28" s="1"/>
  <c r="O39" i="26"/>
  <c r="O24" i="11"/>
  <c r="H18" i="23"/>
  <c r="H16" i="23"/>
  <c r="H20" i="23"/>
  <c r="H13" i="23"/>
  <c r="K13" i="23" s="1"/>
  <c r="S48" i="25"/>
  <c r="A22" i="28"/>
  <c r="R48" i="25"/>
  <c r="T48" i="25"/>
  <c r="A16" i="1"/>
  <c r="A31" i="1"/>
  <c r="A20" i="1"/>
  <c r="A37" i="1"/>
  <c r="A24" i="1"/>
  <c r="AJ49" i="11"/>
  <c r="AJ50" i="11" s="1"/>
  <c r="AJ51" i="11" s="1"/>
  <c r="AK32" i="11"/>
  <c r="AJ32" i="11"/>
  <c r="AJ33" i="11" s="1"/>
  <c r="AJ18" i="11"/>
  <c r="AE21" i="36" l="1"/>
  <c r="BD21" i="36"/>
  <c r="AP21" i="36"/>
  <c r="BO21" i="36"/>
  <c r="AE22" i="36"/>
  <c r="BD22" i="36"/>
  <c r="AE20" i="36"/>
  <c r="BD20" i="36"/>
  <c r="BO20" i="36"/>
  <c r="AP20" i="36"/>
  <c r="AP23" i="36"/>
  <c r="BO23" i="36"/>
  <c r="AK12" i="20" a="1"/>
  <c r="AK12" i="20" s="1"/>
  <c r="B7" i="24" s="1"/>
  <c r="AL12" i="20" a="1"/>
  <c r="AL12" i="20" s="1"/>
  <c r="AP12" i="20" a="1"/>
  <c r="AP12" i="20" s="1"/>
  <c r="D7" i="24" s="1"/>
  <c r="AT12" i="20" a="1"/>
  <c r="AT12" i="20" s="1"/>
  <c r="H7" i="24" s="1"/>
  <c r="AN12" i="20" a="1"/>
  <c r="AN12" i="20" s="1"/>
  <c r="C7" i="24" s="1"/>
  <c r="AV12" i="20" a="1"/>
  <c r="AV12" i="20" s="1"/>
  <c r="AS12" i="20" a="1"/>
  <c r="AS12" i="20" s="1"/>
  <c r="F7" i="24" s="1"/>
  <c r="AM12" i="20" a="1"/>
  <c r="AM12" i="20" s="1"/>
  <c r="AQ12" i="20" a="1"/>
  <c r="AQ12" i="20" s="1"/>
  <c r="AU12" i="20" a="1"/>
  <c r="AU12" i="20" s="1"/>
  <c r="G7" i="24" s="1"/>
  <c r="AR12" i="20" a="1"/>
  <c r="AR12" i="20" s="1"/>
  <c r="AO12" i="20" a="1"/>
  <c r="AO12" i="20" s="1"/>
  <c r="E7" i="24" s="1"/>
  <c r="AN14" i="20" a="1"/>
  <c r="AN14" i="20" s="1"/>
  <c r="C9" i="24" s="1"/>
  <c r="AR14" i="20" a="1"/>
  <c r="AR14" i="20" s="1"/>
  <c r="AV14" i="20" a="1"/>
  <c r="AV14" i="20" s="1"/>
  <c r="AP14" i="20" a="1"/>
  <c r="AP14" i="20" s="1"/>
  <c r="D9" i="24" s="1"/>
  <c r="AK14" i="20" a="1"/>
  <c r="AK14" i="20" s="1"/>
  <c r="B9" i="24" s="1"/>
  <c r="AO14" i="20" a="1"/>
  <c r="AO14" i="20" s="1"/>
  <c r="E9" i="24" s="1"/>
  <c r="AS14" i="20" a="1"/>
  <c r="AS14" i="20" s="1"/>
  <c r="F9" i="24" s="1"/>
  <c r="AL14" i="20" a="1"/>
  <c r="AL14" i="20" s="1"/>
  <c r="AT14" i="20" a="1"/>
  <c r="AT14" i="20" s="1"/>
  <c r="H9" i="24" s="1"/>
  <c r="AM14" i="20" a="1"/>
  <c r="AM14" i="20" s="1"/>
  <c r="AQ14" i="20" a="1"/>
  <c r="AQ14" i="20" s="1"/>
  <c r="AU14" i="20" a="1"/>
  <c r="AU14" i="20" s="1"/>
  <c r="G9" i="24" s="1"/>
  <c r="AM13" i="20" a="1"/>
  <c r="AM13" i="20" s="1"/>
  <c r="AQ13" i="20" a="1"/>
  <c r="AQ13" i="20" s="1"/>
  <c r="AU13" i="20" a="1"/>
  <c r="AU13" i="20" s="1"/>
  <c r="G8" i="24" s="1"/>
  <c r="AS13" i="20" a="1"/>
  <c r="AS13" i="20" s="1"/>
  <c r="F8" i="24" s="1"/>
  <c r="AK13" i="20" a="1"/>
  <c r="AK13" i="20" s="1"/>
  <c r="B8" i="24" s="1"/>
  <c r="AN13" i="20" a="1"/>
  <c r="AN13" i="20" s="1"/>
  <c r="C8" i="24" s="1"/>
  <c r="AR13" i="20" a="1"/>
  <c r="AR13" i="20" s="1"/>
  <c r="AV13" i="20" a="1"/>
  <c r="AV13" i="20" s="1"/>
  <c r="AO13" i="20" a="1"/>
  <c r="AO13" i="20" s="1"/>
  <c r="E8" i="24" s="1"/>
  <c r="AL13" i="20" a="1"/>
  <c r="AL13" i="20" s="1"/>
  <c r="AP13" i="20" a="1"/>
  <c r="AP13" i="20" s="1"/>
  <c r="D8" i="24" s="1"/>
  <c r="AT13" i="20" a="1"/>
  <c r="AT13" i="20" s="1"/>
  <c r="H8" i="24" s="1"/>
  <c r="AK15" i="20" a="1"/>
  <c r="AK15" i="20" s="1"/>
  <c r="B10" i="24" s="1"/>
  <c r="AO15" i="20" a="1"/>
  <c r="AO15" i="20" s="1"/>
  <c r="E10" i="24" s="1"/>
  <c r="AR15" i="20" a="1"/>
  <c r="AR15" i="20" s="1"/>
  <c r="AU15" i="20" a="1"/>
  <c r="AU15" i="20" s="1"/>
  <c r="G10" i="24" s="1"/>
  <c r="AM15" i="20" a="1"/>
  <c r="AM15" i="20" s="1"/>
  <c r="AT15" i="20" a="1"/>
  <c r="AT15" i="20" s="1"/>
  <c r="H10" i="24" s="1"/>
  <c r="AL15" i="20" a="1"/>
  <c r="AL15" i="20" s="1"/>
  <c r="AP15" i="20" a="1"/>
  <c r="AP15" i="20" s="1"/>
  <c r="D10" i="24" s="1"/>
  <c r="AS15" i="20" a="1"/>
  <c r="AS15" i="20" s="1"/>
  <c r="F10" i="24" s="1"/>
  <c r="AV15" i="20" a="1"/>
  <c r="AV15" i="20" s="1"/>
  <c r="AN15" i="20" a="1"/>
  <c r="AN15" i="20" s="1"/>
  <c r="C10" i="24" s="1"/>
  <c r="AQ15" i="20" a="1"/>
  <c r="AQ15" i="20" s="1"/>
  <c r="Q9" i="22" a="1"/>
  <c r="Q9" i="22" s="1"/>
  <c r="L7" i="24" s="1"/>
  <c r="T9" i="22" a="1"/>
  <c r="T9" i="22" s="1"/>
  <c r="O7" i="24" s="1"/>
  <c r="J7" i="24"/>
  <c r="R9" i="22" a="1"/>
  <c r="R9" i="22" s="1"/>
  <c r="M7" i="24" s="1"/>
  <c r="S9" i="22" a="1"/>
  <c r="S9" i="22" s="1"/>
  <c r="N7" i="24" s="1"/>
  <c r="P9" i="22" a="1"/>
  <c r="P9" i="22" s="1"/>
  <c r="K7" i="24" s="1"/>
  <c r="S12" i="22" a="1"/>
  <c r="S12" i="22" s="1"/>
  <c r="N10" i="24" s="1"/>
  <c r="P12" i="22" a="1"/>
  <c r="P12" i="22" s="1"/>
  <c r="K10" i="24" s="1"/>
  <c r="J10" i="24"/>
  <c r="Q12" i="22" a="1"/>
  <c r="Q12" i="22" s="1"/>
  <c r="L10" i="24" s="1"/>
  <c r="T12" i="22" a="1"/>
  <c r="T12" i="22" s="1"/>
  <c r="O10" i="24" s="1"/>
  <c r="R12" i="22" a="1"/>
  <c r="R12" i="22" s="1"/>
  <c r="M10" i="24" s="1"/>
  <c r="R10" i="22" a="1"/>
  <c r="R10" i="22" s="1"/>
  <c r="M8" i="24" s="1"/>
  <c r="J8" i="24"/>
  <c r="Y22" i="4" s="1"/>
  <c r="P10" i="22" a="1"/>
  <c r="P10" i="22" s="1"/>
  <c r="K8" i="24" s="1"/>
  <c r="Z22" i="4" s="1"/>
  <c r="S10" i="22" a="1"/>
  <c r="S10" i="22" s="1"/>
  <c r="T10" i="22" a="1"/>
  <c r="T10" i="22" s="1"/>
  <c r="O8" i="24" s="1"/>
  <c r="Q10" i="22" a="1"/>
  <c r="Q10" i="22" s="1"/>
  <c r="L8" i="24" s="1"/>
  <c r="Q11" i="22" a="1"/>
  <c r="Q11" i="22" s="1"/>
  <c r="L9" i="24" s="1"/>
  <c r="T11" i="22" a="1"/>
  <c r="T11" i="22" s="1"/>
  <c r="O9" i="24" s="1"/>
  <c r="S11" i="22" a="1"/>
  <c r="S11" i="22" s="1"/>
  <c r="N9" i="24" s="1"/>
  <c r="R11" i="22" a="1"/>
  <c r="R11" i="22" s="1"/>
  <c r="M9" i="24" s="1"/>
  <c r="J9" i="24"/>
  <c r="P11" i="22" a="1"/>
  <c r="P11" i="22" s="1"/>
  <c r="K9" i="24" s="1"/>
  <c r="AB22" i="4" s="1"/>
  <c r="J6" i="24"/>
  <c r="P8" i="22" a="1"/>
  <c r="P8" i="22" s="1"/>
  <c r="K6" i="24" s="1"/>
  <c r="R8" i="22" a="1"/>
  <c r="R8" i="22" s="1"/>
  <c r="M6" i="24" s="1"/>
  <c r="T8" i="22" a="1"/>
  <c r="T8" i="22" s="1"/>
  <c r="O6" i="24" s="1"/>
  <c r="Q8" i="22" a="1"/>
  <c r="Q8" i="22" s="1"/>
  <c r="L6" i="24" s="1"/>
  <c r="S8" i="22" a="1"/>
  <c r="S8" i="22" s="1"/>
  <c r="N6" i="24" s="1"/>
  <c r="U8" i="22" a="1"/>
  <c r="U8" i="22" s="1"/>
  <c r="P14" i="22" a="1"/>
  <c r="P14" i="22" s="1"/>
  <c r="K12" i="24" s="1"/>
  <c r="S14" i="22" a="1"/>
  <c r="S14" i="22" s="1"/>
  <c r="N12" i="24" s="1"/>
  <c r="AB23" i="4" s="1"/>
  <c r="Q14" i="22" a="1"/>
  <c r="Q14" i="22" s="1"/>
  <c r="L12" i="24" s="1"/>
  <c r="T14" i="22" a="1"/>
  <c r="T14" i="22" s="1"/>
  <c r="O12" i="24" s="1"/>
  <c r="R14" i="22" a="1"/>
  <c r="R14" i="22" s="1"/>
  <c r="M12" i="24" s="1"/>
  <c r="AA23" i="4" s="1"/>
  <c r="J12" i="24"/>
  <c r="Q13" i="22" a="1"/>
  <c r="Q13" i="22" s="1"/>
  <c r="L11" i="24" s="1"/>
  <c r="J11" i="24"/>
  <c r="R13" i="22" a="1"/>
  <c r="R13" i="22" s="1"/>
  <c r="M11" i="24" s="1"/>
  <c r="Y23" i="4" s="1"/>
  <c r="P13" i="22" a="1"/>
  <c r="P13" i="22" s="1"/>
  <c r="K11" i="24" s="1"/>
  <c r="S13" i="22" a="1"/>
  <c r="S13" i="22" s="1"/>
  <c r="N11" i="24" s="1"/>
  <c r="Z23" i="4" s="1"/>
  <c r="T13" i="22" a="1"/>
  <c r="T13" i="22" s="1"/>
  <c r="O11" i="24" s="1"/>
  <c r="R44" i="25"/>
  <c r="T44" i="25"/>
  <c r="S44" i="25"/>
  <c r="S43" i="25"/>
  <c r="R43" i="25"/>
  <c r="T43" i="25"/>
  <c r="S45" i="25"/>
  <c r="R45" i="25"/>
  <c r="T45" i="25"/>
  <c r="S46" i="25"/>
  <c r="R46" i="25"/>
  <c r="T46" i="25"/>
  <c r="R41" i="25"/>
  <c r="S41" i="25"/>
  <c r="T41" i="25"/>
  <c r="T42" i="25"/>
  <c r="R42" i="25"/>
  <c r="S42" i="25"/>
  <c r="R39" i="25"/>
  <c r="S39" i="25"/>
  <c r="T39" i="25"/>
  <c r="S38" i="25"/>
  <c r="AB54" i="4" s="1"/>
  <c r="R38" i="25"/>
  <c r="T38" i="25"/>
  <c r="S40" i="25"/>
  <c r="T40" i="25"/>
  <c r="R40" i="25"/>
  <c r="R47" i="25"/>
  <c r="T47" i="25"/>
  <c r="S47" i="25"/>
  <c r="U37" i="25"/>
  <c r="B56" i="28" s="1"/>
  <c r="T37" i="25"/>
  <c r="S37" i="25"/>
  <c r="Z54" i="4" s="1"/>
  <c r="R37" i="25"/>
  <c r="Y54" i="4" s="1"/>
  <c r="Y12" i="11"/>
  <c r="E12" i="24"/>
  <c r="G12" i="24"/>
  <c r="B12" i="24"/>
  <c r="D12" i="24"/>
  <c r="F12" i="24"/>
  <c r="C12" i="24"/>
  <c r="H12" i="24"/>
  <c r="E11" i="24"/>
  <c r="B11" i="24"/>
  <c r="D11" i="24"/>
  <c r="G11" i="24"/>
  <c r="F11" i="24"/>
  <c r="C11" i="24"/>
  <c r="H11" i="24"/>
  <c r="E6" i="24"/>
  <c r="N8" i="24"/>
  <c r="AV47" i="11"/>
  <c r="AV48" i="11" s="1"/>
  <c r="L14" i="26"/>
  <c r="L44" i="26"/>
  <c r="X29" i="26"/>
  <c r="M44" i="11"/>
  <c r="C14" i="24"/>
  <c r="F14" i="24"/>
  <c r="E14" i="24"/>
  <c r="H14" i="24"/>
  <c r="B14" i="24"/>
  <c r="D14" i="24"/>
  <c r="G14" i="24"/>
  <c r="B6" i="24"/>
  <c r="F6" i="24"/>
  <c r="D6" i="24"/>
  <c r="B13" i="24"/>
  <c r="D13" i="24"/>
  <c r="G13" i="24"/>
  <c r="C13" i="24"/>
  <c r="F13" i="24"/>
  <c r="E13" i="24"/>
  <c r="H13" i="24"/>
  <c r="G6" i="24"/>
  <c r="M14" i="11"/>
  <c r="X12" i="26"/>
  <c r="M29" i="26"/>
  <c r="Y29" i="11"/>
  <c r="X14" i="11"/>
  <c r="Y42" i="26"/>
  <c r="C6" i="24"/>
  <c r="H6" i="24"/>
  <c r="Y14" i="26"/>
  <c r="X44" i="11"/>
  <c r="M27" i="26"/>
  <c r="Y27" i="26"/>
  <c r="L12" i="26"/>
  <c r="Y42" i="11"/>
  <c r="M42" i="26"/>
  <c r="L27" i="11"/>
  <c r="L42" i="11"/>
  <c r="X27" i="11"/>
  <c r="M12" i="11"/>
  <c r="AW47" i="11"/>
  <c r="AV49" i="11" s="1"/>
  <c r="AV50" i="11" s="1"/>
  <c r="AV51" i="11" s="1"/>
  <c r="AJ34" i="11"/>
  <c r="AK35" i="11" s="1"/>
  <c r="AJ19" i="11"/>
  <c r="AJ20" i="11" s="1"/>
  <c r="AJ21" i="11" s="1"/>
  <c r="CD24" i="36" l="1"/>
  <c r="CF18" i="36"/>
  <c r="CF24" i="36"/>
  <c r="CD18" i="36"/>
  <c r="DP18" i="36"/>
  <c r="DN18" i="36"/>
  <c r="CO18" i="36"/>
  <c r="CQ18" i="36"/>
  <c r="CQ24" i="36"/>
  <c r="CO24" i="36"/>
  <c r="T18" i="36"/>
  <c r="BQ19" i="36"/>
  <c r="BP22" i="36"/>
  <c r="BG18" i="36"/>
  <c r="AQ20" i="36"/>
  <c r="AG23" i="36"/>
  <c r="AH18" i="36"/>
  <c r="R21" i="36"/>
  <c r="DE18" i="36"/>
  <c r="BE19" i="36"/>
  <c r="G19" i="36"/>
  <c r="BR18" i="36"/>
  <c r="AQ23" i="36"/>
  <c r="BP20" i="36"/>
  <c r="AG21" i="36"/>
  <c r="BP21" i="36"/>
  <c r="AF23" i="36"/>
  <c r="G21" i="36"/>
  <c r="BP23" i="36"/>
  <c r="AQ21" i="36"/>
  <c r="AI18" i="36"/>
  <c r="G22" i="36"/>
  <c r="BP18" i="36"/>
  <c r="AQ22" i="36"/>
  <c r="R23" i="36"/>
  <c r="DC18" i="36"/>
  <c r="BE20" i="36"/>
  <c r="BE23" i="36"/>
  <c r="I18" i="36"/>
  <c r="BE18" i="36"/>
  <c r="R22" i="36"/>
  <c r="G20" i="36"/>
  <c r="BE21" i="36"/>
  <c r="AQ18" i="36"/>
  <c r="R20" i="36"/>
  <c r="BP19" i="36"/>
  <c r="BE22" i="36"/>
  <c r="AS18" i="36"/>
  <c r="R19" i="36"/>
  <c r="G18" i="36"/>
  <c r="AF18" i="36"/>
  <c r="R18" i="36"/>
  <c r="AQ19" i="36"/>
  <c r="AG22" i="36"/>
  <c r="G23" i="36"/>
  <c r="AF19" i="36"/>
  <c r="AF20" i="36"/>
  <c r="AF21" i="36"/>
  <c r="AF22" i="36"/>
  <c r="AA54" i="4"/>
  <c r="DQ18" i="36"/>
  <c r="DO18" i="36"/>
  <c r="AA22" i="4"/>
  <c r="AC20" i="4" s="1"/>
  <c r="AC19" i="4" s="1"/>
  <c r="CG24" i="36"/>
  <c r="CE24" i="36"/>
  <c r="CG18" i="36"/>
  <c r="CE18" i="36"/>
  <c r="AC23" i="4"/>
  <c r="AD23" i="4" s="1"/>
  <c r="CR18" i="36"/>
  <c r="CP18" i="36"/>
  <c r="CR24" i="36"/>
  <c r="CP24" i="36"/>
  <c r="AB79" i="4"/>
  <c r="AB78" i="4"/>
  <c r="S20" i="36"/>
  <c r="S19" i="36"/>
  <c r="S21" i="36"/>
  <c r="S23" i="36"/>
  <c r="S22" i="36"/>
  <c r="S18" i="36"/>
  <c r="Y75" i="4"/>
  <c r="Y43" i="4"/>
  <c r="Y74" i="4"/>
  <c r="Y69" i="4"/>
  <c r="Y68" i="4"/>
  <c r="Y78" i="4"/>
  <c r="Y79" i="4"/>
  <c r="AA77" i="4"/>
  <c r="Y73" i="4"/>
  <c r="Y72" i="4"/>
  <c r="AA71" i="4"/>
  <c r="AA75" i="4"/>
  <c r="AA68" i="4"/>
  <c r="Y76" i="4"/>
  <c r="Y70" i="4"/>
  <c r="AA69" i="4"/>
  <c r="AA43" i="4"/>
  <c r="Z76" i="4"/>
  <c r="AB43" i="4"/>
  <c r="AB75" i="4"/>
  <c r="Y77" i="4"/>
  <c r="AA70" i="4"/>
  <c r="AA76" i="4"/>
  <c r="Y71" i="4"/>
  <c r="Z69" i="4"/>
  <c r="Z68" i="4"/>
  <c r="Z75" i="4"/>
  <c r="Z74" i="4"/>
  <c r="Z43" i="4"/>
  <c r="AA78" i="4"/>
  <c r="AA73" i="4"/>
  <c r="AA72" i="4"/>
  <c r="AA79" i="4"/>
  <c r="AB73" i="4"/>
  <c r="AB72" i="4"/>
  <c r="Z78" i="4"/>
  <c r="Z79" i="4"/>
  <c r="Z72" i="4"/>
  <c r="AB71" i="4"/>
  <c r="Z73" i="4"/>
  <c r="Z70" i="4"/>
  <c r="AB69" i="4"/>
  <c r="AB68" i="4"/>
  <c r="AB77" i="4"/>
  <c r="Z77" i="4"/>
  <c r="AB76" i="4"/>
  <c r="Z71" i="4"/>
  <c r="AB70" i="4"/>
  <c r="DF18" i="36"/>
  <c r="DD18" i="36"/>
  <c r="H22" i="36"/>
  <c r="H20" i="36"/>
  <c r="H23" i="36"/>
  <c r="H21" i="36"/>
  <c r="H19" i="36"/>
  <c r="T21" i="36"/>
  <c r="T23" i="36"/>
  <c r="T22" i="36"/>
  <c r="U22" i="36"/>
  <c r="U19" i="36"/>
  <c r="T20" i="36"/>
  <c r="U21" i="36"/>
  <c r="U23" i="36"/>
  <c r="T19" i="36"/>
  <c r="U20" i="36"/>
  <c r="H18" i="36"/>
  <c r="U18" i="36"/>
  <c r="I19" i="36"/>
  <c r="I22" i="36"/>
  <c r="U89" i="4"/>
  <c r="U90" i="4"/>
  <c r="U91" i="4"/>
  <c r="S86" i="4"/>
  <c r="V85" i="4"/>
  <c r="V90" i="4"/>
  <c r="J19" i="36"/>
  <c r="J22" i="36"/>
  <c r="V91" i="4"/>
  <c r="T86" i="4"/>
  <c r="S89" i="4"/>
  <c r="S90" i="4"/>
  <c r="S91" i="4"/>
  <c r="S92" i="4"/>
  <c r="V93" i="4"/>
  <c r="U86" i="4"/>
  <c r="T83" i="4"/>
  <c r="T84" i="4"/>
  <c r="T85" i="4"/>
  <c r="T93" i="4"/>
  <c r="V84" i="4"/>
  <c r="I23" i="36"/>
  <c r="V89" i="4"/>
  <c r="U93" i="4"/>
  <c r="S84" i="4"/>
  <c r="T89" i="4"/>
  <c r="T90" i="4"/>
  <c r="T91" i="4"/>
  <c r="T92" i="4"/>
  <c r="S93" i="4"/>
  <c r="V86" i="4"/>
  <c r="U83" i="4"/>
  <c r="U84" i="4"/>
  <c r="U85" i="4"/>
  <c r="U92" i="4"/>
  <c r="V83" i="4"/>
  <c r="J20" i="36"/>
  <c r="V92" i="4"/>
  <c r="S83" i="4"/>
  <c r="S85" i="4"/>
  <c r="J23" i="36"/>
  <c r="I20" i="36"/>
  <c r="J21" i="36"/>
  <c r="J18" i="36"/>
  <c r="V82" i="4"/>
  <c r="T82" i="4"/>
  <c r="I21" i="36"/>
  <c r="U82" i="4"/>
  <c r="S82" i="4"/>
  <c r="B22" i="24"/>
  <c r="B19" i="24"/>
  <c r="U29" i="25"/>
  <c r="J27" i="24"/>
  <c r="J23" i="24"/>
  <c r="O23" i="24"/>
  <c r="O27" i="24"/>
  <c r="B61" i="1"/>
  <c r="T15" i="22"/>
  <c r="Q15" i="22"/>
  <c r="H17" i="1" s="1"/>
  <c r="D48" i="4"/>
  <c r="B60" i="1"/>
  <c r="AJ35" i="11"/>
  <c r="AJ36" i="11" s="1"/>
  <c r="AA9" i="11"/>
  <c r="AC22" i="4" l="1"/>
  <c r="AD22" i="4" s="1"/>
  <c r="AC74" i="4"/>
  <c r="AD74" i="4" s="1"/>
  <c r="CS24" i="36"/>
  <c r="E23" i="4" s="1"/>
  <c r="CH24" i="36"/>
  <c r="E22" i="4" s="1"/>
  <c r="CS18" i="36"/>
  <c r="D23" i="4" s="1"/>
  <c r="V18" i="36"/>
  <c r="K68" i="4" s="1"/>
  <c r="AF74" i="4" s="1"/>
  <c r="AC69" i="4"/>
  <c r="AD69" i="4" s="1"/>
  <c r="AC78" i="4"/>
  <c r="AD78" i="4" s="1"/>
  <c r="AC76" i="4"/>
  <c r="AD76" i="4" s="1"/>
  <c r="AC77" i="4"/>
  <c r="AD77" i="4" s="1"/>
  <c r="AC79" i="4"/>
  <c r="AD79" i="4" s="1"/>
  <c r="K21" i="36"/>
  <c r="J71" i="4" s="1"/>
  <c r="AC68" i="4"/>
  <c r="AD68" i="4" s="1"/>
  <c r="DR18" i="36"/>
  <c r="D54" i="4" s="1"/>
  <c r="AC54" i="4"/>
  <c r="AD54" i="4" s="1"/>
  <c r="AC71" i="4"/>
  <c r="AD71" i="4" s="1"/>
  <c r="AC73" i="4"/>
  <c r="AD73" i="4" s="1"/>
  <c r="AC43" i="4"/>
  <c r="AD43" i="4" s="1"/>
  <c r="V19" i="36"/>
  <c r="K69" i="4" s="1"/>
  <c r="AF75" i="4" s="1"/>
  <c r="AC70" i="4"/>
  <c r="AD70" i="4" s="1"/>
  <c r="AM40" i="26"/>
  <c r="AM40" i="11"/>
  <c r="AC72" i="4"/>
  <c r="AD72" i="4" s="1"/>
  <c r="AC75" i="4"/>
  <c r="AD75" i="4" s="1"/>
  <c r="DG18" i="36"/>
  <c r="D43" i="4" s="1"/>
  <c r="AF43" i="4" s="1"/>
  <c r="V22" i="36"/>
  <c r="K72" i="4" s="1"/>
  <c r="AF78" i="4" s="1"/>
  <c r="K22" i="36"/>
  <c r="J72" i="4" s="1"/>
  <c r="K19" i="36"/>
  <c r="J69" i="4" s="1"/>
  <c r="V23" i="36"/>
  <c r="K73" i="4" s="1"/>
  <c r="AF79" i="4" s="1"/>
  <c r="K23" i="36"/>
  <c r="J73" i="4" s="1"/>
  <c r="V21" i="36"/>
  <c r="K71" i="4" s="1"/>
  <c r="AF77" i="4" s="1"/>
  <c r="K20" i="36"/>
  <c r="J70" i="4" s="1"/>
  <c r="V20" i="36"/>
  <c r="K70" i="4" s="1"/>
  <c r="AF76" i="4" s="1"/>
  <c r="K18" i="36"/>
  <c r="J68" i="4" s="1"/>
  <c r="AF68" i="4" s="1"/>
  <c r="Q13" i="1"/>
  <c r="H18" i="1"/>
  <c r="H16" i="28"/>
  <c r="Q12" i="1"/>
  <c r="AA10" i="11"/>
  <c r="AF54" i="4" l="1"/>
  <c r="F35" i="1"/>
  <c r="O35" i="1" s="1"/>
  <c r="F23" i="4"/>
  <c r="AF23" i="4" s="1"/>
  <c r="F29" i="1"/>
  <c r="O29" i="1" s="1"/>
  <c r="O68" i="4"/>
  <c r="I43" i="28" s="1"/>
  <c r="F31" i="28"/>
  <c r="F26" i="28"/>
  <c r="N70" i="4"/>
  <c r="H45" i="28" s="1"/>
  <c r="AF70" i="4"/>
  <c r="F48" i="1"/>
  <c r="F43" i="28" s="1"/>
  <c r="N72" i="4"/>
  <c r="H52" i="1" s="1"/>
  <c r="AF72" i="4"/>
  <c r="N71" i="4"/>
  <c r="H51" i="1" s="1"/>
  <c r="AF71" i="4"/>
  <c r="N73" i="4"/>
  <c r="H48" i="28" s="1"/>
  <c r="AF73" i="4"/>
  <c r="N69" i="4"/>
  <c r="H44" i="28" s="1"/>
  <c r="AF69" i="4"/>
  <c r="F52" i="1"/>
  <c r="F47" i="28" s="1"/>
  <c r="F53" i="1"/>
  <c r="F48" i="28" s="1"/>
  <c r="N68" i="4"/>
  <c r="H48" i="1" s="1"/>
  <c r="F51" i="1"/>
  <c r="F46" i="28" s="1"/>
  <c r="F49" i="1"/>
  <c r="F44" i="28" s="1"/>
  <c r="F50" i="1"/>
  <c r="F45" i="28" s="1"/>
  <c r="G48" i="1"/>
  <c r="G43" i="28" s="1"/>
  <c r="H17" i="28"/>
  <c r="H46" i="28" l="1"/>
  <c r="F18" i="1"/>
  <c r="F17" i="28" s="1"/>
  <c r="BL16" i="11"/>
  <c r="BL13" i="11"/>
  <c r="BL16" i="26"/>
  <c r="BL13" i="26"/>
  <c r="BL46" i="11"/>
  <c r="BL43" i="11"/>
  <c r="BF21" i="36"/>
  <c r="CA16" i="11" s="1"/>
  <c r="BW16" i="11"/>
  <c r="BW13" i="11"/>
  <c r="CA28" i="11"/>
  <c r="BW31" i="11"/>
  <c r="BW28" i="11"/>
  <c r="BF19" i="36"/>
  <c r="BP31" i="11" s="1"/>
  <c r="BL31" i="11"/>
  <c r="BL28" i="11"/>
  <c r="BY43" i="11"/>
  <c r="BW46" i="11"/>
  <c r="BW43" i="11"/>
  <c r="BY31" i="11"/>
  <c r="BY46" i="11"/>
  <c r="H53" i="1"/>
  <c r="H47" i="28"/>
  <c r="I48" i="1"/>
  <c r="H50" i="1"/>
  <c r="H49" i="1"/>
  <c r="BM16" i="11"/>
  <c r="BY13" i="11"/>
  <c r="BM13" i="26"/>
  <c r="BO13" i="11"/>
  <c r="AH19" i="36"/>
  <c r="H43" i="28"/>
  <c r="BF23" i="36" l="1"/>
  <c r="CA46" i="11" s="1"/>
  <c r="AH22" i="36"/>
  <c r="BX28" i="11" s="1"/>
  <c r="BH19" i="36"/>
  <c r="BO31" i="11" s="1"/>
  <c r="BY28" i="11"/>
  <c r="AI22" i="36"/>
  <c r="BZ28" i="11" s="1"/>
  <c r="AI23" i="36"/>
  <c r="BZ43" i="11" s="1"/>
  <c r="BH21" i="36"/>
  <c r="BZ16" i="11" s="1"/>
  <c r="BY16" i="11"/>
  <c r="BG21" i="36"/>
  <c r="BX16" i="11" s="1"/>
  <c r="BH23" i="36"/>
  <c r="BZ46" i="11" s="1"/>
  <c r="BG23" i="36"/>
  <c r="BX46" i="11" s="1"/>
  <c r="CA43" i="11"/>
  <c r="AH23" i="36"/>
  <c r="BX43" i="11" s="1"/>
  <c r="BG19" i="36"/>
  <c r="BM31" i="11" s="1"/>
  <c r="BN31" i="11"/>
  <c r="BM28" i="11"/>
  <c r="AI19" i="36"/>
  <c r="BH22" i="36"/>
  <c r="BZ31" i="11" s="1"/>
  <c r="BG22" i="36"/>
  <c r="BX31" i="11" s="1"/>
  <c r="BF22" i="36"/>
  <c r="CA31" i="11" s="1"/>
  <c r="CA13" i="11"/>
  <c r="AH21" i="36"/>
  <c r="BX13" i="11" s="1"/>
  <c r="AI21" i="36"/>
  <c r="BZ13" i="11" s="1"/>
  <c r="BN16" i="11"/>
  <c r="BF18" i="36"/>
  <c r="BP16" i="11" s="1"/>
  <c r="BN13" i="26"/>
  <c r="AR18" i="36"/>
  <c r="BP13" i="26" s="1"/>
  <c r="BF20" i="36"/>
  <c r="BP46" i="11" s="1"/>
  <c r="BN46" i="11"/>
  <c r="BM16" i="26"/>
  <c r="BN16" i="26"/>
  <c r="BQ18" i="36"/>
  <c r="BP16" i="26" s="1"/>
  <c r="AG19" i="36"/>
  <c r="AG18" i="36"/>
  <c r="BM13" i="11"/>
  <c r="BN13" i="11"/>
  <c r="BN43" i="11"/>
  <c r="AG20" i="36"/>
  <c r="BP43" i="11" s="1"/>
  <c r="BS18" i="36"/>
  <c r="BO16" i="26" s="1"/>
  <c r="BH18" i="36"/>
  <c r="BO16" i="11" s="1"/>
  <c r="AI20" i="36"/>
  <c r="BO43" i="11" s="1"/>
  <c r="AH20" i="36"/>
  <c r="BM43" i="11" s="1"/>
  <c r="BG20" i="36"/>
  <c r="BM46" i="11" s="1"/>
  <c r="BH20" i="36"/>
  <c r="BO46" i="11" s="1"/>
  <c r="AT18" i="36"/>
  <c r="BO13" i="26" s="1"/>
  <c r="BP13" i="11" l="1"/>
  <c r="BQ13" i="11" s="1"/>
  <c r="AJ18" i="36"/>
  <c r="F13" i="11" s="1"/>
  <c r="BQ16" i="26"/>
  <c r="CB28" i="11"/>
  <c r="AJ22" i="36"/>
  <c r="R28" i="11" s="1"/>
  <c r="T28" i="11" s="1"/>
  <c r="W28" i="11" s="1"/>
  <c r="Y28" i="11" s="1"/>
  <c r="CB43" i="11"/>
  <c r="CB16" i="11"/>
  <c r="AJ23" i="36"/>
  <c r="R43" i="11" s="1"/>
  <c r="T43" i="11" s="1"/>
  <c r="W43" i="11" s="1"/>
  <c r="Y43" i="11" s="1"/>
  <c r="CB46" i="11"/>
  <c r="BI19" i="36"/>
  <c r="F31" i="11" s="1"/>
  <c r="H31" i="11" s="1"/>
  <c r="K31" i="11" s="1"/>
  <c r="L31" i="11" s="1"/>
  <c r="BI21" i="36"/>
  <c r="R16" i="11" s="1"/>
  <c r="T16" i="11" s="1"/>
  <c r="W16" i="11" s="1"/>
  <c r="Y16" i="11" s="1"/>
  <c r="BI23" i="36"/>
  <c r="R46" i="11" s="1"/>
  <c r="T46" i="11" s="1"/>
  <c r="W46" i="11" s="1"/>
  <c r="Y46" i="11" s="1"/>
  <c r="BQ31" i="11"/>
  <c r="BP28" i="11"/>
  <c r="BN28" i="11"/>
  <c r="BO28" i="11"/>
  <c r="BQ43" i="11"/>
  <c r="CB13" i="11"/>
  <c r="BQ46" i="11"/>
  <c r="CB31" i="11"/>
  <c r="BI22" i="36"/>
  <c r="R31" i="11" s="1"/>
  <c r="AJ21" i="36"/>
  <c r="R13" i="11" s="1"/>
  <c r="AJ19" i="36"/>
  <c r="F28" i="11" s="1"/>
  <c r="CH18" i="36"/>
  <c r="BT18" i="36"/>
  <c r="F16" i="26" s="1"/>
  <c r="AU18" i="36"/>
  <c r="F13" i="26" s="1"/>
  <c r="BI20" i="36"/>
  <c r="F46" i="11" s="1"/>
  <c r="AJ20" i="36"/>
  <c r="F43" i="11" s="1"/>
  <c r="BI18" i="36"/>
  <c r="F16" i="11" s="1"/>
  <c r="D22" i="4" l="1"/>
  <c r="F22" i="4" s="1"/>
  <c r="H16" i="26"/>
  <c r="K16" i="26" s="1"/>
  <c r="M16" i="26" s="1"/>
  <c r="BH16" i="26"/>
  <c r="H13" i="26"/>
  <c r="K13" i="26" s="1"/>
  <c r="M13" i="26" s="1"/>
  <c r="BH13" i="26"/>
  <c r="BS43" i="11"/>
  <c r="BS28" i="11"/>
  <c r="BH31" i="11"/>
  <c r="BS46" i="11"/>
  <c r="BS16" i="11"/>
  <c r="X43" i="11"/>
  <c r="M31" i="11"/>
  <c r="X46" i="11"/>
  <c r="X16" i="11"/>
  <c r="X28" i="11"/>
  <c r="H13" i="11"/>
  <c r="BH13" i="11"/>
  <c r="T31" i="11"/>
  <c r="W31" i="11" s="1"/>
  <c r="Y31" i="11" s="1"/>
  <c r="Y32" i="11" s="1"/>
  <c r="BS31" i="11"/>
  <c r="Y47" i="11"/>
  <c r="H43" i="11"/>
  <c r="K43" i="11" s="1"/>
  <c r="M43" i="11" s="1"/>
  <c r="BH43" i="11"/>
  <c r="H16" i="11"/>
  <c r="K16" i="11" s="1"/>
  <c r="BH16" i="11"/>
  <c r="H28" i="11"/>
  <c r="K28" i="11" s="1"/>
  <c r="M28" i="11" s="1"/>
  <c r="BH28" i="11"/>
  <c r="H46" i="11"/>
  <c r="K46" i="11" s="1"/>
  <c r="M46" i="11" s="1"/>
  <c r="BH46" i="11"/>
  <c r="T13" i="11"/>
  <c r="W13" i="11" s="1"/>
  <c r="Y13" i="11" s="1"/>
  <c r="Y17" i="11" s="1"/>
  <c r="BS13" i="11"/>
  <c r="BQ16" i="11"/>
  <c r="BQ28" i="11"/>
  <c r="F17" i="1" l="1"/>
  <c r="F16" i="28" s="1"/>
  <c r="AF22" i="4"/>
  <c r="M16" i="11"/>
  <c r="L16" i="11"/>
  <c r="K13" i="11"/>
  <c r="L13" i="11" s="1"/>
  <c r="L13" i="26"/>
  <c r="L16" i="26"/>
  <c r="M17" i="26"/>
  <c r="X13" i="11"/>
  <c r="X17" i="11" s="1"/>
  <c r="X18" i="11" s="1"/>
  <c r="X19" i="11" s="1"/>
  <c r="M32" i="11"/>
  <c r="X47" i="11"/>
  <c r="X48" i="11" s="1"/>
  <c r="X49" i="11" s="1"/>
  <c r="L43" i="11"/>
  <c r="L28" i="11"/>
  <c r="L32" i="11" s="1"/>
  <c r="L33" i="11" s="1"/>
  <c r="L46" i="11"/>
  <c r="M47" i="11"/>
  <c r="X31" i="11"/>
  <c r="X32" i="11" s="1"/>
  <c r="X33" i="11" s="1"/>
  <c r="X34" i="11" s="1"/>
  <c r="L17" i="26" l="1"/>
  <c r="L18" i="26" s="1"/>
  <c r="L19" i="26" s="1"/>
  <c r="L17" i="11"/>
  <c r="L18" i="11" s="1"/>
  <c r="M13" i="11"/>
  <c r="M17" i="11" s="1"/>
  <c r="X20" i="11"/>
  <c r="X21" i="11" s="1"/>
  <c r="P71" i="4" s="1"/>
  <c r="Q51" i="1" s="1"/>
  <c r="K51" i="1" s="1"/>
  <c r="X35" i="11"/>
  <c r="X36" i="11" s="1"/>
  <c r="P72" i="4" s="1"/>
  <c r="Q52" i="1" s="1"/>
  <c r="K52" i="1" s="1"/>
  <c r="X50" i="11"/>
  <c r="X51" i="11" s="1"/>
  <c r="P73" i="4" s="1"/>
  <c r="Q53" i="1" s="1"/>
  <c r="K53" i="1" s="1"/>
  <c r="L34" i="11"/>
  <c r="L47" i="11"/>
  <c r="L48" i="11" s="1"/>
  <c r="L49" i="11" s="1"/>
  <c r="L19" i="11" l="1"/>
  <c r="L20" i="11" s="1"/>
  <c r="L21" i="11" s="1"/>
  <c r="P68" i="4" s="1"/>
  <c r="Q48" i="1" s="1"/>
  <c r="K48" i="1" s="1"/>
  <c r="T52" i="1"/>
  <c r="K47" i="28"/>
  <c r="K48" i="28"/>
  <c r="T53" i="1"/>
  <c r="L82" i="4" s="1"/>
  <c r="T51" i="1"/>
  <c r="K46" i="28"/>
  <c r="L35" i="11"/>
  <c r="L36" i="11" s="1"/>
  <c r="L20" i="26"/>
  <c r="L21" i="26" s="1"/>
  <c r="Q68" i="4" s="1"/>
  <c r="R48" i="1" s="1"/>
  <c r="L48" i="1" s="1"/>
  <c r="L50" i="11"/>
  <c r="L51" i="11" s="1"/>
  <c r="M35" i="11"/>
  <c r="L43" i="28" l="1"/>
  <c r="U48" i="1"/>
  <c r="M77" i="4" s="1"/>
  <c r="Q42" i="1"/>
  <c r="I42" i="1" s="1"/>
  <c r="P69" i="4"/>
  <c r="Q49" i="1" s="1"/>
  <c r="K49" i="1" s="1"/>
  <c r="T49" i="1" s="1"/>
  <c r="L78" i="4" s="1"/>
  <c r="K43" i="28"/>
  <c r="T48" i="1"/>
  <c r="Q43" i="1"/>
  <c r="I43" i="1" s="1"/>
  <c r="P70" i="4"/>
  <c r="Q50" i="1" s="1"/>
  <c r="K50" i="1" s="1"/>
  <c r="K45" i="28" s="1"/>
  <c r="Q41" i="1"/>
  <c r="I41" i="1" s="1"/>
  <c r="W53" i="1"/>
  <c r="L80" i="4"/>
  <c r="W51" i="1"/>
  <c r="L81" i="4"/>
  <c r="W52" i="1"/>
  <c r="G50" i="1"/>
  <c r="G45" i="28" s="1"/>
  <c r="O70" i="4"/>
  <c r="G52" i="1"/>
  <c r="G47" i="28" s="1"/>
  <c r="O72" i="4"/>
  <c r="G49" i="1"/>
  <c r="G44" i="28" s="1"/>
  <c r="O69" i="4"/>
  <c r="G51" i="1"/>
  <c r="G46" i="28" s="1"/>
  <c r="O71" i="4"/>
  <c r="U71" i="1" l="1"/>
  <c r="L77" i="4"/>
  <c r="K44" i="28"/>
  <c r="X48" i="1"/>
  <c r="W48" i="1"/>
  <c r="T50" i="1"/>
  <c r="L79" i="4" s="1"/>
  <c r="W49" i="1"/>
  <c r="BL46" i="26"/>
  <c r="BL43" i="26"/>
  <c r="BL31" i="26"/>
  <c r="BL28" i="26"/>
  <c r="BW16" i="26"/>
  <c r="BW13" i="26"/>
  <c r="BW31" i="26"/>
  <c r="BW28" i="26"/>
  <c r="BH43" i="26"/>
  <c r="I51" i="1"/>
  <c r="I46" i="28"/>
  <c r="I52" i="1"/>
  <c r="I47" i="28"/>
  <c r="I49" i="1"/>
  <c r="I44" i="28"/>
  <c r="I50" i="1"/>
  <c r="I45" i="28"/>
  <c r="Y48" i="1" l="1"/>
  <c r="W50" i="1"/>
  <c r="BQ22" i="36"/>
  <c r="CA31" i="26" s="1"/>
  <c r="BY31" i="26"/>
  <c r="BQ21" i="36"/>
  <c r="CA16" i="26" s="1"/>
  <c r="BY16" i="26"/>
  <c r="BN46" i="26"/>
  <c r="BQ20" i="36"/>
  <c r="BP46" i="26" s="1"/>
  <c r="BP31" i="26"/>
  <c r="BN31" i="26"/>
  <c r="AR22" i="36"/>
  <c r="CA28" i="26" s="1"/>
  <c r="BY28" i="26"/>
  <c r="BY13" i="26"/>
  <c r="AR21" i="36"/>
  <c r="CA13" i="26" s="1"/>
  <c r="AR20" i="36"/>
  <c r="BP43" i="26" s="1"/>
  <c r="BN43" i="26"/>
  <c r="AR19" i="36"/>
  <c r="BP28" i="26" s="1"/>
  <c r="BR22" i="36"/>
  <c r="BX31" i="26" s="1"/>
  <c r="BS22" i="36"/>
  <c r="BZ31" i="26" s="1"/>
  <c r="BS19" i="36"/>
  <c r="BO31" i="26" s="1"/>
  <c r="BR19" i="36"/>
  <c r="BM31" i="26" s="1"/>
  <c r="BS21" i="36"/>
  <c r="BZ16" i="26" s="1"/>
  <c r="BR21" i="36"/>
  <c r="BX16" i="26" s="1"/>
  <c r="AT21" i="36"/>
  <c r="BZ13" i="26" s="1"/>
  <c r="AS21" i="36"/>
  <c r="BX13" i="26" s="1"/>
  <c r="BS20" i="36"/>
  <c r="BO46" i="26" s="1"/>
  <c r="BR20" i="36"/>
  <c r="BM46" i="26" s="1"/>
  <c r="AS20" i="36"/>
  <c r="BM43" i="26" s="1"/>
  <c r="AT20" i="36"/>
  <c r="BO43" i="26" s="1"/>
  <c r="AS22" i="36"/>
  <c r="BX28" i="26" s="1"/>
  <c r="AT22" i="36"/>
  <c r="BZ28" i="26" s="1"/>
  <c r="AS19" i="36"/>
  <c r="AT19" i="36"/>
  <c r="BO28" i="26" l="1"/>
  <c r="BN28" i="26"/>
  <c r="BM28" i="26"/>
  <c r="BQ31" i="26"/>
  <c r="BQ46" i="26"/>
  <c r="BQ43" i="26"/>
  <c r="CB13" i="26"/>
  <c r="CB16" i="26"/>
  <c r="CB28" i="26"/>
  <c r="CB31" i="26"/>
  <c r="BT22" i="36"/>
  <c r="R31" i="26" s="1"/>
  <c r="BT21" i="36"/>
  <c r="R16" i="26" s="1"/>
  <c r="AU21" i="36"/>
  <c r="R13" i="26" s="1"/>
  <c r="AU19" i="36"/>
  <c r="F28" i="26" s="1"/>
  <c r="AU22" i="36"/>
  <c r="R28" i="26" s="1"/>
  <c r="BT20" i="36"/>
  <c r="F46" i="26" s="1"/>
  <c r="H46" i="26" s="1"/>
  <c r="K46" i="26" s="1"/>
  <c r="AU20" i="36"/>
  <c r="F43" i="26" s="1"/>
  <c r="H43" i="26" s="1"/>
  <c r="K43" i="26" s="1"/>
  <c r="M43" i="26" s="1"/>
  <c r="BT19" i="36"/>
  <c r="F31" i="26" s="1"/>
  <c r="BQ13" i="26" l="1"/>
  <c r="BQ28" i="26"/>
  <c r="H31" i="26"/>
  <c r="K31" i="26" s="1"/>
  <c r="M31" i="26" s="1"/>
  <c r="BH31" i="26"/>
  <c r="H28" i="26"/>
  <c r="K28" i="26" s="1"/>
  <c r="M28" i="26" s="1"/>
  <c r="BH28" i="26"/>
  <c r="T13" i="26"/>
  <c r="W13" i="26" s="1"/>
  <c r="X13" i="26" s="1"/>
  <c r="BS13" i="26"/>
  <c r="T16" i="26"/>
  <c r="W16" i="26" s="1"/>
  <c r="X16" i="26" s="1"/>
  <c r="BS16" i="26"/>
  <c r="T28" i="26"/>
  <c r="W28" i="26" s="1"/>
  <c r="Y28" i="26" s="1"/>
  <c r="BS28" i="26"/>
  <c r="T31" i="26"/>
  <c r="W31" i="26" s="1"/>
  <c r="Y31" i="26" s="1"/>
  <c r="BS31" i="26"/>
  <c r="L43" i="26"/>
  <c r="L46" i="26"/>
  <c r="M46" i="26"/>
  <c r="M47" i="26" s="1"/>
  <c r="Y13" i="26" l="1"/>
  <c r="L31" i="26"/>
  <c r="X31" i="26"/>
  <c r="L28" i="26"/>
  <c r="M32" i="26"/>
  <c r="X17" i="26"/>
  <c r="X18" i="26" s="1"/>
  <c r="Y16" i="26"/>
  <c r="X28" i="26"/>
  <c r="L47" i="26"/>
  <c r="L48" i="26" s="1"/>
  <c r="L49" i="26" s="1"/>
  <c r="Y32" i="26"/>
  <c r="L50" i="26" l="1"/>
  <c r="L51" i="26" s="1"/>
  <c r="Q70" i="4" s="1"/>
  <c r="R50" i="1" s="1"/>
  <c r="L50" i="1" s="1"/>
  <c r="Y17" i="26"/>
  <c r="X19" i="26" s="1"/>
  <c r="L32" i="26"/>
  <c r="L33" i="26" s="1"/>
  <c r="L34" i="26" s="1"/>
  <c r="L35" i="26" s="1"/>
  <c r="X32" i="26"/>
  <c r="X33" i="26" s="1"/>
  <c r="X34" i="26" s="1"/>
  <c r="O73" i="4"/>
  <c r="G53" i="1"/>
  <c r="G48" i="28" s="1"/>
  <c r="L45" i="28" l="1"/>
  <c r="U50" i="1"/>
  <c r="M79" i="4" s="1"/>
  <c r="X20" i="26"/>
  <c r="X21" i="26" s="1"/>
  <c r="Q71" i="4" s="1"/>
  <c r="R51" i="1" s="1"/>
  <c r="L51" i="1" s="1"/>
  <c r="X35" i="26"/>
  <c r="X36" i="26" s="1"/>
  <c r="Q72" i="4" s="1"/>
  <c r="R52" i="1" s="1"/>
  <c r="L52" i="1" s="1"/>
  <c r="M35" i="26"/>
  <c r="L36" i="26"/>
  <c r="Q69" i="4" s="1"/>
  <c r="R49" i="1" s="1"/>
  <c r="L49" i="1" s="1"/>
  <c r="U49" i="1" s="1"/>
  <c r="U72" i="1" s="1"/>
  <c r="BW46" i="26"/>
  <c r="BW43" i="26"/>
  <c r="I53" i="1"/>
  <c r="I48" i="28"/>
  <c r="U51" i="1" l="1"/>
  <c r="L46" i="28"/>
  <c r="L47" i="28"/>
  <c r="U52" i="1"/>
  <c r="U75" i="1" s="1"/>
  <c r="U73" i="1"/>
  <c r="X50" i="1"/>
  <c r="Y50" i="1" s="1"/>
  <c r="M78" i="4"/>
  <c r="L44" i="28"/>
  <c r="X49" i="1"/>
  <c r="Y49" i="1" s="1"/>
  <c r="BQ23" i="36"/>
  <c r="CA46" i="26" s="1"/>
  <c r="BY46" i="26"/>
  <c r="AR23" i="36"/>
  <c r="CA43" i="26" s="1"/>
  <c r="BY43" i="26"/>
  <c r="BS23" i="36"/>
  <c r="BZ46" i="26" s="1"/>
  <c r="BR23" i="36"/>
  <c r="BX46" i="26" s="1"/>
  <c r="AT23" i="36"/>
  <c r="BZ43" i="26" s="1"/>
  <c r="AS23" i="36"/>
  <c r="BX43" i="26" s="1"/>
  <c r="X52" i="1" l="1"/>
  <c r="Y52" i="1" s="1"/>
  <c r="M81" i="4"/>
  <c r="X51" i="1"/>
  <c r="Y51" i="1" s="1"/>
  <c r="U74" i="1"/>
  <c r="M80" i="4"/>
  <c r="CB46" i="26"/>
  <c r="CB43" i="26"/>
  <c r="AU23" i="36"/>
  <c r="R43" i="26" s="1"/>
  <c r="BT23" i="36"/>
  <c r="R46" i="26" s="1"/>
  <c r="T43" i="26" l="1"/>
  <c r="W43" i="26" s="1"/>
  <c r="X43" i="26" s="1"/>
  <c r="BS43" i="26"/>
  <c r="T46" i="26"/>
  <c r="W46" i="26" s="1"/>
  <c r="Y46" i="26" s="1"/>
  <c r="BS46" i="26"/>
  <c r="Y43" i="26" l="1"/>
  <c r="Y47" i="26" s="1"/>
  <c r="X46" i="26"/>
  <c r="X47" i="26" s="1"/>
  <c r="X48" i="26" s="1"/>
  <c r="X49" i="26" l="1"/>
  <c r="X50" i="26" l="1"/>
  <c r="X51" i="26" s="1"/>
  <c r="Q73" i="4" s="1"/>
  <c r="R53" i="1" s="1"/>
  <c r="L53" i="1" s="1"/>
  <c r="L48" i="28" l="1"/>
  <c r="U53" i="1"/>
  <c r="X53" i="1" s="1"/>
  <c r="Y53" i="1" s="1"/>
  <c r="U76" i="1" l="1"/>
  <c r="V71" i="1" s="1"/>
  <c r="Y71" i="1" s="1"/>
  <c r="M82" i="4"/>
  <c r="Y72" i="1" l="1"/>
  <c r="Z71" i="1" s="1"/>
  <c r="W71" i="1" s="1"/>
  <c r="O48" i="1" s="1"/>
  <c r="M73" i="1" s="1"/>
  <c r="D2" i="4" s="1"/>
  <c r="H1" i="39" s="1"/>
  <c r="Y73" i="1"/>
  <c r="C5" i="11" l="1"/>
  <c r="B69" i="1"/>
  <c r="B65" i="28" s="1"/>
  <c r="K73" i="1"/>
  <c r="N73" i="1"/>
  <c r="N85" i="4"/>
  <c r="L85" i="4" s="1"/>
  <c r="A2" i="1"/>
  <c r="A2" i="28" s="1"/>
  <c r="A3" i="39" s="1"/>
  <c r="F6" i="39" s="1"/>
  <c r="C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tc={3CE4BC1A-AEA1-41C3-B2E1-AE5F01ECF1FB}</author>
  </authors>
  <commentList>
    <comment ref="D51" authorId="0" shapeId="0" xr:uid="{3CE4BC1A-AEA1-41C3-B2E1-AE5F01ECF1FB}">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Jangan dihilangkan tanda =  dan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BPFK Banjarbaru</author>
  </authors>
  <commentList>
    <comment ref="R70" authorId="0" shapeId="0" xr:uid="{00000000-0006-0000-0B00-000001000000}">
      <text>
        <r>
          <rPr>
            <b/>
            <sz val="9"/>
            <color indexed="81"/>
            <rFont val="Tahoma"/>
            <family val="2"/>
          </rPr>
          <t>BPFK Banjarbaru:</t>
        </r>
        <r>
          <rPr>
            <sz val="9"/>
            <color indexed="81"/>
            <rFont val="Tahoma"/>
            <family val="2"/>
          </rPr>
          <t xml:space="preserve">
Untuk normal</t>
        </r>
      </text>
    </comment>
    <comment ref="S70" authorId="0" shapeId="0" xr:uid="{00000000-0006-0000-0B00-000002000000}">
      <text>
        <r>
          <rPr>
            <b/>
            <sz val="9"/>
            <color indexed="81"/>
            <rFont val="Tahoma"/>
            <family val="2"/>
          </rPr>
          <t>BPFK Banjarbaru:</t>
        </r>
        <r>
          <rPr>
            <sz val="9"/>
            <color indexed="81"/>
            <rFont val="Tahoma"/>
            <family val="2"/>
          </rPr>
          <t xml:space="preserve">
Untuk Lansia / Hiprtensi</t>
        </r>
      </text>
    </comment>
    <comment ref="X72" authorId="0" shapeId="0" xr:uid="{00000000-0006-0000-0B00-000003000000}">
      <text>
        <r>
          <rPr>
            <b/>
            <sz val="9"/>
            <color indexed="81"/>
            <rFont val="Tahoma"/>
            <family val="2"/>
          </rPr>
          <t>BPFK Banjarbaru:</t>
        </r>
        <r>
          <rPr>
            <sz val="9"/>
            <color indexed="81"/>
            <rFont val="Tahoma"/>
            <family val="2"/>
          </rPr>
          <t xml:space="preserve">
Untuk normal</t>
        </r>
      </text>
    </comment>
    <comment ref="M73" authorId="0" shapeId="0" xr:uid="{00000000-0006-0000-0B00-000004000000}">
      <text>
        <r>
          <rPr>
            <b/>
            <sz val="9"/>
            <color indexed="81"/>
            <rFont val="Tahoma"/>
            <family val="2"/>
          </rPr>
          <t>BPFK Banjarbaru:</t>
        </r>
        <r>
          <rPr>
            <sz val="9"/>
            <color indexed="81"/>
            <rFont val="Tahoma"/>
            <family val="2"/>
          </rPr>
          <t xml:space="preserve">
Lebarkan cell</t>
        </r>
      </text>
    </comment>
    <comment ref="X73" authorId="0" shapeId="0" xr:uid="{00000000-0006-0000-0B00-000005000000}">
      <text>
        <r>
          <rPr>
            <b/>
            <sz val="9"/>
            <color indexed="81"/>
            <rFont val="Tahoma"/>
            <family val="2"/>
          </rPr>
          <t>BPFK Banjarbaru:</t>
        </r>
        <r>
          <rPr>
            <sz val="9"/>
            <color indexed="81"/>
            <rFont val="Tahoma"/>
            <family val="2"/>
          </rPr>
          <t xml:space="preserve">
Untuk Lansia / Hiprtensi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PC-PK</author>
  </authors>
  <commentList>
    <comment ref="D22" authorId="0" shapeId="0" xr:uid="{C2AB5649-4786-4730-B2EE-E2BFE6B0BA3E}">
      <text>
        <r>
          <rPr>
            <b/>
            <sz val="9"/>
            <color indexed="81"/>
            <rFont val="Tahoma"/>
            <family val="2"/>
          </rPr>
          <t>PC-PK:</t>
        </r>
        <r>
          <rPr>
            <sz val="9"/>
            <color indexed="81"/>
            <rFont val="Tahoma"/>
            <family val="2"/>
          </rPr>
          <t xml:space="preserve">
CONTOH</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<sst xmlns="http://schemas.openxmlformats.org/spreadsheetml/2006/main" count="3050" uniqueCount="609">
  <si>
    <t>:</t>
  </si>
  <si>
    <t>Tanggal Kalibrasi</t>
  </si>
  <si>
    <t>Tempat Kalibrasi</t>
  </si>
  <si>
    <t>No.</t>
  </si>
  <si>
    <t>(mmHg)</t>
  </si>
  <si>
    <t>1.</t>
  </si>
  <si>
    <t>2.</t>
  </si>
  <si>
    <t>3.</t>
  </si>
  <si>
    <t>Alat</t>
  </si>
  <si>
    <t xml:space="preserve">No. Seri         </t>
  </si>
  <si>
    <t>Terbaca</t>
  </si>
  <si>
    <t>Normal</t>
  </si>
  <si>
    <t>IV.</t>
  </si>
  <si>
    <t>Petugas Kalibrasi</t>
  </si>
  <si>
    <t>Divisor</t>
  </si>
  <si>
    <t xml:space="preserve">1. Suhu                                                                        </t>
  </si>
  <si>
    <t>Keterangan</t>
  </si>
  <si>
    <t>Menyetujui,</t>
  </si>
  <si>
    <t>Pembacaan</t>
  </si>
  <si>
    <t>Ketidakpastian  Pengukuran</t>
  </si>
  <si>
    <t>Pembacaan  Standar</t>
  </si>
  <si>
    <t xml:space="preserve">Merek                </t>
  </si>
  <si>
    <t xml:space="preserve">Nama Petugas Kalibrasi  </t>
  </si>
  <si>
    <t>Nama Ruang</t>
  </si>
  <si>
    <t>Kelembaban (% RH)</t>
  </si>
  <si>
    <t xml:space="preserve">2. Kelembaban                                                            </t>
  </si>
  <si>
    <t>Suhu ( °C )</t>
  </si>
  <si>
    <t>Rangga Setya Hantoko</t>
  </si>
  <si>
    <t>Choirul Huda</t>
  </si>
  <si>
    <t>Dani Firmanto</t>
  </si>
  <si>
    <t>Supriyanto</t>
  </si>
  <si>
    <t>1. Fisik</t>
  </si>
  <si>
    <t>: BAIK</t>
  </si>
  <si>
    <t>2. Fungsi</t>
  </si>
  <si>
    <t xml:space="preserve">VI. </t>
  </si>
  <si>
    <t>Kesimpulan</t>
  </si>
  <si>
    <t xml:space="preserve">VII. </t>
  </si>
  <si>
    <t>Toleransi</t>
  </si>
  <si>
    <t>mmHg</t>
  </si>
  <si>
    <t>koreksi Naik</t>
  </si>
  <si>
    <t>Component</t>
  </si>
  <si>
    <t>Units</t>
  </si>
  <si>
    <t>Coverage factor, k, for for CL 95 %</t>
  </si>
  <si>
    <t>U Naik</t>
  </si>
  <si>
    <t>awal</t>
  </si>
  <si>
    <t>akhir</t>
  </si>
  <si>
    <t>mmhg</t>
  </si>
  <si>
    <t>terkoreksi</t>
  </si>
  <si>
    <t>PA</t>
  </si>
  <si>
    <t>Koreksi</t>
  </si>
  <si>
    <t xml:space="preserve">terkoreksi </t>
  </si>
  <si>
    <t>Drift</t>
  </si>
  <si>
    <t>Pembacaan Alat</t>
  </si>
  <si>
    <t>Parameter</t>
  </si>
  <si>
    <t>Kebocoran Tekanan</t>
  </si>
  <si>
    <t>ALAT YANG DIGUNAKAN</t>
  </si>
  <si>
    <t>SIMBOL</t>
  </si>
  <si>
    <t>PA  (°C)</t>
  </si>
  <si>
    <t>PA(%RH)</t>
  </si>
  <si>
    <t>koreksi  (°C)</t>
  </si>
  <si>
    <t>Koreksi  (%RH)</t>
  </si>
  <si>
    <t>U(sh)</t>
  </si>
  <si>
    <t>U(kb)</t>
  </si>
  <si>
    <t>TAHUN :</t>
  </si>
  <si>
    <t>Baik</t>
  </si>
  <si>
    <t>Tidak Baik</t>
  </si>
  <si>
    <t xml:space="preserve">Tanggal Pembuatan laporan </t>
  </si>
  <si>
    <t xml:space="preserve">Pemeriksaan Fisik            </t>
  </si>
  <si>
    <t xml:space="preserve">Pemeriksaan Fungsi       </t>
  </si>
  <si>
    <t xml:space="preserve">Daya Baca Operator UUT </t>
  </si>
  <si>
    <t>Muhammad Zaenuri Sugiasmoro</t>
  </si>
  <si>
    <t>Isra Mahensa</t>
  </si>
  <si>
    <t>Penunjukan Standar</t>
  </si>
  <si>
    <t>Penunjukan Standar Awal</t>
  </si>
  <si>
    <t>Penunjukan Standar Akhir</t>
  </si>
  <si>
    <t>Nilai Rata - Rata</t>
  </si>
  <si>
    <t>Resolusi</t>
  </si>
  <si>
    <t>Laju Kebocoran tekanan dalam 1 menit</t>
  </si>
  <si>
    <t>Laju Kebocoran tekanan Terkoreksi dalam 1 menit</t>
  </si>
  <si>
    <t>u</t>
  </si>
  <si>
    <t>Distribusi</t>
  </si>
  <si>
    <t xml:space="preserve">Pembacaan Standar </t>
  </si>
  <si>
    <t xml:space="preserve">Sertifikat standar </t>
  </si>
  <si>
    <t>Repeatability</t>
  </si>
  <si>
    <t xml:space="preserve">Sums </t>
  </si>
  <si>
    <t>Rectangular</t>
  </si>
  <si>
    <t>Uncertainty Budget u95</t>
  </si>
  <si>
    <t>HASIL KALIBRASI SPHYGMOMANOMETER</t>
  </si>
  <si>
    <t>± (mmHg)</t>
  </si>
  <si>
    <t>Effective degree of freedom</t>
  </si>
  <si>
    <t xml:space="preserve">Dibuat Oleh </t>
  </si>
  <si>
    <t xml:space="preserve">Penyelia   </t>
  </si>
  <si>
    <t>Halaman 2 dari 2 halaman</t>
  </si>
  <si>
    <t>Kepala Instalasi Laboratorium</t>
  </si>
  <si>
    <t>Pengujian dan Kalibrasi</t>
  </si>
  <si>
    <t>Nomor Sertifikat : 44 /</t>
  </si>
  <si>
    <t>Nomor Surat Keterangan : 44 / M -</t>
  </si>
  <si>
    <t>KESIMPULAN</t>
  </si>
  <si>
    <t>P1</t>
  </si>
  <si>
    <t>P2</t>
  </si>
  <si>
    <t>P3</t>
  </si>
  <si>
    <t>max =</t>
  </si>
  <si>
    <t>KETELUSURAN</t>
  </si>
  <si>
    <t>Keterangan :</t>
  </si>
  <si>
    <t/>
  </si>
  <si>
    <t>DEWASA</t>
  </si>
  <si>
    <t>ANAK</t>
  </si>
  <si>
    <t>BAYI</t>
  </si>
  <si>
    <t xml:space="preserve">Handheld NIBP Simulator, Merek : ACCUPULSE PLUS, Model : AH-2  (HH12080311) </t>
  </si>
  <si>
    <t>Sertifikat Thermohygrometer</t>
  </si>
  <si>
    <t>15 Maret 2017</t>
  </si>
  <si>
    <r>
      <t>&lt;</t>
    </r>
    <r>
      <rPr>
        <sz val="10"/>
        <color theme="1"/>
        <rFont val="Calibri"/>
        <family val="2"/>
        <scheme val="minor"/>
      </rPr>
      <t xml:space="preserve"> 15 mmHg</t>
    </r>
  </si>
  <si>
    <r>
      <t>U</t>
    </r>
    <r>
      <rPr>
        <vertAlign val="subscript"/>
        <sz val="10"/>
        <color theme="1"/>
        <rFont val="Calibri"/>
        <family val="2"/>
        <scheme val="minor"/>
      </rPr>
      <t>95</t>
    </r>
  </si>
  <si>
    <r>
      <t>u</t>
    </r>
    <r>
      <rPr>
        <b/>
        <i/>
        <vertAlign val="subscript"/>
        <sz val="12"/>
        <color theme="1"/>
        <rFont val="Calibri"/>
        <family val="2"/>
        <scheme val="minor"/>
      </rPr>
      <t>i</t>
    </r>
  </si>
  <si>
    <r>
      <t>c</t>
    </r>
    <r>
      <rPr>
        <b/>
        <i/>
        <vertAlign val="subscript"/>
        <sz val="12"/>
        <color theme="1"/>
        <rFont val="Calibri"/>
        <family val="2"/>
        <scheme val="minor"/>
      </rPr>
      <t>i</t>
    </r>
  </si>
  <si>
    <r>
      <t>v</t>
    </r>
    <r>
      <rPr>
        <b/>
        <i/>
        <vertAlign val="subscript"/>
        <sz val="12"/>
        <color theme="1"/>
        <rFont val="Calibri"/>
        <family val="2"/>
        <scheme val="minor"/>
      </rPr>
      <t>i</t>
    </r>
  </si>
  <si>
    <r>
      <t>(u</t>
    </r>
    <r>
      <rPr>
        <b/>
        <i/>
        <vertAlign val="subscript"/>
        <sz val="12"/>
        <color theme="1"/>
        <rFont val="Calibri"/>
        <family val="2"/>
        <scheme val="minor"/>
      </rPr>
      <t>i</t>
    </r>
    <r>
      <rPr>
        <b/>
        <i/>
        <sz val="12"/>
        <color theme="1"/>
        <rFont val="Calibri"/>
        <family val="2"/>
        <scheme val="minor"/>
      </rPr>
      <t>c</t>
    </r>
    <r>
      <rPr>
        <b/>
        <i/>
        <vertAlign val="subscript"/>
        <sz val="12"/>
        <color theme="1"/>
        <rFont val="Calibri"/>
        <family val="2"/>
        <scheme val="minor"/>
      </rPr>
      <t>i</t>
    </r>
    <r>
      <rPr>
        <b/>
        <i/>
        <sz val="12"/>
        <color theme="1"/>
        <rFont val="Calibri"/>
        <family val="2"/>
        <scheme val="minor"/>
      </rPr>
      <t>)</t>
    </r>
  </si>
  <si>
    <r>
      <t>( u</t>
    </r>
    <r>
      <rPr>
        <b/>
        <i/>
        <vertAlign val="subscript"/>
        <sz val="12"/>
        <color theme="1"/>
        <rFont val="Calibri"/>
        <family val="2"/>
        <scheme val="minor"/>
      </rPr>
      <t>i</t>
    </r>
    <r>
      <rPr>
        <b/>
        <i/>
        <sz val="12"/>
        <color theme="1"/>
        <rFont val="Calibri"/>
        <family val="2"/>
        <scheme val="minor"/>
      </rPr>
      <t>c</t>
    </r>
    <r>
      <rPr>
        <b/>
        <i/>
        <vertAlign val="subscript"/>
        <sz val="12"/>
        <color theme="1"/>
        <rFont val="Calibri"/>
        <family val="2"/>
        <scheme val="minor"/>
      </rPr>
      <t>i</t>
    </r>
    <r>
      <rPr>
        <b/>
        <i/>
        <sz val="12"/>
        <color theme="1"/>
        <rFont val="Calibri"/>
        <family val="2"/>
        <scheme val="minor"/>
      </rPr>
      <t xml:space="preserve"> ) ^ 2</t>
    </r>
  </si>
  <si>
    <r>
      <t>(u</t>
    </r>
    <r>
      <rPr>
        <b/>
        <vertAlign val="subscript"/>
        <sz val="12"/>
        <color theme="1"/>
        <rFont val="Calibri"/>
        <family val="2"/>
        <scheme val="minor"/>
      </rPr>
      <t>i</t>
    </r>
    <r>
      <rPr>
        <b/>
        <sz val="12"/>
        <color theme="1"/>
        <rFont val="Calibri"/>
        <family val="2"/>
        <scheme val="minor"/>
      </rPr>
      <t>c</t>
    </r>
    <r>
      <rPr>
        <b/>
        <vertAlign val="subscript"/>
        <sz val="12"/>
        <color theme="1"/>
        <rFont val="Calibri"/>
        <family val="2"/>
        <scheme val="minor"/>
      </rPr>
      <t>i</t>
    </r>
    <r>
      <rPr>
        <b/>
        <sz val="12"/>
        <color theme="1"/>
        <rFont val="Calibri"/>
        <family val="2"/>
        <scheme val="minor"/>
      </rPr>
      <t>)^4/v</t>
    </r>
    <r>
      <rPr>
        <b/>
        <vertAlign val="subscript"/>
        <sz val="12"/>
        <color theme="1"/>
        <rFont val="Calibri"/>
        <family val="2"/>
        <scheme val="minor"/>
      </rPr>
      <t>i</t>
    </r>
  </si>
  <si>
    <r>
      <t>Combined Standard uncertainty, u</t>
    </r>
    <r>
      <rPr>
        <i/>
        <vertAlign val="subscript"/>
        <sz val="12"/>
        <color theme="1"/>
        <rFont val="Calibri"/>
        <family val="2"/>
        <scheme val="minor"/>
      </rPr>
      <t xml:space="preserve">c  </t>
    </r>
  </si>
  <si>
    <r>
      <t>Expanded uncertainty, U = k u</t>
    </r>
    <r>
      <rPr>
        <i/>
        <vertAlign val="subscript"/>
        <sz val="12"/>
        <color theme="1"/>
        <rFont val="Calibri"/>
        <family val="2"/>
        <scheme val="minor"/>
      </rPr>
      <t>c</t>
    </r>
    <r>
      <rPr>
        <i/>
        <sz val="12"/>
        <color theme="1"/>
        <rFont val="Calibri"/>
        <family val="2"/>
        <scheme val="minor"/>
      </rPr>
      <t xml:space="preserve">,           (mmHg) </t>
    </r>
  </si>
  <si>
    <r>
      <t>+</t>
    </r>
    <r>
      <rPr>
        <sz val="12"/>
        <color theme="1"/>
        <rFont val="Calibri"/>
        <family val="2"/>
        <scheme val="minor"/>
      </rPr>
      <t xml:space="preserve"> 3 </t>
    </r>
  </si>
  <si>
    <t>KOLOM KETERANGAN :</t>
  </si>
  <si>
    <t>Jenis tensimeter :</t>
  </si>
  <si>
    <t>JENIS TENSIMETER :</t>
  </si>
  <si>
    <t>TENSIMETER DEWASA</t>
  </si>
  <si>
    <t>TENSIMETER ANAK</t>
  </si>
  <si>
    <t>TENSIMETER BAYI</t>
  </si>
  <si>
    <t>60, 120, 150</t>
  </si>
  <si>
    <t>50, 120, 150</t>
  </si>
  <si>
    <t>30, 60, 80</t>
  </si>
  <si>
    <t>RANGGA</t>
  </si>
  <si>
    <t>CHAIRUL HUDA</t>
  </si>
  <si>
    <t>Donny Martha</t>
  </si>
  <si>
    <t>-</t>
  </si>
  <si>
    <t>Tanggal Penerimaan Alat</t>
  </si>
  <si>
    <t>Model</t>
  </si>
  <si>
    <t>Laju Buang Cepat</t>
  </si>
  <si>
    <t xml:space="preserve">Kebocoran Tekanan </t>
  </si>
  <si>
    <t>Laju Buang Cepat tekanan 260 mmHg sampai dengan 15 mmHg</t>
  </si>
  <si>
    <t>Laju Buang Cepat tekanan 260 mmHg sampai dengan 15 mmHg Terkoreksi</t>
  </si>
  <si>
    <r>
      <t>&lt;</t>
    </r>
    <r>
      <rPr>
        <sz val="10"/>
        <color theme="1"/>
        <rFont val="Calibri"/>
        <family val="2"/>
        <scheme val="minor"/>
      </rPr>
      <t xml:space="preserve"> 10 Detik</t>
    </r>
  </si>
  <si>
    <t>NAIK 1</t>
  </si>
  <si>
    <t>TURUN 1</t>
  </si>
  <si>
    <t>NAIK 2</t>
  </si>
  <si>
    <t>TURUN 3</t>
  </si>
  <si>
    <t>DRIFT</t>
  </si>
  <si>
    <t>Setting Waktu (detik)</t>
  </si>
  <si>
    <t>KALIBRATOR</t>
  </si>
  <si>
    <t>DATA SERTIFIKAT STOPWATCH</t>
  </si>
  <si>
    <t>NAIK</t>
  </si>
  <si>
    <t>TURUN</t>
  </si>
  <si>
    <t>DRIFT TURUN</t>
  </si>
  <si>
    <t>U Turun</t>
  </si>
  <si>
    <t>koreksi Turun</t>
  </si>
  <si>
    <t>Nilai rata-rata terkoreksi</t>
  </si>
  <si>
    <t>Naik</t>
  </si>
  <si>
    <t>Turun</t>
  </si>
  <si>
    <t>naik</t>
  </si>
  <si>
    <t>Drift naik</t>
  </si>
  <si>
    <t>Drift turun</t>
  </si>
  <si>
    <t>UNCERTAINTY BUDGET NAIK</t>
  </si>
  <si>
    <t>(Detik)</t>
  </si>
  <si>
    <r>
      <t>&lt;</t>
    </r>
    <r>
      <rPr>
        <sz val="12"/>
        <color theme="1"/>
        <rFont val="Calibri"/>
        <family val="2"/>
        <scheme val="minor"/>
      </rPr>
      <t xml:space="preserve"> 10</t>
    </r>
  </si>
  <si>
    <t>max U95 = ± 1</t>
  </si>
  <si>
    <t xml:space="preserve">V. </t>
  </si>
  <si>
    <r>
      <t>Uncertainty Budget U</t>
    </r>
    <r>
      <rPr>
        <sz val="8"/>
        <color theme="1"/>
        <rFont val="Calibri"/>
        <family val="2"/>
        <scheme val="minor"/>
      </rPr>
      <t>95</t>
    </r>
  </si>
  <si>
    <t>UNCERTAINTY BUDGET TURUN</t>
  </si>
  <si>
    <t xml:space="preserve"> ≤ 3 </t>
  </si>
  <si>
    <t>KOREKSI</t>
  </si>
  <si>
    <t xml:space="preserve">Nilai rata-rata </t>
  </si>
  <si>
    <t>21.2.2018</t>
  </si>
  <si>
    <t xml:space="preserve">DRIFT NAIK </t>
  </si>
  <si>
    <t>INDUK FILE</t>
  </si>
  <si>
    <t>Sertifikat Kalibrator Tekanan TERBARU</t>
  </si>
  <si>
    <t>INDUK FILE paste</t>
  </si>
  <si>
    <t>Ketidakpastian pengukuran pada tingkat kepercayaan 95 % dengan faktor cakupan k = 2</t>
  </si>
  <si>
    <t>Metode Kerja</t>
  </si>
  <si>
    <t>MK 042-18</t>
  </si>
  <si>
    <t>Bsekarang</t>
  </si>
  <si>
    <t>Bsekarang PASTE</t>
  </si>
  <si>
    <t>KETERANGAN :</t>
  </si>
  <si>
    <r>
      <t>|K| + |U</t>
    </r>
    <r>
      <rPr>
        <sz val="7"/>
        <color theme="1"/>
        <rFont val="Calibri"/>
        <family val="2"/>
        <scheme val="minor"/>
      </rPr>
      <t>95</t>
    </r>
    <r>
      <rPr>
        <sz val="10"/>
        <color theme="1"/>
        <rFont val="Calibri"/>
        <family val="2"/>
        <scheme val="minor"/>
      </rPr>
      <t>|</t>
    </r>
  </si>
  <si>
    <t>Bobot</t>
  </si>
  <si>
    <t>....................................................</t>
  </si>
  <si>
    <t>Toleransi (mmHg)</t>
  </si>
  <si>
    <t>.......................................................................................................................................................................</t>
  </si>
  <si>
    <t>INPUT DATA KALIBRASI SPHYGMOMANOMETER</t>
  </si>
  <si>
    <t>VII.</t>
  </si>
  <si>
    <t>Naik + Turun</t>
  </si>
  <si>
    <t>U95 Naik terbaru</t>
  </si>
  <si>
    <t>U95 Turun terbaru</t>
  </si>
  <si>
    <t>Naik Terbaru</t>
  </si>
  <si>
    <t>Turun Terbaru</t>
  </si>
  <si>
    <t>U95</t>
  </si>
  <si>
    <t>SERTIFIKAT TERBARU</t>
  </si>
  <si>
    <t>Baik / Tidak Baik</t>
  </si>
  <si>
    <t>NAMA</t>
  </si>
  <si>
    <t>PARAF</t>
  </si>
  <si>
    <t>BOBOT (%)</t>
  </si>
  <si>
    <t>LABEL</t>
  </si>
  <si>
    <t>Anak</t>
  </si>
  <si>
    <t>Dewasa</t>
  </si>
  <si>
    <t>Lansia</t>
  </si>
  <si>
    <r>
      <t>&lt;</t>
    </r>
    <r>
      <rPr>
        <sz val="10"/>
        <color theme="1"/>
        <rFont val="Arial"/>
        <family val="2"/>
      </rPr>
      <t xml:space="preserve"> 15 mmHg</t>
    </r>
  </si>
  <si>
    <r>
      <t>&lt;</t>
    </r>
    <r>
      <rPr>
        <sz val="10"/>
        <color theme="1"/>
        <rFont val="Arial"/>
        <family val="2"/>
      </rPr>
      <t xml:space="preserve"> 10 Detik</t>
    </r>
  </si>
  <si>
    <t>SKOR</t>
  </si>
  <si>
    <t>Klasifikasi Sphygmomanometer</t>
  </si>
  <si>
    <t xml:space="preserve">Petugas Kalibrasi  </t>
  </si>
  <si>
    <r>
      <t>&lt;</t>
    </r>
    <r>
      <rPr>
        <sz val="11"/>
        <color theme="1"/>
        <rFont val="Arial"/>
        <family val="2"/>
      </rPr>
      <t xml:space="preserve"> 10</t>
    </r>
  </si>
  <si>
    <r>
      <t>+</t>
    </r>
    <r>
      <rPr>
        <sz val="11"/>
        <color theme="1"/>
        <rFont val="Arial"/>
        <family val="2"/>
      </rPr>
      <t xml:space="preserve"> 3 </t>
    </r>
  </si>
  <si>
    <t>I. Kondisi Ruang</t>
  </si>
  <si>
    <t>III. Pengujian Kinerja</t>
  </si>
  <si>
    <t>A. Pengujian Kebocoran</t>
  </si>
  <si>
    <t>B. Laju Buang Cepat</t>
  </si>
  <si>
    <t>C. Kalibrasi Akurasi Tekanan</t>
  </si>
  <si>
    <t xml:space="preserve"> </t>
  </si>
  <si>
    <t>Score</t>
  </si>
  <si>
    <r>
      <t>u</t>
    </r>
    <r>
      <rPr>
        <b/>
        <i/>
        <vertAlign val="subscript"/>
        <sz val="12"/>
        <color rgb="FFFF0000"/>
        <rFont val="Calibri"/>
        <family val="2"/>
        <scheme val="minor"/>
      </rPr>
      <t>i</t>
    </r>
  </si>
  <si>
    <r>
      <t>c</t>
    </r>
    <r>
      <rPr>
        <b/>
        <i/>
        <vertAlign val="subscript"/>
        <sz val="12"/>
        <color rgb="FFFF0000"/>
        <rFont val="Calibri"/>
        <family val="2"/>
        <scheme val="minor"/>
      </rPr>
      <t>i</t>
    </r>
  </si>
  <si>
    <r>
      <t>v</t>
    </r>
    <r>
      <rPr>
        <b/>
        <i/>
        <vertAlign val="subscript"/>
        <sz val="12"/>
        <color rgb="FFFF0000"/>
        <rFont val="Calibri"/>
        <family val="2"/>
        <scheme val="minor"/>
      </rPr>
      <t>i</t>
    </r>
  </si>
  <si>
    <r>
      <t>(u</t>
    </r>
    <r>
      <rPr>
        <b/>
        <i/>
        <vertAlign val="subscript"/>
        <sz val="12"/>
        <color rgb="FFFF0000"/>
        <rFont val="Calibri"/>
        <family val="2"/>
        <scheme val="minor"/>
      </rPr>
      <t>i</t>
    </r>
    <r>
      <rPr>
        <b/>
        <i/>
        <sz val="12"/>
        <color rgb="FFFF0000"/>
        <rFont val="Calibri"/>
        <family val="2"/>
        <scheme val="minor"/>
      </rPr>
      <t>c</t>
    </r>
    <r>
      <rPr>
        <b/>
        <i/>
        <vertAlign val="subscript"/>
        <sz val="12"/>
        <color rgb="FFFF0000"/>
        <rFont val="Calibri"/>
        <family val="2"/>
        <scheme val="minor"/>
      </rPr>
      <t>i</t>
    </r>
    <r>
      <rPr>
        <b/>
        <i/>
        <sz val="12"/>
        <color rgb="FFFF0000"/>
        <rFont val="Calibri"/>
        <family val="2"/>
        <scheme val="minor"/>
      </rPr>
      <t>)</t>
    </r>
  </si>
  <si>
    <r>
      <t>( u</t>
    </r>
    <r>
      <rPr>
        <b/>
        <i/>
        <vertAlign val="subscript"/>
        <sz val="12"/>
        <color rgb="FFFF0000"/>
        <rFont val="Calibri"/>
        <family val="2"/>
        <scheme val="minor"/>
      </rPr>
      <t>i</t>
    </r>
    <r>
      <rPr>
        <b/>
        <i/>
        <sz val="12"/>
        <color rgb="FFFF0000"/>
        <rFont val="Calibri"/>
        <family val="2"/>
        <scheme val="minor"/>
      </rPr>
      <t>c</t>
    </r>
    <r>
      <rPr>
        <b/>
        <i/>
        <vertAlign val="subscript"/>
        <sz val="12"/>
        <color rgb="FFFF0000"/>
        <rFont val="Calibri"/>
        <family val="2"/>
        <scheme val="minor"/>
      </rPr>
      <t>i</t>
    </r>
    <r>
      <rPr>
        <b/>
        <i/>
        <sz val="12"/>
        <color rgb="FFFF0000"/>
        <rFont val="Calibri"/>
        <family val="2"/>
        <scheme val="minor"/>
      </rPr>
      <t xml:space="preserve"> ) ^ 2</t>
    </r>
  </si>
  <si>
    <r>
      <t>(u</t>
    </r>
    <r>
      <rPr>
        <b/>
        <vertAlign val="subscript"/>
        <sz val="12"/>
        <color rgb="FFFF0000"/>
        <rFont val="Calibri"/>
        <family val="2"/>
        <scheme val="minor"/>
      </rPr>
      <t>i</t>
    </r>
    <r>
      <rPr>
        <b/>
        <sz val="12"/>
        <color rgb="FFFF0000"/>
        <rFont val="Calibri"/>
        <family val="2"/>
        <scheme val="minor"/>
      </rPr>
      <t>c</t>
    </r>
    <r>
      <rPr>
        <b/>
        <vertAlign val="subscript"/>
        <sz val="12"/>
        <color rgb="FFFF0000"/>
        <rFont val="Calibri"/>
        <family val="2"/>
        <scheme val="minor"/>
      </rPr>
      <t>i</t>
    </r>
    <r>
      <rPr>
        <b/>
        <sz val="12"/>
        <color rgb="FFFF0000"/>
        <rFont val="Calibri"/>
        <family val="2"/>
        <scheme val="minor"/>
      </rPr>
      <t>)^4/v</t>
    </r>
    <r>
      <rPr>
        <b/>
        <vertAlign val="subscript"/>
        <sz val="12"/>
        <color rgb="FFFF0000"/>
        <rFont val="Calibri"/>
        <family val="2"/>
        <scheme val="minor"/>
      </rPr>
      <t>i</t>
    </r>
  </si>
  <si>
    <r>
      <t>Combined Standard uncertainty, u</t>
    </r>
    <r>
      <rPr>
        <i/>
        <vertAlign val="subscript"/>
        <sz val="12"/>
        <color rgb="FFFF0000"/>
        <rFont val="Calibri"/>
        <family val="2"/>
        <scheme val="minor"/>
      </rPr>
      <t xml:space="preserve">c  </t>
    </r>
  </si>
  <si>
    <r>
      <t>Expanded uncertainty, U = k u</t>
    </r>
    <r>
      <rPr>
        <i/>
        <vertAlign val="subscript"/>
        <sz val="12"/>
        <color rgb="FFFF0000"/>
        <rFont val="Calibri"/>
        <family val="2"/>
        <scheme val="minor"/>
      </rPr>
      <t>c</t>
    </r>
    <r>
      <rPr>
        <i/>
        <sz val="12"/>
        <color rgb="FFFF0000"/>
        <rFont val="Calibri"/>
        <family val="2"/>
        <scheme val="minor"/>
      </rPr>
      <t xml:space="preserve">,           (mmHg) </t>
    </r>
  </si>
  <si>
    <t>VALIDASI</t>
  </si>
  <si>
    <t>Validasi</t>
  </si>
  <si>
    <t>FIX</t>
  </si>
  <si>
    <t>LEMBAR KERJA KALIBRASI SPHYGMOMANOMETER</t>
  </si>
  <si>
    <t>................................................</t>
  </si>
  <si>
    <t>ICU</t>
  </si>
  <si>
    <t>COSMO Med</t>
  </si>
  <si>
    <t>TURUN 2</t>
  </si>
  <si>
    <t>NAIK 3</t>
  </si>
  <si>
    <t>27.3.2019</t>
  </si>
  <si>
    <t>TANGGAL</t>
  </si>
  <si>
    <t xml:space="preserve">Tanggal Pembuatan Laporan      </t>
  </si>
  <si>
    <t>....................................................mmHg</t>
  </si>
  <si>
    <t>17.7.2019</t>
  </si>
  <si>
    <t>Resolusi Alat</t>
  </si>
  <si>
    <t>Daya Baca Alat standar</t>
  </si>
  <si>
    <t>(1/3)*U95</t>
  </si>
  <si>
    <t>NIP 198008062010121001</t>
  </si>
  <si>
    <t>Alat Ukur Yang Digunakan</t>
  </si>
  <si>
    <t>Alat Ukur Yang Digunakan :</t>
  </si>
  <si>
    <t>II. Pemeriksaan Kondisi Fisik dan Fungsi Alat</t>
  </si>
  <si>
    <t>Alat ukur yang Digunakan :</t>
  </si>
  <si>
    <t>14.11.2019</t>
  </si>
  <si>
    <t>NIBP Simulator, Merek : Rigel Medical, Model : BP-SIM, SN : 12L-0536</t>
  </si>
  <si>
    <t>NIBP Simulator, Merek : Rigel Medical, Model : BP-SIM, SN : 44L-1084</t>
  </si>
  <si>
    <t>NIBP Simulator, Merek : Rigel Medical, Model : BP-SIM, SN : 06L-0610</t>
  </si>
  <si>
    <t>NIBP Simulator, Merek : Rigel Medical, Model : BP-SIM, SN : 12L-0534</t>
  </si>
  <si>
    <t xml:space="preserve">Digital Pressure Meter, Merek : Fluke Biomedical, Model : DPM 4-2G, SN : 1831021 </t>
  </si>
  <si>
    <t>Digital Pressure Meter, Merek : Fluke Biomedical, Model : DPM 4-2G, SN : 1831023</t>
  </si>
  <si>
    <t>koreksi naik</t>
  </si>
  <si>
    <t>koreksi turun</t>
  </si>
  <si>
    <t>Digital Pressure Meter, Merek : Fluke Biomedical, Model : DPM 4-2G, SN : 4414016</t>
  </si>
  <si>
    <t xml:space="preserve">Digital Pressure Meter, Merek : Fluke Biomedical, Model : DPM 4-2G, SN : 4414018 </t>
  </si>
  <si>
    <t>11.2.2020</t>
  </si>
  <si>
    <t>Handheld NIBP Simulator, Merek : ACCUPULSE PLUS, Model : AH-2, SN : HH12080309</t>
  </si>
  <si>
    <t xml:space="preserve">Vital Signs Simulator, Merek : Rigel, Model : UNI-SIM, SN : 05J-0804 </t>
  </si>
  <si>
    <t>10.2.2020</t>
  </si>
  <si>
    <t>25.3.2019</t>
  </si>
  <si>
    <t>9.9.2019</t>
  </si>
  <si>
    <t>Digital Thermohygrometer, Merek : KIMO, Model : KH-210-AO, SN : 15062872</t>
  </si>
  <si>
    <t xml:space="preserve">Digital Thermohygrobarometer, Merek : Greisinger, Model : GFT 200, SN : 34903046 </t>
  </si>
  <si>
    <t>Digital Thermohygrobarometer, Merek : Greisinger, Model : GFTB 200, SN : 34903051</t>
  </si>
  <si>
    <t>Digital Thermohygrobarometer, Merek : EXTECH, Model : SD700, SN : A.100609</t>
  </si>
  <si>
    <t>Digital Thermohygrobarometer, Merek : EXTECH, Model : SD700, SN : A.100611</t>
  </si>
  <si>
    <t>Digital Thermohygrobarometer, Merek : EXTECH, Model : SD700, SN : A.100605</t>
  </si>
  <si>
    <t>22.7.2020</t>
  </si>
  <si>
    <t>Digital Thermohygrobarometer, Merek : Greisinger, Model : GFTB 200, SN : 34903334</t>
  </si>
  <si>
    <t>Digital Thermohygrobarometer, Merek : Greisinger, Model : GFTB 200, SN : 34903050</t>
  </si>
  <si>
    <t>Stopwatch, Merek : Casio, Model : HS - 3, SN : 611Q02R</t>
  </si>
  <si>
    <t>Stopwatch, Merek : Extech, Model : 365535, SN : 001380</t>
  </si>
  <si>
    <t>Stopwatch, Merek : Extech, Model : 365535, SN : 001381</t>
  </si>
  <si>
    <t>Stopwatch, Merek : Extech, Model : 365535, SN : 001382</t>
  </si>
  <si>
    <t>Stopwatch, Merek : Extech, Model : 365535, SN : 001383</t>
  </si>
  <si>
    <t>Stopwatch, Merek : Extech, Model : 365535, SN : 001384</t>
  </si>
  <si>
    <t>Stopwatch, Merek : Extech, Model : 365535, SN : 001385</t>
  </si>
  <si>
    <t>Stopwatch, Merek : Extech, Model : 365535, SN : 001386</t>
  </si>
  <si>
    <t>Stopwatch, Merek : Extech, Model : 365535, SN : 001387</t>
  </si>
  <si>
    <t>Stopwatch, Merek : Extech, Model : 365535, SN : 001445</t>
  </si>
  <si>
    <t>Stopwatch, Merek : Extech, Model : 365535, SN : 001452</t>
  </si>
  <si>
    <t>Stopwatch, Merek : Extech, Model : 365535, SN : 005018</t>
  </si>
  <si>
    <t>Digital Pressure Meter, Merek : Fluke Biomedical, Model : DPM 4-1H, SN : 3505042</t>
  </si>
  <si>
    <t>NIBP Simulator, Merek : Rigel Medical, Model : BP-SIM, SN : 12L-0536, 44L-1084, 06L-0610, 12L-0534</t>
  </si>
  <si>
    <t>Digital Thermohygrometer, Merek : KIMO, Model : KH-210-AO, SN : 15062875</t>
  </si>
  <si>
    <t>Digital Thermohygrometer, Merek : KIMO, Model : KH-210-AO, SN : 15062874</t>
  </si>
  <si>
    <t>Digital Thermohygrometer, Merek : KIMO, Model : KH-210-AO, SN : 14082463</t>
  </si>
  <si>
    <t>Stopwatch, Merek : Casio, Model : HS - 80TW, SN : 510Q06R, 510Q061R, 207Q01R</t>
  </si>
  <si>
    <t>Laju Buang Cepat tekanan 150 mmHg sampai dengan 15 mmHg</t>
  </si>
  <si>
    <t>Laju Buang Cepat tekanan 150 mmHg sampai dengan 15 mmHg Terkoreksi</t>
  </si>
  <si>
    <t>REV : 8 DEC 2020</t>
  </si>
  <si>
    <t>ADL</t>
  </si>
  <si>
    <t>PIL ADL</t>
  </si>
  <si>
    <t>Hasil</t>
  </si>
  <si>
    <t>Gusti Arya Dinata</t>
  </si>
  <si>
    <t>Hamdan Syarif</t>
  </si>
  <si>
    <t>Hary Ernanto</t>
  </si>
  <si>
    <t>Muhammad Irfan Husnuzhzhan</t>
  </si>
  <si>
    <t>Muhammad Iqbal Saiful Rahman</t>
  </si>
  <si>
    <t>Fatimah Novrianisa</t>
  </si>
  <si>
    <t>Venna Filosofia</t>
  </si>
  <si>
    <t>Stopwatch, Merek : Extech, Model : 365535, SN : 001449</t>
  </si>
  <si>
    <t>Alat yang dikalibrasi dalam batas toleransi dan dinyatakan LAIK PAKAI, dimana hasil atau skor akhir sama dengan atau melampaui 80% berdasarkan Keputusan Direktur Jenderal Pelayanan Kesehatan No : HK.02.02/V/0412/2020</t>
  </si>
  <si>
    <t>Alat yang dikalibrasi melebihi batas toleransi dan dinyatakan TIDAK LAIK PAKAI, dimana hasil atau skor akhir dibawah 80% berdasarkan Keputusan Direktur Jenderal Pelayanan Kesehatan No : HK.02.02/V/0412/2020</t>
  </si>
  <si>
    <t>Digital Pressure Meter, Merek : Fluke Biomedical, Model : DPM 4-2G, SN : 4813009</t>
  </si>
  <si>
    <t>Digital Pressure Meter, Merek : Fluke Biomedical, Model : DPM 4-2G, SN : 4819018</t>
  </si>
  <si>
    <t>Digital Pressure Meter, Merek : Fluke Biomedical, Model : DPM 4-2G, SN : 4600002</t>
  </si>
  <si>
    <t>Digital Pressure Meter, Merek : Fluke Biomedical, Model : DPM 4-2G, SN : 4821028</t>
  </si>
  <si>
    <t>Digital Thermohygrobarometer, Merek : EXTECH, Model : SD700, SN : A.100586</t>
  </si>
  <si>
    <t>Digital Thermohygrobarometer, Merek : EXTECH, Model : SD700, SN : A.100616</t>
  </si>
  <si>
    <t>Digital Thermohygrobarometer, Merek : EXTECH, Model : SD700, SN : A.100618</t>
  </si>
  <si>
    <t>Digital Thermohygrobarometer, Merek : EXTECH, Model : SD700, SN : A.100617</t>
  </si>
  <si>
    <t>11.11.2020</t>
  </si>
  <si>
    <t xml:space="preserve">Digital Pressure Meter, Merek : Fluke Biomedical, Model : DPM 4-1H, SN : 3505042, 3534043, 3506049, 3505041   </t>
  </si>
  <si>
    <t xml:space="preserve">Digital Pressure Meter, Merek : Fluke Biomedical, Model : DPM 4-2H, SN : 3787040, 3191005  </t>
  </si>
  <si>
    <t xml:space="preserve">Digital Pressure Meter, Merek : Fluke Biomedical, Model : DPM 4-2G, SN : 4813009, 4819018, 4600002, 4821028, 1831021, 1831023,  4414016, 4414018 </t>
  </si>
  <si>
    <t xml:space="preserve">Digital Thermohygrometer, Merek : KIMO, Model : KH-210-AO, SN : 15062875, 15062874, 14082463, 15062872, 15062873 </t>
  </si>
  <si>
    <t>Digital Thermohygrobarometer, Merek : Greisinger, Model : GFTB 200, SN : 34903051, 34903053, 34904091, 34903334, 34903050</t>
  </si>
  <si>
    <t>Stopwatch, Merek : Extech, Model : 365535, SN : 001380, 001381, 001382, 001383, 001384, 001385, 001386, 001387, 001445, 001452, 005018, 001449</t>
  </si>
  <si>
    <t>Taufik Priawan</t>
  </si>
  <si>
    <t>Septia Khairunnisa</t>
  </si>
  <si>
    <t>Wardimanul Abrar</t>
  </si>
  <si>
    <t>Muhammad Alpian Hadi</t>
  </si>
  <si>
    <t>Ahmad Ghazali</t>
  </si>
  <si>
    <t>Ryan Rama Chaesar R</t>
  </si>
  <si>
    <t>Siti Fathul Jannah</t>
  </si>
  <si>
    <t>Azhar Alamsyah</t>
  </si>
  <si>
    <t>Sholihatussa'diah</t>
  </si>
  <si>
    <t>Hasil pengujian kebocoran dan kalibrasi akurasi tekanan tertelusur ke Satuan SI melalui PT. KALIMAN</t>
  </si>
  <si>
    <t>Digital Pressure Meter, Merek : Fluke Biomedical, Model : DPM 4-2G, SN : 4821027</t>
  </si>
  <si>
    <t>23.7.2020</t>
  </si>
  <si>
    <t>Digital Pressure Meter, Merek : Fluke Biomedical, Model : DPM 4-2G, SN : 4611021</t>
  </si>
  <si>
    <t>Digital Pressure Meter, Merek : Fluke Biomedical, Model : DPM 4-2G, SN : 4821027,  4611021</t>
  </si>
  <si>
    <t>16.11.2020</t>
  </si>
  <si>
    <r>
      <t>(  Anak     /     Dewasa    )</t>
    </r>
    <r>
      <rPr>
        <vertAlign val="superscript"/>
        <sz val="8"/>
        <color theme="1"/>
        <rFont val="Arial"/>
        <family val="2"/>
      </rPr>
      <t xml:space="preserve"> </t>
    </r>
  </si>
  <si>
    <t>28.1.2019</t>
  </si>
  <si>
    <t>Vital Signs Simulator, Merek : Fluke Biomedical, Model : PROSIM 4, SN : 4416070</t>
  </si>
  <si>
    <t>Vital Signs Simulator, Merek : Fluke Biomedical, Model : PROSIM 4, SN : 4422046</t>
  </si>
  <si>
    <t>Vital Signs Simulator, Merek : Fluke Biomedical, Model : PROSIM 4, SN : 4422046, 4416070</t>
  </si>
  <si>
    <t>Laju Kebocoran tekanan 250 mmHg dalam 1 menit</t>
  </si>
  <si>
    <t>Laju Kebocoran tekanan 150 mmHg dalam 1 menit</t>
  </si>
  <si>
    <t>Laju Kebocoran tekanan 250 mmHg Terkoreksi dalam 1 menit</t>
  </si>
  <si>
    <t>Laju Kebocoran tekanan 150 mmHg Terkoreksi dalam 1 menit</t>
  </si>
  <si>
    <r>
      <t>&lt;</t>
    </r>
    <r>
      <rPr>
        <sz val="12"/>
        <color theme="1"/>
        <rFont val="Calibri"/>
        <family val="2"/>
        <scheme val="minor"/>
      </rPr>
      <t xml:space="preserve"> 15</t>
    </r>
  </si>
  <si>
    <r>
      <t>&lt;</t>
    </r>
    <r>
      <rPr>
        <sz val="11"/>
        <color theme="1"/>
        <rFont val="Arial"/>
        <family val="2"/>
      </rPr>
      <t xml:space="preserve"> 15</t>
    </r>
  </si>
  <si>
    <t>Tanggal</t>
  </si>
  <si>
    <t>Revisi</t>
  </si>
  <si>
    <t>Awal</t>
  </si>
  <si>
    <t>Akhir</t>
  </si>
  <si>
    <t>Toleransi
(mmHg)</t>
  </si>
  <si>
    <t>Pembacaan Alat
(mmHg)</t>
  </si>
  <si>
    <t>dirapikan, masih terhide</t>
  </si>
  <si>
    <r>
      <t>Nomor Sertifikat   /  Nomor Surat keterangan : 44 / …....... / …........ / E - …...........  DL  /  Dt</t>
    </r>
    <r>
      <rPr>
        <i/>
        <vertAlign val="subscript"/>
        <sz val="13"/>
        <color theme="1"/>
        <rFont val="Arial"/>
        <family val="2"/>
      </rPr>
      <t xml:space="preserve"> </t>
    </r>
  </si>
  <si>
    <t>6.4.2021</t>
  </si>
  <si>
    <t>sertifikat terbit 5.2.2021 SN : 12L-0536, 3505042,3534043, 1831023, 1831021</t>
  </si>
  <si>
    <t>5.2.2021</t>
  </si>
  <si>
    <t>16.4.2021</t>
  </si>
  <si>
    <t xml:space="preserve">sertifikat terbit 8.2.2021 Stopwatch SN : 611Q02R, 510Q06R </t>
  </si>
  <si>
    <t>Nama</t>
  </si>
  <si>
    <t>Venna</t>
  </si>
  <si>
    <t>Rangga</t>
  </si>
  <si>
    <t>11 / II - 21 / E - 035.66 DL</t>
  </si>
  <si>
    <t>Nomor sertifikat tidak otomatis</t>
  </si>
  <si>
    <t>Sudah otomatis</t>
  </si>
  <si>
    <t>Arya</t>
  </si>
  <si>
    <t>3.6.2021</t>
  </si>
  <si>
    <t>4.6.2021</t>
  </si>
  <si>
    <t>1.4.2021</t>
  </si>
  <si>
    <t>26.3.2021</t>
  </si>
  <si>
    <t>2.6.2021</t>
  </si>
  <si>
    <t>12.7.2019</t>
  </si>
  <si>
    <t>22.1.2018</t>
  </si>
  <si>
    <t>Digital Thermohygrobarometer, Merek : EXTECH, Model : SD700, SN : A.100615</t>
  </si>
  <si>
    <t>31.5.2021</t>
  </si>
  <si>
    <t>RESOLUSI</t>
  </si>
  <si>
    <t>26 Juli 2021</t>
  </si>
  <si>
    <t>Belum menambahkan koreksi tahun sebelumnya untuk perhitungan drift</t>
  </si>
  <si>
    <t>Sudah ditambahkan</t>
  </si>
  <si>
    <t>Diman</t>
  </si>
  <si>
    <t>27 Juli 2021</t>
  </si>
  <si>
    <t>Daya baca alat standar pada budget ketidakpastian belum sesuai dengan resolusi standar</t>
  </si>
  <si>
    <t>Sudah disesuailkan dengan resolusi standar</t>
  </si>
  <si>
    <t>12.11.2020</t>
  </si>
  <si>
    <t>Digital Thermohygrobarometer, Merek : EXTECH, Model : SD700, SN : A.100609, A.100611, A.100605, A.100586, A.100616, A.100618, A.100617, A.100615</t>
  </si>
  <si>
    <t>3 Januari 2021</t>
  </si>
  <si>
    <t>3 Januari `2021</t>
  </si>
  <si>
    <t>Hanya DPM-H</t>
  </si>
  <si>
    <t>Manset harap diganti</t>
  </si>
  <si>
    <t>Manset harap dilengkapi</t>
  </si>
  <si>
    <t>Titik ukur atas permintaan pelanggan</t>
  </si>
  <si>
    <t>Alat ukur yang digunakan DPM H, DPM G, BP SIM, AccuPulse, Uni Sim</t>
  </si>
  <si>
    <t>4.1.2021</t>
  </si>
  <si>
    <t>Link nilai rata rata terkoreksi turun (data 1 (c6))</t>
  </si>
  <si>
    <t>Link nilai rata rata terkoreksi turun (data 1 (f6))</t>
  </si>
  <si>
    <t>Digital Thermohygrometer, Merek : Sekonic, Model : ST - 50A, SN : HE 21-000670, HE 21-000669</t>
  </si>
  <si>
    <t>Choirul Huda, S.Tr. Kes</t>
  </si>
  <si>
    <t>SERTIFIKAT LAMA</t>
  </si>
  <si>
    <t>SERTIFIKAT TENGAH</t>
  </si>
  <si>
    <t>Naik Tengah</t>
  </si>
  <si>
    <t>Naik lama</t>
  </si>
  <si>
    <t>Turun Lama</t>
  </si>
  <si>
    <t>Turun Tengah</t>
  </si>
  <si>
    <t>27.1.2022</t>
  </si>
  <si>
    <t>koreksi pada dpm terdiri dari 2 sertifikat</t>
  </si>
  <si>
    <t>sekarang koreksinya  menjadi sertifikat dari 3 tahun terakhir guna kepentingan drift</t>
  </si>
  <si>
    <t>9.3.2017</t>
  </si>
  <si>
    <t>1.9.2021</t>
  </si>
  <si>
    <t>15062874, 2.6.2021</t>
  </si>
  <si>
    <t>3534043, 5.2.2021</t>
  </si>
  <si>
    <t>510Q06R. 8.2.2021</t>
  </si>
  <si>
    <t>0-50</t>
  </si>
  <si>
    <t>50-100</t>
  </si>
  <si>
    <t>100-150</t>
  </si>
  <si>
    <t>150-200</t>
  </si>
  <si>
    <t>3.2.2022</t>
  </si>
  <si>
    <t>Validasi rumus excell</t>
  </si>
  <si>
    <t>sudah divalidasi rumus excell</t>
  </si>
  <si>
    <t>23.6.2021</t>
  </si>
  <si>
    <t>31.8.2021</t>
  </si>
  <si>
    <t>Update Sertifikat thermohygrometer KIMO 15062875, 15062873</t>
  </si>
  <si>
    <t>Koreksi sertifikat 2018 (DPM 4-2H 3787040) titik 150, 200, 250 mmhg</t>
  </si>
  <si>
    <t>21.6.2021</t>
  </si>
  <si>
    <t>10.2.2022</t>
  </si>
  <si>
    <t>update sertifikat stopwatch  001385, 001386, 001387, 001381, 001382, 001449</t>
  </si>
  <si>
    <t>DIman</t>
  </si>
  <si>
    <t>NIP 197806222002122001</t>
  </si>
  <si>
    <t>Yuni Irmawati, SKM., MA</t>
  </si>
  <si>
    <t>Fasilitas Kesehatan Banjarbaru</t>
  </si>
  <si>
    <t>Kepala Loka Pengamanan</t>
  </si>
  <si>
    <t>Banjarbaru,</t>
  </si>
  <si>
    <t>Laboratorium Kalibrasi LPFK Banjarbaru</t>
  </si>
  <si>
    <t>Alamat Pemilik</t>
  </si>
  <si>
    <t xml:space="preserve">Identitas Pemilik     : </t>
  </si>
  <si>
    <t>Nama Pemilik      :</t>
  </si>
  <si>
    <t>Nomor Seri</t>
  </si>
  <si>
    <t>Model / Tipe</t>
  </si>
  <si>
    <t>Merek</t>
  </si>
  <si>
    <t xml:space="preserve">Nomor Order           : </t>
  </si>
  <si>
    <t xml:space="preserve">Nama Alat            : </t>
  </si>
  <si>
    <t xml:space="preserve">                                                                 </t>
  </si>
  <si>
    <t>SERTIFIKAT KALIBRASI</t>
  </si>
  <si>
    <t>Sphygmomanometer</t>
  </si>
  <si>
    <t>Menambahkan sheet Sertifikat</t>
  </si>
  <si>
    <t>11.2.2022</t>
  </si>
  <si>
    <t>VK</t>
  </si>
  <si>
    <t xml:space="preserve">Hasil Kalibrasi Sphygmomanometer </t>
  </si>
  <si>
    <t>2.3.2022</t>
  </si>
  <si>
    <t>Perubahan misal : T.ID-042-18/Rev:1</t>
  </si>
  <si>
    <t>Merubah menjadi huruf kapital : HASIL KALIBRASI SPHYGMOMANOMETER</t>
  </si>
  <si>
    <t xml:space="preserve"> ˚C</t>
  </si>
  <si>
    <t>±</t>
  </si>
  <si>
    <t xml:space="preserve"> % RH</t>
  </si>
  <si>
    <t xml:space="preserve"> ˚C, %RH</t>
  </si>
  <si>
    <t>dibuat terpisah dari angka</t>
  </si>
  <si>
    <t>4.3.2022</t>
  </si>
  <si>
    <t>Digital Pressure Meter, Merek : Fluke Biomedical, Model : DPM 4-1H, SN : 3534043</t>
  </si>
  <si>
    <t>Digital Pressure Meter, Merek : Fluke Biomedical, Model : DPM 4-1H, SN : 3506049</t>
  </si>
  <si>
    <t>Digital Pressure Meter, Merek : Fluke Biomedical, Model : DPM 4-1H, SN : 3505041</t>
  </si>
  <si>
    <t>Digital Pressure Meter, Merek : Fluke Biomedical, Model : DPM 4-2H, SN : 3787040</t>
  </si>
  <si>
    <t>Digital Pressure Meter, Merek : Fluke Biomedical, Model : DPM 4-2H, SN : 3191005</t>
  </si>
  <si>
    <t>Jalan ABC</t>
  </si>
  <si>
    <t>NOMOR ORDER</t>
  </si>
  <si>
    <t>KUNCI KOP SERTIFIKAT</t>
  </si>
  <si>
    <t>PENENTU KOP SERTIFIKAT</t>
  </si>
  <si>
    <t>BAHAN</t>
  </si>
  <si>
    <t>SERTIFIKAT PENGUJIAN</t>
  </si>
  <si>
    <t>BAHAN RUANGAN &amp; PENANGGUNG JAWAB</t>
  </si>
  <si>
    <t>NAMA RUANGAN PADA INPUT DATA</t>
  </si>
  <si>
    <t>MENAMBAH 1 TAHUN SEBELUMNYA</t>
  </si>
  <si>
    <t>MERUBAH DARI ANGKA KE HURUF</t>
  </si>
  <si>
    <t>HASIL KALIBRASI</t>
  </si>
  <si>
    <t>BAHAN GABUNGAN</t>
  </si>
  <si>
    <t xml:space="preserve">Laik Pakai, disarankan untuk dikalibrasi ulang pada tanggal </t>
  </si>
  <si>
    <t xml:space="preserve">Laik Pakai, disarankan untuk diuji ulang pada tanggal </t>
  </si>
  <si>
    <t>Digital Thermohygrobarometer, Merek : Greisinger, Model : GFT 200, SN : 34903046</t>
  </si>
  <si>
    <t>Digital Thermohygrometer, Merek : KIMO, Model : KH-210-AO, SN : 15062873</t>
  </si>
  <si>
    <t>Digital Thermohygrobarometer, Merek : Greisinger, Model : GFTB 200, SN : 34904091</t>
  </si>
  <si>
    <t>Digital Thermohygrobarometer, Merek : Greisinger, Model : GFTB 200, SN : 34903053</t>
  </si>
  <si>
    <t>Manset dan Bulb harap diganti</t>
  </si>
  <si>
    <t>Bulb harap diganti</t>
  </si>
  <si>
    <t xml:space="preserve">Bulb harap dilengkapi </t>
  </si>
  <si>
    <t>Manset dan bulb harap dilengkapi</t>
  </si>
  <si>
    <t>Bulb harap dilengkapi</t>
  </si>
  <si>
    <t>Suhu koreksi</t>
  </si>
  <si>
    <t>Suhu Awal</t>
  </si>
  <si>
    <t xml:space="preserve">Suhu Akhir </t>
  </si>
  <si>
    <t>Kelembapan Awal</t>
  </si>
  <si>
    <t>Kelembapan Koreksi</t>
  </si>
  <si>
    <t>Kelembapan Akhir</t>
  </si>
  <si>
    <t>U naik</t>
  </si>
  <si>
    <t>H68+(FORECAST(H68,INDEX('DATA 1'!$C$6:$C$14,MATCH(H68,'DATA 1'!$B$6:$B$14,1)):INDEX('DATA 1'!$C$6:$C$14,MATCH(H68,'DATA 1'!$B$6:$B$14,1)+1),INDEX('DATA 1'!$B$6:$B$14,MATCH(H68,'DATA 1'!$B$6:$B$14,1)):INDEX('DATA 1'!$B$6:$B$14,MATCH(H68,'DATA 1'!$B$6:$B$14,1)+1)))</t>
  </si>
  <si>
    <t>INDEX('DATA 1'!$C$6:$C$14,MATCH(H68,'DATA 1'!$B$6:$B$14,1))</t>
  </si>
  <si>
    <t>INDEX('DATA 1'!$C$6:$C$14,MATCH(H68,'DATA 1'!$B$6:$B$14,1)+1)</t>
  </si>
  <si>
    <t>INDEX('DATA 1'!$B$6:$B$14,MATCH(H68,'DATA 1'!$B$6:$B$14,1))</t>
  </si>
  <si>
    <t>INDEX('DATA 1'!$B$6:$B$14,MATCH(H68,'DATA 1'!$B$6:$B$14,1)+1)</t>
  </si>
  <si>
    <t>KUNCI :</t>
  </si>
  <si>
    <t>INDEX('DATA 1'!$C$6:$C$14,MATCH(I68,'DATA 1'!$B$6:$B$14,1))</t>
  </si>
  <si>
    <t>INDEX('DATA 1'!$C$6:$C$14,MATCH(I68,'DATA 1'!$B$6:$B$14,1)+1)</t>
  </si>
  <si>
    <t>INDEX('DATA 1'!$B$6:$B$14,MATCH(I68,'DATA 1'!$B$6:$B$14,1))</t>
  </si>
  <si>
    <t>INDEX('DATA 1'!$B$6:$B$14,MATCH(I68,'DATA 1'!$B$6:$B$14,1)+1)</t>
  </si>
  <si>
    <t>X1</t>
  </si>
  <si>
    <t>Y1</t>
  </si>
  <si>
    <t>Y2</t>
  </si>
  <si>
    <t>X2</t>
  </si>
  <si>
    <t>DRIFT NAIK</t>
  </si>
  <si>
    <t>X</t>
  </si>
  <si>
    <t>INTERPOLASI (Y)</t>
  </si>
  <si>
    <t>BAB : INTERPOLASI PENGHASIL NILAI RATA RATA TERKOREKSI</t>
  </si>
  <si>
    <t>INTERPOLASI KOREKSI NAIK</t>
  </si>
  <si>
    <t>INTERPOLASI KOREKSI TURUN</t>
  </si>
  <si>
    <t>INTERPOLASI U95 NAIK</t>
  </si>
  <si>
    <t>INTERPOLASI U95 TURUN</t>
  </si>
  <si>
    <t>UNCERTAINTY BUDGET  (SERTIFIKAT STANDAR)</t>
  </si>
  <si>
    <t>UNCERTAINTY BUDGET  (DRIFT)</t>
  </si>
  <si>
    <t>update sertifikat tensimeter 3534043 (10.2.2022), 3505042 (9.2.2022), 3787040 (8.3.2022), 3191005 (9.3.2022), A.100605 (2.3.2022), A.100609 (4.3.2022), A.100611 (4.3.2022), 001380 (7.2.2022), 001381 (2.3.2022), 001382 (7.2.2022), 001383 (7.2.2022), 001384 (7.2.2022), 001385 (2.3.2022), 001386 (2.3.2022), 001387 (7.2.2022), 001445 (7.2.2022), 001449 (7.2.2022), 001452 (2.3.2022), 005018 (7.2.2022), 510Q06R (7.2.2022), 605Q11R (2.3.2022), 510Q06R (7.2.2022)</t>
  </si>
  <si>
    <t>6.4.2022 dan 11.4.2022</t>
  </si>
  <si>
    <t>LAMA</t>
  </si>
  <si>
    <t>TENGAH</t>
  </si>
  <si>
    <t>BARU</t>
  </si>
  <si>
    <t>9.3.2022</t>
  </si>
  <si>
    <t>9.2.2022</t>
  </si>
  <si>
    <t>8.3.2022</t>
  </si>
  <si>
    <t>7.2.2022</t>
  </si>
  <si>
    <t>11.4.2022</t>
  </si>
  <si>
    <t>merombak interpolasi forecast pada tiap sheet ke kolom interpolasi</t>
  </si>
  <si>
    <t>OA.042-18</t>
  </si>
  <si>
    <t>KOREKSI SUHU AWAL</t>
  </si>
  <si>
    <t>KOREKSI SUHU AKHIR</t>
  </si>
  <si>
    <t>KOREKSI KELEMBABAN AWAL</t>
  </si>
  <si>
    <t>KONDISI SUHU RUANG</t>
  </si>
  <si>
    <t>KOREKSI SERTIFIKAT DPM TURUN</t>
  </si>
  <si>
    <t>PENGUJIAN KEBOCORAN</t>
  </si>
  <si>
    <t>LAJU BUANG CEPAT</t>
  </si>
  <si>
    <t>Rev 20 : 11.4.2022</t>
  </si>
  <si>
    <t>revisi T.LK,ID,UB,LP,LHK</t>
  </si>
  <si>
    <t>18.5.2022</t>
  </si>
  <si>
    <t>revisi jarak cell suhu dan kelembaban LH dan memperbesar ukuran page menjadi 71%</t>
  </si>
  <si>
    <t>cell suhu dan kelembaban lebar</t>
  </si>
  <si>
    <t>T. ID, UB dan LP belum berubah</t>
  </si>
  <si>
    <t>16.6.2021</t>
  </si>
  <si>
    <t>27.2.2022</t>
  </si>
  <si>
    <t>0.5*(max-min)</t>
  </si>
  <si>
    <t>KOREKSI SERTIFIKAT STOPWATCH</t>
  </si>
  <si>
    <t>14.7.2022</t>
  </si>
  <si>
    <t>Koreksi sertifikat 2021 (DPM 4-1H 3505042)</t>
  </si>
  <si>
    <t>Ilyas</t>
  </si>
  <si>
    <t>Ilyas &amp; Alpian</t>
  </si>
  <si>
    <t>link koreksi laju buang cepat ke sertifikat stopwatch</t>
  </si>
  <si>
    <t>link koreksi laju buang cepat ke sertifikat DPM</t>
  </si>
  <si>
    <t>Sertifikat DPM tipe G</t>
  </si>
  <si>
    <t>Ilyas &amp; pak Rangga</t>
  </si>
  <si>
    <t>Nama dihilangkan pada sheet sertifikat DPM</t>
  </si>
  <si>
    <t>Muhammad Ihsan Ilyas</t>
  </si>
  <si>
    <t>Yurdha Algifari</t>
  </si>
  <si>
    <t>31.3.2021</t>
  </si>
  <si>
    <t>3787040, 8.3.2022</t>
  </si>
  <si>
    <t>2.8.2022</t>
  </si>
  <si>
    <t>validasi excell</t>
  </si>
  <si>
    <t>merubah rumus 80 kolom penyelia pada kesimpulan (temuan audit internal)</t>
  </si>
  <si>
    <t>rumus 70 kolom penyelia pada kesimpulan</t>
  </si>
  <si>
    <t>T.UB 042-18</t>
  </si>
  <si>
    <t>8.8.2022</t>
  </si>
  <si>
    <t>validasi excell uncertainty budget naik dan turun</t>
  </si>
  <si>
    <t>link validasi UB naik tidak terkoneksi pada sheet interpolasi</t>
  </si>
  <si>
    <t>19.8.2022</t>
  </si>
  <si>
    <t>membenahi sheet ID kolom D2 IF(PENYELIA!M73&gt;=80;KETERANGAN!F8;KETERANGAN!F9)</t>
  </si>
  <si>
    <t>sheet ID kolom D2 IF(PENYELIA!M73&gt;=70;KETERANGAN!F8;KETERANGAN!F9)</t>
  </si>
  <si>
    <t>Digital Thermohygrobarometer, Merek : Greisinger, Model : GFTB 200, SN : 34903046</t>
  </si>
  <si>
    <t>24.8.2022</t>
  </si>
  <si>
    <t>Menambah B pada model menjadi GFTB : Digital Thermohygrobarometer, Merek : Greisinger, Model : GFTB 200, SN : 34903046</t>
  </si>
  <si>
    <t>if error pada kolom O8 sertifikat thermohygrometer dan AK11 pada sertifikat thermohygrometer</t>
  </si>
  <si>
    <t>di hilangkan if error</t>
  </si>
  <si>
    <t>menjadi misal : T.ID-042-18 (untuk kepentingan excell laragon om Janawi)</t>
  </si>
  <si>
    <t>Digit Desimal Penyelia dan LH :</t>
  </si>
  <si>
    <t>IF(INDEX('DATA 1'!$H$6:$H$14;MATCH(BO19;'DATA 1'!$B$6:$B$14;1)+1)=0;0.000001;INDEX('DATA 1'!$H$6:$H$14;MATCH(BO19;'DATA 1'!$B$6:$B$14;1)+1))</t>
  </si>
  <si>
    <t>6.3.2023</t>
  </si>
  <si>
    <t>23.1.2023</t>
  </si>
  <si>
    <t>09.6.2023</t>
  </si>
  <si>
    <t>06.2.2023</t>
  </si>
  <si>
    <t>Laik Pakai, disarankan untuk dikalibrasi ulang pada tanggal…......</t>
  </si>
  <si>
    <t>21 Maret 2022</t>
  </si>
  <si>
    <t>Hasil laju buang cepat tertelusur ke satuan SI melalui PT. KALIMAN</t>
  </si>
  <si>
    <t>Stopwatch, Merek : Casio, Model : HS-3, SN : 611Q02R</t>
  </si>
  <si>
    <t>Stopwatch, Merek : Casio, Model : HS-80TW, SN : 510Q061R</t>
  </si>
  <si>
    <t>Stopwatch, Merek : Casio, Model : HS-80TW, SN : 510Q06R</t>
  </si>
  <si>
    <t>Stopwatch, Merek : Casio, Model : HS-80TW, SN : 605Q11R</t>
  </si>
  <si>
    <t>Stopwatch, Merek : EXTECH, Model : 365535, SN : 001380</t>
  </si>
  <si>
    <t>Stopwatch, Merek : EXTECH, Model : 365535, SN : 001381</t>
  </si>
  <si>
    <t>Stopwatch, Merek : EXTECH, Model : 365535, SN : 001382</t>
  </si>
  <si>
    <t>Stopwatch, Merek : EXTECH, Model : 365535, SN : 001383</t>
  </si>
  <si>
    <t>Stopwatch, Merek : EXTECH, Model : 365535, SN : 001384</t>
  </si>
  <si>
    <t>Stopwatch, Merek : EXTECH, Model : 365535, SN : 001385</t>
  </si>
  <si>
    <t>Stopwatch, Merek : EXTECH, Model : 365535, SN : 001386</t>
  </si>
  <si>
    <t>Stopwatch, Merek : EXTECH, Model : 365535, SN : 001387</t>
  </si>
  <si>
    <t>Stopwatch, Merek : EXTECH, Model : 365535, SN : 001445</t>
  </si>
  <si>
    <t>Stopwatch, Merek : EXTECH, Model : 365535, SN : 001449</t>
  </si>
  <si>
    <t>Stopwatch, Merek : EXTECH, Model : 365535, SN : 001452</t>
  </si>
  <si>
    <t>Stopwatch, Merek : EXTECH, Model : 365535, SN : 005018</t>
  </si>
  <si>
    <t>Digital Thermohygrometer, Merek : Sekonic, Model : ST-50A, SN : HE 01-203004</t>
  </si>
  <si>
    <t>Digital Thermohygrometer, Merek : Sekonic, Model : ST-50A, SN : HE 21-000669</t>
  </si>
  <si>
    <t>Digital Thermohygrometer, Merek : Sekonic, Model : ST-50A, SN : HE 21-000670</t>
  </si>
  <si>
    <t>31.8.2022</t>
  </si>
  <si>
    <t>26.7.2022</t>
  </si>
  <si>
    <t>19-5-2023</t>
  </si>
  <si>
    <t>E - 035.66 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</si>
</sst>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164" formatCode="0.0"/>
    <numFmt numFmtId="165" formatCode="0.0000"/>
    <numFmt numFmtId="166" formatCode="\±\ \ 0.0"/>
    <numFmt numFmtId="167" formatCode="0.0\ \ \ \°\C"/>
    <numFmt numFmtId="168" formatCode="0.0\ \ &quot;% RH&quot;"/>
    <numFmt numFmtId="169" formatCode="0.0\ \ \±\ \ "/>
    <numFmt numFmtId="170" formatCode="0.00\ \°\C"/>
    <numFmt numFmtId="171" formatCode="0.000"/>
    <numFmt numFmtId="172" formatCode="0.000000000"/>
    <numFmt numFmtId="173" formatCode="0\ &quot;mmHg&quot;"/>
    <numFmt numFmtId="174" formatCode="0.00000"/>
    <numFmt numFmtId="175" formatCode="0.0\ &quot;%&quot;"/>
    <numFmt numFmtId="176" formatCode="0.00\ &quot;%&quot;"/>
    <numFmt numFmtId="177" formatCode="0.000000000000"/>
    <numFmt numFmtId="178" formatCode="0.0000000000000"/>
    <numFmt numFmtId="179" formatCode="dd/mm/yyyy;@"/>
    <numFmt numFmtId="180" formatCode="[$-421]dd\ mmmm\ yyyy;@"/>
    <numFmt numFmtId="181" formatCode="\ 0.000\ &quot;interpolasi&quot;"/>
    <numFmt numFmtId="182" formatCode="0.000\ &quot;interpolasi&quot;\ "/>
    <numFmt numFmtId="183" formatCode="0.000\ &quot;rata terkoreksi&quot;"/>
    <numFmt numFmtId="184" formatCode="0.0\ &quot;X1&quot;\ "/>
    <numFmt numFmtId="185" formatCode="0.0\ &quot;Y1&quot;\ "/>
    <numFmt numFmtId="186" formatCode="0.0\ &quot;X2&quot;\ "/>
    <numFmt numFmtId="187" formatCode="0.0\ &quot;Y2&quot;\ "/>
    <numFmt numFmtId="188" formatCode="0.0\ &quot;akhir&quot;"/>
    <numFmt numFmtId="189" formatCode="0.000\ &quot;average&quot;\ "/>
    <numFmt numFmtId="190" formatCode="0.0\ &quot;awal&quot;\ "/>
    <numFmt numFmtId="191" formatCode="0.000\ &quot;laju kebocoran&quot;\ "/>
    <numFmt numFmtId="192" formatCode="0.00\ &quot;Y2&quot;\ "/>
    <numFmt numFmtId="193" formatCode="0.000\ &quot;Y2&quot;\ "/>
    <numFmt numFmtId="194" formatCode="0.000\ &quot;Laju buang&quot;\ "/>
    <numFmt numFmtId="195" formatCode="0.000\ &quot;average naik&quot;\ "/>
    <numFmt numFmtId="196" formatCode="0.000\ &quot;average turun&quot;\ "/>
    <numFmt numFmtId="197" formatCode="0.000\ &quot;rata terkoreksi naik&quot;"/>
    <numFmt numFmtId="198" formatCode="0.0000\ &quot;interpolasi&quot;\ "/>
    <numFmt numFmtId="199" formatCode="0.000&quot;rata terkoreksi turun&quot;"/>
    <numFmt numFmtId="200" formatCode="[$-C09]d\ mmmm\ yyyy;@"/>
    <numFmt numFmtId="201" formatCode="0.0\ &quot;rata terkoreksi naik&quot;"/>
    <numFmt numFmtId="202" formatCode="0.0&quot;rata terkoreksi turun&quot;"/>
  </numFmts>
  <fonts count="1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name val="Times New Roman"/>
      <family val="1"/>
    </font>
    <font>
      <sz val="8"/>
      <name val="Arial"/>
      <family val="2"/>
    </font>
    <font>
      <sz val="10"/>
      <name val="Arial"/>
      <family val="2"/>
    </font>
    <font>
      <sz val="10"/>
      <color theme="1"/>
      <name val="Times New Roman"/>
      <family val="1"/>
    </font>
    <font>
      <b/>
      <sz val="10"/>
      <name val="Arial"/>
      <family val="2"/>
    </font>
    <font>
      <b/>
      <sz val="10"/>
      <name val="Times New Roman"/>
      <family val="1"/>
    </font>
    <font>
      <sz val="12"/>
      <name val="Calibri"/>
      <family val="2"/>
      <scheme val="minor"/>
    </font>
    <font>
      <b/>
      <vertAlign val="superscript"/>
      <sz val="12"/>
      <name val="Calibri"/>
      <family val="2"/>
    </font>
    <font>
      <sz val="12"/>
      <color theme="1"/>
      <name val="Calibri"/>
      <family val="2"/>
      <scheme val="minor"/>
    </font>
    <font>
      <i/>
      <sz val="12"/>
      <color theme="1"/>
      <name val="Calibri"/>
      <family val="2"/>
      <scheme val="minor"/>
    </font>
    <font>
      <b/>
      <sz val="8"/>
      <name val="Times New Roman"/>
      <family val="1"/>
    </font>
    <font>
      <b/>
      <sz val="8"/>
      <color theme="1"/>
      <name val="Times New Roman"/>
      <family val="1"/>
    </font>
    <font>
      <b/>
      <sz val="10"/>
      <color theme="1"/>
      <name val="Calibri"/>
      <family val="2"/>
      <scheme val="minor"/>
    </font>
    <font>
      <sz val="8"/>
      <name val="Calibri"/>
      <family val="2"/>
      <scheme val="minor"/>
    </font>
    <font>
      <sz val="10"/>
      <color theme="1"/>
      <name val="Calibri"/>
      <family val="2"/>
      <scheme val="minor"/>
    </font>
    <font>
      <i/>
      <sz val="8"/>
      <color theme="1"/>
      <name val="Tahoma"/>
      <family val="2"/>
    </font>
    <font>
      <sz val="8"/>
      <name val="Tahoma"/>
      <family val="2"/>
    </font>
    <font>
      <b/>
      <sz val="8"/>
      <name val="Tahoma"/>
      <family val="2"/>
    </font>
    <font>
      <b/>
      <sz val="8"/>
      <color theme="1"/>
      <name val="Tahoma"/>
      <family val="2"/>
    </font>
    <font>
      <b/>
      <u/>
      <sz val="14"/>
      <color theme="1"/>
      <name val="Calibri"/>
      <family val="2"/>
      <scheme val="minor"/>
    </font>
    <font>
      <i/>
      <sz val="13"/>
      <color theme="1"/>
      <name val="Calibri"/>
      <family val="2"/>
      <scheme val="minor"/>
    </font>
    <font>
      <b/>
      <i/>
      <sz val="13"/>
      <color theme="1"/>
      <name val="Calibri"/>
      <family val="2"/>
      <scheme val="minor"/>
    </font>
    <font>
      <b/>
      <u/>
      <sz val="12"/>
      <color theme="1"/>
      <name val="Calibri"/>
      <family val="2"/>
      <scheme val="minor"/>
    </font>
    <font>
      <b/>
      <sz val="12"/>
      <color theme="1"/>
      <name val="Calibri"/>
      <family val="2"/>
      <scheme val="minor"/>
    </font>
    <font>
      <u/>
      <sz val="12"/>
      <color theme="1"/>
      <name val="Calibri"/>
      <family val="2"/>
      <scheme val="minor"/>
    </font>
    <font>
      <u/>
      <sz val="10"/>
      <color theme="1"/>
      <name val="Calibri"/>
      <family val="2"/>
      <scheme val="minor"/>
    </font>
    <font>
      <vertAlign val="subscript"/>
      <sz val="10"/>
      <color theme="1"/>
      <name val="Calibri"/>
      <family val="2"/>
      <scheme val="minor"/>
    </font>
    <font>
      <sz val="10"/>
      <color theme="1"/>
      <name val="Arial"/>
      <family val="2"/>
    </font>
    <font>
      <sz val="8"/>
      <color theme="1"/>
      <name val="Calibri"/>
      <family val="2"/>
      <scheme val="minor"/>
    </font>
    <font>
      <b/>
      <sz val="13"/>
      <color theme="1"/>
      <name val="Calibri"/>
      <family val="2"/>
      <scheme val="minor"/>
    </font>
    <font>
      <b/>
      <i/>
      <sz val="12"/>
      <color theme="1"/>
      <name val="Calibri"/>
      <family val="2"/>
      <scheme val="minor"/>
    </font>
    <font>
      <b/>
      <i/>
      <vertAlign val="subscript"/>
      <sz val="12"/>
      <color theme="1"/>
      <name val="Calibri"/>
      <family val="2"/>
      <scheme val="minor"/>
    </font>
    <font>
      <b/>
      <vertAlign val="subscript"/>
      <sz val="12"/>
      <color theme="1"/>
      <name val="Calibri"/>
      <family val="2"/>
      <scheme val="minor"/>
    </font>
    <font>
      <i/>
      <vertAlign val="subscript"/>
      <sz val="12"/>
      <color theme="1"/>
      <name val="Calibri"/>
      <family val="2"/>
      <scheme val="minor"/>
    </font>
    <font>
      <sz val="13"/>
      <color theme="1"/>
      <name val="Calibri"/>
      <family val="2"/>
      <scheme val="minor"/>
    </font>
    <font>
      <b/>
      <sz val="10"/>
      <color theme="1"/>
      <name val="Arial"/>
      <family val="2"/>
    </font>
    <font>
      <sz val="12"/>
      <color theme="1"/>
      <name val="Calibri"/>
      <family val="2"/>
    </font>
    <font>
      <b/>
      <u/>
      <sz val="10"/>
      <color theme="1"/>
      <name val="Arial"/>
      <family val="2"/>
    </font>
    <font>
      <sz val="8"/>
      <name val="Times New Roman"/>
      <family val="1"/>
    </font>
    <font>
      <b/>
      <u/>
      <sz val="13"/>
      <color theme="1"/>
      <name val="Calibri"/>
      <family val="2"/>
      <scheme val="minor"/>
    </font>
    <font>
      <sz val="12"/>
      <color rgb="FFFF0000"/>
      <name val="Calibri"/>
      <family val="2"/>
      <scheme val="minor"/>
    </font>
    <font>
      <b/>
      <sz val="10"/>
      <color rgb="FFFF0000"/>
      <name val="Calibri"/>
      <family val="2"/>
      <scheme val="minor"/>
    </font>
    <font>
      <sz val="10"/>
      <color rgb="FFFF0000"/>
      <name val="Calibri"/>
      <family val="2"/>
      <scheme val="minor"/>
    </font>
    <font>
      <b/>
      <sz val="12"/>
      <color rgb="FFFF0000"/>
      <name val="Calibri"/>
      <family val="2"/>
      <scheme val="minor"/>
    </font>
    <font>
      <i/>
      <sz val="12"/>
      <color rgb="FFFF0000"/>
      <name val="Calibri"/>
      <family val="2"/>
      <scheme val="minor"/>
    </font>
    <font>
      <sz val="10"/>
      <color rgb="FFFF0000"/>
      <name val="Arial"/>
      <family val="2"/>
    </font>
    <font>
      <b/>
      <sz val="16"/>
      <name val="Calibri"/>
      <family val="2"/>
      <scheme val="minor"/>
    </font>
    <font>
      <b/>
      <sz val="11"/>
      <name val="Calibri"/>
      <family val="2"/>
      <scheme val="minor"/>
    </font>
    <font>
      <b/>
      <sz val="8"/>
      <name val="Calibri"/>
      <family val="2"/>
      <scheme val="minor"/>
    </font>
    <font>
      <b/>
      <sz val="10"/>
      <name val="Calibri"/>
      <family val="2"/>
      <scheme val="minor"/>
    </font>
    <font>
      <sz val="11"/>
      <name val="Arial"/>
      <family val="2"/>
    </font>
    <font>
      <b/>
      <sz val="10"/>
      <color rgb="FFFF0000"/>
      <name val="Times New Roman"/>
      <family val="1"/>
    </font>
    <font>
      <b/>
      <sz val="10"/>
      <color rgb="FFFF0000"/>
      <name val="Arial"/>
      <family val="2"/>
    </font>
    <font>
      <b/>
      <u/>
      <sz val="16"/>
      <name val="Calibri"/>
      <family val="2"/>
      <scheme val="minor"/>
    </font>
    <font>
      <sz val="12"/>
      <name val="Arial"/>
      <family val="2"/>
    </font>
    <font>
      <sz val="11"/>
      <color theme="1"/>
      <name val="Calibri"/>
      <family val="2"/>
      <scheme val="minor"/>
    </font>
    <font>
      <sz val="12"/>
      <color theme="0"/>
      <name val="Calibri"/>
      <family val="2"/>
      <scheme val="minor"/>
    </font>
    <font>
      <b/>
      <sz val="12"/>
      <color theme="0"/>
      <name val="Calibri"/>
      <family val="2"/>
      <scheme val="minor"/>
    </font>
    <font>
      <sz val="10"/>
      <color theme="0"/>
      <name val="Calibri"/>
      <family val="2"/>
      <scheme val="minor"/>
    </font>
    <font>
      <sz val="10"/>
      <color theme="0"/>
      <name val="Arial"/>
      <family val="2"/>
    </font>
    <font>
      <b/>
      <sz val="10"/>
      <color rgb="FF00B0F0"/>
      <name val="Arial"/>
      <family val="2"/>
    </font>
    <font>
      <sz val="10"/>
      <color rgb="FF00B0F0"/>
      <name val="Arial"/>
      <family val="2"/>
    </font>
    <font>
      <b/>
      <sz val="10"/>
      <color theme="1"/>
      <name val="Times New Roman"/>
      <family val="1"/>
    </font>
    <font>
      <b/>
      <u/>
      <sz val="14"/>
      <color rgb="FFFF0000"/>
      <name val="Arial"/>
      <family val="2"/>
    </font>
    <font>
      <sz val="7"/>
      <color theme="1"/>
      <name val="Calibri"/>
      <family val="2"/>
      <scheme val="minor"/>
    </font>
    <font>
      <sz val="8"/>
      <color theme="1"/>
      <name val="Arial"/>
      <family val="2"/>
    </font>
    <font>
      <b/>
      <sz val="28"/>
      <color theme="1"/>
      <name val="Wingdings 2"/>
      <family val="1"/>
      <charset val="2"/>
    </font>
    <font>
      <sz val="9"/>
      <color indexed="81"/>
      <name val="Tahoma"/>
      <family val="2"/>
    </font>
    <font>
      <b/>
      <sz val="9"/>
      <color indexed="81"/>
      <name val="Tahoma"/>
      <family val="2"/>
    </font>
    <font>
      <b/>
      <u/>
      <sz val="14"/>
      <color theme="1"/>
      <name val="Arial"/>
      <family val="2"/>
    </font>
    <font>
      <b/>
      <i/>
      <sz val="13"/>
      <color theme="1"/>
      <name val="Arial"/>
      <family val="2"/>
    </font>
    <font>
      <b/>
      <u/>
      <sz val="13"/>
      <color theme="1"/>
      <name val="Arial"/>
      <family val="2"/>
    </font>
    <font>
      <sz val="12"/>
      <color theme="1"/>
      <name val="Arial"/>
      <family val="2"/>
    </font>
    <font>
      <b/>
      <sz val="12"/>
      <color theme="1"/>
      <name val="Arial"/>
      <family val="2"/>
    </font>
    <font>
      <sz val="11"/>
      <color theme="1"/>
      <name val="Arial"/>
      <family val="2"/>
    </font>
    <font>
      <b/>
      <vertAlign val="superscript"/>
      <sz val="12"/>
      <name val="Arial"/>
      <family val="2"/>
    </font>
    <font>
      <i/>
      <sz val="12"/>
      <color theme="1"/>
      <name val="Arial"/>
      <family val="2"/>
    </font>
    <font>
      <u/>
      <sz val="10"/>
      <color theme="1"/>
      <name val="Arial"/>
      <family val="2"/>
    </font>
    <font>
      <b/>
      <sz val="12"/>
      <name val="Arial"/>
      <family val="2"/>
    </font>
    <font>
      <sz val="12"/>
      <color theme="0"/>
      <name val="Arial"/>
      <family val="2"/>
    </font>
    <font>
      <b/>
      <u/>
      <sz val="12"/>
      <color theme="1"/>
      <name val="Arial"/>
      <family val="2"/>
    </font>
    <font>
      <sz val="13"/>
      <color theme="1"/>
      <name val="Arial"/>
      <family val="2"/>
    </font>
    <font>
      <b/>
      <sz val="13"/>
      <color theme="1"/>
      <name val="Arial"/>
      <family val="2"/>
    </font>
    <font>
      <b/>
      <sz val="11"/>
      <color theme="1"/>
      <name val="Arial"/>
      <family val="2"/>
    </font>
    <font>
      <u/>
      <sz val="11"/>
      <color theme="1"/>
      <name val="Arial"/>
      <family val="2"/>
    </font>
    <font>
      <sz val="11"/>
      <color theme="0"/>
      <name val="Arial"/>
      <family val="2"/>
    </font>
    <font>
      <b/>
      <sz val="11"/>
      <name val="Arial"/>
      <family val="2"/>
    </font>
    <font>
      <vertAlign val="superscript"/>
      <sz val="10"/>
      <color theme="1"/>
      <name val="Arial"/>
      <family val="2"/>
    </font>
    <font>
      <sz val="8"/>
      <color rgb="FFFF0000"/>
      <name val="Calibri"/>
      <family val="2"/>
      <scheme val="minor"/>
    </font>
    <font>
      <b/>
      <i/>
      <sz val="12"/>
      <color rgb="FFFF0000"/>
      <name val="Calibri"/>
      <family val="2"/>
      <scheme val="minor"/>
    </font>
    <font>
      <b/>
      <i/>
      <vertAlign val="subscript"/>
      <sz val="12"/>
      <color rgb="FFFF0000"/>
      <name val="Calibri"/>
      <family val="2"/>
      <scheme val="minor"/>
    </font>
    <font>
      <b/>
      <vertAlign val="subscript"/>
      <sz val="12"/>
      <color rgb="FFFF0000"/>
      <name val="Calibri"/>
      <family val="2"/>
      <scheme val="minor"/>
    </font>
    <font>
      <i/>
      <vertAlign val="subscript"/>
      <sz val="12"/>
      <color rgb="FFFF0000"/>
      <name val="Calibri"/>
      <family val="2"/>
      <scheme val="minor"/>
    </font>
    <font>
      <b/>
      <sz val="12"/>
      <color rgb="FFFF0000"/>
      <name val="Arial"/>
      <family val="2"/>
    </font>
    <font>
      <sz val="8"/>
      <color theme="0"/>
      <name val="Calibri"/>
      <family val="2"/>
      <scheme val="minor"/>
    </font>
    <font>
      <i/>
      <sz val="13"/>
      <color theme="1"/>
      <name val="Arial"/>
      <family val="2"/>
    </font>
    <font>
      <i/>
      <vertAlign val="subscript"/>
      <sz val="13"/>
      <color theme="1"/>
      <name val="Arial"/>
      <family val="2"/>
    </font>
    <font>
      <vertAlign val="superscript"/>
      <sz val="8"/>
      <color theme="1"/>
      <name val="Arial"/>
      <family val="2"/>
    </font>
    <font>
      <b/>
      <sz val="10"/>
      <color rgb="FF002060"/>
      <name val="Arial"/>
      <family val="2"/>
    </font>
    <font>
      <b/>
      <sz val="8"/>
      <color rgb="FF00B0F0"/>
      <name val="Times New Roman"/>
      <family val="1"/>
    </font>
    <font>
      <sz val="10"/>
      <color rgb="FF002060"/>
      <name val="Arial"/>
      <family val="2"/>
    </font>
    <font>
      <b/>
      <sz val="8"/>
      <color rgb="FF002060"/>
      <name val="Times New Roman"/>
      <family val="1"/>
    </font>
    <font>
      <b/>
      <sz val="11"/>
      <color theme="1"/>
      <name val="Calibri"/>
      <family val="2"/>
      <scheme val="minor"/>
    </font>
    <font>
      <sz val="10"/>
      <color theme="1"/>
      <name val="Calibri"/>
      <family val="2"/>
    </font>
    <font>
      <sz val="10"/>
      <color theme="0" tint="-0.249977111117893"/>
      <name val="Arial"/>
      <family val="2"/>
    </font>
    <font>
      <sz val="8"/>
      <name val="Arial"/>
      <family val="2"/>
    </font>
    <font>
      <sz val="8"/>
      <color theme="1"/>
      <name val="Tahoma"/>
      <family val="2"/>
    </font>
    <font>
      <i/>
      <sz val="10"/>
      <color theme="1"/>
      <name val="Tahoma"/>
      <family val="2"/>
    </font>
    <font>
      <sz val="10"/>
      <color theme="1"/>
      <name val="Tahoma"/>
      <family val="2"/>
    </font>
    <font>
      <b/>
      <sz val="11"/>
      <color theme="0"/>
      <name val="Calibri"/>
      <family val="2"/>
      <scheme val="minor"/>
    </font>
    <font>
      <sz val="11"/>
      <color theme="0"/>
      <name val="Calibri"/>
      <family val="2"/>
      <scheme val="minor"/>
    </font>
    <font>
      <sz val="11"/>
      <color theme="1"/>
      <name val="Calibri"/>
      <family val="2"/>
      <charset val="1"/>
      <scheme val="minor"/>
    </font>
    <font>
      <sz val="11"/>
      <name val="Times New Roman"/>
      <family val="1"/>
    </font>
    <font>
      <b/>
      <sz val="11"/>
      <name val="Times New Roman"/>
      <family val="1"/>
    </font>
    <font>
      <b/>
      <sz val="11"/>
      <color theme="1"/>
      <name val="Calibri"/>
      <family val="2"/>
      <charset val="1"/>
      <scheme val="minor"/>
    </font>
    <font>
      <sz val="10"/>
      <color theme="1"/>
      <name val="Calibri"/>
      <family val="2"/>
      <charset val="1"/>
      <scheme val="minor"/>
    </font>
    <font>
      <b/>
      <sz val="11"/>
      <color theme="1"/>
      <name val="Times New Roman"/>
      <family val="1"/>
    </font>
    <font>
      <sz val="9"/>
      <name val="Calibri"/>
      <family val="2"/>
      <scheme val="minor"/>
    </font>
    <font>
      <b/>
      <u/>
      <sz val="24"/>
      <name val="Times New Roman"/>
      <family val="1"/>
    </font>
    <font>
      <sz val="11"/>
      <color theme="1"/>
      <name val="Times New Roman"/>
      <family val="1"/>
    </font>
    <font>
      <sz val="10"/>
      <color theme="5" tint="-0.249977111117893"/>
      <name val="Arial"/>
      <family val="2"/>
    </font>
    <font>
      <sz val="11"/>
      <color theme="5" tint="-0.249977111117893"/>
      <name val="Times New Roman"/>
      <family val="1"/>
    </font>
    <font>
      <sz val="10"/>
      <name val="Calibri"/>
      <family val="2"/>
      <scheme val="minor"/>
    </font>
    <font>
      <sz val="8"/>
      <color theme="0"/>
      <name val="Arial"/>
      <family val="2"/>
    </font>
    <font>
      <b/>
      <sz val="10"/>
      <color theme="0"/>
      <name val="Times New Roman"/>
      <family val="1"/>
    </font>
    <font>
      <b/>
      <sz val="10"/>
      <color theme="0"/>
      <name val="Arial"/>
      <family val="2"/>
    </font>
    <font>
      <sz val="10"/>
      <color theme="0"/>
      <name val="Times New Roman"/>
      <family val="1"/>
    </font>
    <font>
      <sz val="8"/>
      <color theme="0"/>
      <name val="Times New Roman"/>
      <family val="1"/>
    </font>
    <font>
      <b/>
      <sz val="8"/>
      <color theme="0"/>
      <name val="Times New Roman"/>
      <family val="1"/>
    </font>
    <font>
      <sz val="16"/>
      <name val="Tahoma"/>
      <family val="2"/>
    </font>
    <font>
      <sz val="16"/>
      <color theme="1"/>
      <name val="Arial"/>
      <family val="2"/>
    </font>
    <font>
      <b/>
      <i/>
      <sz val="13"/>
      <color rgb="FFFF0000"/>
      <name val="Calibri"/>
      <family val="2"/>
      <scheme val="minor"/>
    </font>
    <font>
      <sz val="9"/>
      <name val="Arial"/>
      <family val="2"/>
    </font>
    <font>
      <b/>
      <sz val="10"/>
      <color rgb="FFFF0000"/>
      <name val="Calibri"/>
      <family val="2"/>
    </font>
  </fonts>
  <fills count="1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9"/>
        <bgColor indexed="64"/>
      </patternFill>
    </fill>
    <fill>
      <patternFill patternType="solid">
        <fgColor rgb="FF7030A0"/>
        <bgColor indexed="64"/>
      </patternFill>
    </fill>
    <fill>
      <patternFill patternType="solid">
        <fgColor theme="1"/>
        <bgColor indexed="64"/>
      </patternFill>
    </fill>
    <fill>
      <patternFill patternType="solid">
        <fgColor rgb="FF00FF00"/>
        <bgColor indexed="64"/>
      </patternFill>
    </fill>
    <fill>
      <patternFill patternType="solid">
        <fgColor theme="9" tint="-0.249977111117893"/>
        <bgColor indexed="64"/>
      </patternFill>
    </fill>
    <fill>
      <patternFill patternType="solid">
        <fgColor rgb="FFFF0066"/>
        <bgColor indexed="64"/>
      </patternFill>
    </fill>
    <fill>
      <patternFill patternType="solid">
        <fgColor theme="8"/>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CD5B4"/>
        <bgColor rgb="FF000000"/>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style="medium">
        <color indexed="64"/>
      </top>
      <bottom/>
      <diagonal/>
    </border>
  </borders>
  <cellStyleXfs count="8">
    <xf numFmtId="0" fontId="0" fillId="0" borderId="0"/>
    <xf numFmtId="0" fontId="7" fillId="0" borderId="0"/>
    <xf numFmtId="0" fontId="7" fillId="0" borderId="0"/>
    <xf numFmtId="0" fontId="7" fillId="0" borderId="0"/>
    <xf numFmtId="0" fontId="7" fillId="0" borderId="0"/>
    <xf numFmtId="0" fontId="3" fillId="0" borderId="0"/>
    <xf numFmtId="0" fontId="116" fillId="0" borderId="0"/>
    <xf numFmtId="0" fontId="7" fillId="0" borderId="0"/>
  </cellStyleXfs>
  <cellXfs count="1407">
    <xf numFmtId="0" fontId="0" fillId="0" borderId="0" xfId="0"/>
    <xf numFmtId="1" fontId="0" fillId="0" borderId="1" xfId="0" applyNumberFormat="1" applyBorder="1" applyProtection="1">
      <protection hidden="1"/>
    </xf>
    <xf numFmtId="1" fontId="0" fillId="0" borderId="0" xfId="0" applyNumberFormat="1" applyProtection="1">
      <protection hidden="1"/>
    </xf>
    <xf numFmtId="1" fontId="9" fillId="0" borderId="1" xfId="0" applyNumberFormat="1" applyFont="1" applyBorder="1" applyAlignment="1" applyProtection="1">
      <alignment horizontal="center"/>
      <protection hidden="1"/>
    </xf>
    <xf numFmtId="1" fontId="5" fillId="0" borderId="1" xfId="0" applyNumberFormat="1" applyFont="1" applyBorder="1" applyAlignment="1" applyProtection="1">
      <alignment horizontal="left"/>
      <protection hidden="1"/>
    </xf>
    <xf numFmtId="1" fontId="10" fillId="0" borderId="3" xfId="0" applyNumberFormat="1" applyFont="1" applyBorder="1" applyAlignment="1" applyProtection="1">
      <alignment horizontal="center" vertical="center"/>
      <protection hidden="1"/>
    </xf>
    <xf numFmtId="1" fontId="7" fillId="0" borderId="1" xfId="0" applyNumberFormat="1" applyFont="1" applyBorder="1" applyAlignment="1" applyProtection="1">
      <alignment horizontal="center"/>
      <protection hidden="1"/>
    </xf>
    <xf numFmtId="1" fontId="0" fillId="0" borderId="0" xfId="0" applyNumberFormat="1" applyAlignment="1" applyProtection="1">
      <alignment horizontal="center"/>
      <protection hidden="1"/>
    </xf>
    <xf numFmtId="1" fontId="10" fillId="0" borderId="1" xfId="0" applyNumberFormat="1" applyFont="1" applyBorder="1" applyAlignment="1" applyProtection="1">
      <alignment horizontal="center" vertical="center"/>
      <protection hidden="1"/>
    </xf>
    <xf numFmtId="1" fontId="5" fillId="0" borderId="12" xfId="0" applyNumberFormat="1" applyFont="1" applyBorder="1" applyAlignment="1" applyProtection="1">
      <alignment horizontal="left"/>
      <protection hidden="1"/>
    </xf>
    <xf numFmtId="1" fontId="0" fillId="4" borderId="0" xfId="0" applyNumberFormat="1" applyFill="1" applyProtection="1">
      <protection hidden="1"/>
    </xf>
    <xf numFmtId="1" fontId="5" fillId="0" borderId="12" xfId="0" applyNumberFormat="1" applyFont="1" applyBorder="1" applyProtection="1">
      <protection hidden="1"/>
    </xf>
    <xf numFmtId="164" fontId="7" fillId="0" borderId="1" xfId="0" applyNumberFormat="1" applyFont="1" applyBorder="1" applyAlignment="1" applyProtection="1">
      <alignment horizontal="right"/>
      <protection hidden="1"/>
    </xf>
    <xf numFmtId="1" fontId="0" fillId="3" borderId="0" xfId="0" applyNumberFormat="1" applyFill="1" applyProtection="1">
      <protection hidden="1"/>
    </xf>
    <xf numFmtId="164" fontId="0" fillId="0" borderId="0" xfId="0" applyNumberFormat="1" applyProtection="1">
      <protection hidden="1"/>
    </xf>
    <xf numFmtId="164" fontId="0" fillId="4" borderId="0" xfId="0" applyNumberFormat="1" applyFill="1" applyProtection="1">
      <protection hidden="1"/>
    </xf>
    <xf numFmtId="2" fontId="14" fillId="3" borderId="0" xfId="3" applyNumberFormat="1" applyFont="1" applyFill="1" applyAlignment="1" applyProtection="1">
      <alignment horizontal="right" vertical="center" wrapText="1"/>
      <protection hidden="1"/>
    </xf>
    <xf numFmtId="0" fontId="12"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locked="0"/>
    </xf>
    <xf numFmtId="0" fontId="21" fillId="0" borderId="0" xfId="0" applyFont="1" applyProtection="1">
      <protection hidden="1"/>
    </xf>
    <xf numFmtId="0" fontId="22" fillId="0" borderId="1" xfId="0" applyFont="1" applyBorder="1" applyAlignment="1" applyProtection="1">
      <alignment horizontal="center"/>
      <protection hidden="1"/>
    </xf>
    <xf numFmtId="0" fontId="23" fillId="3" borderId="1" xfId="0" applyFont="1" applyFill="1" applyBorder="1" applyAlignment="1" applyProtection="1">
      <alignment horizontal="center"/>
      <protection hidden="1"/>
    </xf>
    <xf numFmtId="0" fontId="21" fillId="0" borderId="1" xfId="0" applyFont="1" applyBorder="1" applyAlignment="1" applyProtection="1">
      <alignment horizontal="center"/>
      <protection hidden="1"/>
    </xf>
    <xf numFmtId="0" fontId="22" fillId="0" borderId="1" xfId="0" applyFont="1" applyBorder="1" applyAlignment="1" applyProtection="1">
      <alignment horizontal="center" vertical="center"/>
      <protection hidden="1"/>
    </xf>
    <xf numFmtId="0" fontId="21" fillId="0" borderId="1" xfId="0" applyFont="1" applyBorder="1" applyProtection="1">
      <protection hidden="1"/>
    </xf>
    <xf numFmtId="164" fontId="21" fillId="0" borderId="1" xfId="0" applyNumberFormat="1" applyFont="1" applyBorder="1" applyProtection="1">
      <protection hidden="1"/>
    </xf>
    <xf numFmtId="0" fontId="21" fillId="0" borderId="0" xfId="0" applyFont="1" applyAlignment="1" applyProtection="1">
      <alignment horizontal="right"/>
      <protection hidden="1"/>
    </xf>
    <xf numFmtId="0" fontId="21" fillId="4" borderId="0" xfId="0" applyFont="1" applyFill="1" applyProtection="1">
      <protection hidden="1"/>
    </xf>
    <xf numFmtId="0" fontId="21" fillId="6" borderId="0" xfId="0" applyFont="1" applyFill="1" applyProtection="1">
      <protection hidden="1"/>
    </xf>
    <xf numFmtId="0" fontId="21" fillId="3" borderId="0" xfId="0" applyFont="1" applyFill="1" applyProtection="1">
      <protection hidden="1"/>
    </xf>
    <xf numFmtId="1" fontId="0" fillId="6" borderId="0" xfId="0" applyNumberFormat="1" applyFill="1" applyProtection="1">
      <protection hidden="1"/>
    </xf>
    <xf numFmtId="0" fontId="24" fillId="3" borderId="0" xfId="0" applyFont="1" applyFill="1" applyAlignment="1" applyProtection="1">
      <alignment vertical="center"/>
      <protection hidden="1"/>
    </xf>
    <xf numFmtId="0" fontId="24" fillId="3" borderId="0" xfId="0" applyFont="1" applyFill="1" applyAlignment="1" applyProtection="1">
      <alignment vertical="center"/>
      <protection locked="0"/>
    </xf>
    <xf numFmtId="0" fontId="13" fillId="3" borderId="0" xfId="0" applyFont="1" applyFill="1" applyAlignment="1" applyProtection="1">
      <alignment vertical="center"/>
      <protection locked="0"/>
    </xf>
    <xf numFmtId="0" fontId="13" fillId="3" borderId="0" xfId="0" applyFont="1" applyFill="1" applyAlignment="1" applyProtection="1">
      <alignment vertical="center"/>
      <protection hidden="1"/>
    </xf>
    <xf numFmtId="0" fontId="13" fillId="3" borderId="0" xfId="0" quotePrefix="1" applyFont="1" applyFill="1" applyAlignment="1" applyProtection="1">
      <alignment vertical="center"/>
      <protection locked="0"/>
    </xf>
    <xf numFmtId="0" fontId="26" fillId="3" borderId="0" xfId="0" applyFont="1" applyFill="1" applyAlignment="1" applyProtection="1">
      <alignment vertical="center"/>
      <protection locked="0"/>
    </xf>
    <xf numFmtId="0" fontId="27" fillId="3" borderId="0" xfId="0" applyFont="1" applyFill="1" applyAlignment="1" applyProtection="1">
      <alignment vertical="center"/>
      <protection locked="0"/>
    </xf>
    <xf numFmtId="0" fontId="26" fillId="3" borderId="0" xfId="0" applyFont="1" applyFill="1" applyAlignment="1" applyProtection="1">
      <alignment horizontal="center" vertical="center"/>
      <protection locked="0"/>
    </xf>
    <xf numFmtId="0" fontId="13" fillId="3" borderId="0" xfId="0" applyFont="1" applyFill="1" applyAlignment="1" applyProtection="1">
      <alignment horizontal="left" vertical="center"/>
      <protection hidden="1"/>
    </xf>
    <xf numFmtId="0" fontId="28" fillId="3" borderId="0" xfId="0" applyFont="1" applyFill="1" applyAlignment="1" applyProtection="1">
      <alignment horizontal="right" vertical="center"/>
      <protection hidden="1"/>
    </xf>
    <xf numFmtId="0" fontId="28" fillId="3" borderId="0" xfId="0" applyFont="1" applyFill="1" applyAlignment="1" applyProtection="1">
      <alignment horizontal="left" vertical="center"/>
      <protection locked="0"/>
    </xf>
    <xf numFmtId="170" fontId="13" fillId="3" borderId="0" xfId="0" applyNumberFormat="1" applyFont="1" applyFill="1" applyAlignment="1" applyProtection="1">
      <alignment horizontal="left" vertical="center"/>
      <protection locked="0"/>
    </xf>
    <xf numFmtId="164" fontId="13" fillId="3" borderId="0" xfId="0" applyNumberFormat="1" applyFont="1" applyFill="1" applyAlignment="1" applyProtection="1">
      <alignment horizontal="left" vertical="center"/>
      <protection hidden="1"/>
    </xf>
    <xf numFmtId="170" fontId="13" fillId="3" borderId="0" xfId="0" applyNumberFormat="1" applyFont="1" applyFill="1" applyAlignment="1" applyProtection="1">
      <alignment horizontal="left" vertical="center"/>
      <protection hidden="1"/>
    </xf>
    <xf numFmtId="171" fontId="13" fillId="3" borderId="0" xfId="0" applyNumberFormat="1" applyFont="1" applyFill="1" applyAlignment="1" applyProtection="1">
      <alignment vertical="center"/>
      <protection hidden="1"/>
    </xf>
    <xf numFmtId="2" fontId="13" fillId="3" borderId="0" xfId="0" applyNumberFormat="1" applyFont="1" applyFill="1" applyAlignment="1" applyProtection="1">
      <alignment vertical="center"/>
      <protection hidden="1"/>
    </xf>
    <xf numFmtId="0" fontId="13" fillId="3" borderId="0" xfId="0" applyFont="1" applyFill="1" applyAlignment="1" applyProtection="1">
      <alignment horizontal="right" vertical="center"/>
      <protection locked="0"/>
    </xf>
    <xf numFmtId="0" fontId="19" fillId="3" borderId="7" xfId="0" applyFont="1" applyFill="1" applyBorder="1" applyAlignment="1" applyProtection="1">
      <alignment vertical="center"/>
      <protection hidden="1"/>
    </xf>
    <xf numFmtId="0" fontId="19" fillId="3" borderId="1" xfId="0" applyFont="1" applyFill="1" applyBorder="1" applyAlignment="1" applyProtection="1">
      <alignment vertical="center"/>
      <protection hidden="1"/>
    </xf>
    <xf numFmtId="164" fontId="13" fillId="3" borderId="0" xfId="0" applyNumberFormat="1" applyFont="1" applyFill="1" applyAlignment="1" applyProtection="1">
      <alignment horizontal="center" vertical="center"/>
      <protection locked="0"/>
    </xf>
    <xf numFmtId="0" fontId="13" fillId="3" borderId="0" xfId="0" applyFont="1" applyFill="1" applyAlignment="1" applyProtection="1">
      <alignment horizontal="center" vertical="center" wrapText="1"/>
      <protection hidden="1"/>
    </xf>
    <xf numFmtId="164" fontId="13" fillId="3" borderId="0" xfId="0" applyNumberFormat="1" applyFont="1" applyFill="1" applyAlignment="1" applyProtection="1">
      <alignment horizontal="center" vertical="center"/>
      <protection hidden="1"/>
    </xf>
    <xf numFmtId="0" fontId="29" fillId="3" borderId="0" xfId="0" quotePrefix="1" applyFont="1" applyFill="1" applyAlignment="1" applyProtection="1">
      <alignment horizontal="center" vertical="center"/>
      <protection hidden="1"/>
    </xf>
    <xf numFmtId="0" fontId="13" fillId="3" borderId="0" xfId="0" applyFont="1" applyFill="1" applyAlignment="1" applyProtection="1">
      <alignment horizontal="center" vertical="center"/>
      <protection hidden="1"/>
    </xf>
    <xf numFmtId="0" fontId="19" fillId="3" borderId="6" xfId="0" applyFont="1" applyFill="1" applyBorder="1" applyAlignment="1" applyProtection="1">
      <alignment horizontal="center" vertical="center"/>
      <protection hidden="1"/>
    </xf>
    <xf numFmtId="0" fontId="19" fillId="3" borderId="8" xfId="0" applyFont="1" applyFill="1" applyBorder="1" applyAlignment="1" applyProtection="1">
      <alignment horizontal="center" vertical="center"/>
      <protection hidden="1"/>
    </xf>
    <xf numFmtId="1" fontId="17" fillId="3" borderId="4" xfId="0" applyNumberFormat="1" applyFont="1" applyFill="1" applyBorder="1" applyAlignment="1" applyProtection="1">
      <alignment horizontal="center" vertical="center" wrapText="1"/>
      <protection locked="0"/>
    </xf>
    <xf numFmtId="0" fontId="13" fillId="3" borderId="0" xfId="0" applyFont="1" applyFill="1" applyAlignment="1" applyProtection="1">
      <alignment horizontal="center" vertical="center" wrapText="1"/>
      <protection locked="0"/>
    </xf>
    <xf numFmtId="164" fontId="13" fillId="3" borderId="0" xfId="0" applyNumberFormat="1" applyFont="1" applyFill="1" applyAlignment="1" applyProtection="1">
      <alignment horizontal="right" vertical="center" wrapText="1"/>
      <protection locked="0"/>
    </xf>
    <xf numFmtId="2" fontId="13" fillId="3" borderId="0" xfId="0" applyNumberFormat="1" applyFont="1" applyFill="1" applyAlignment="1" applyProtection="1">
      <alignment horizontal="right" vertical="center" wrapText="1"/>
      <protection locked="0"/>
    </xf>
    <xf numFmtId="2" fontId="13" fillId="3" borderId="0" xfId="0" applyNumberFormat="1" applyFont="1" applyFill="1" applyAlignment="1" applyProtection="1">
      <alignment horizontal="right" vertical="center"/>
      <protection locked="0"/>
    </xf>
    <xf numFmtId="171" fontId="13" fillId="3" borderId="0" xfId="0" applyNumberFormat="1" applyFont="1" applyFill="1" applyAlignment="1" applyProtection="1">
      <alignment horizontal="right" vertical="center"/>
      <protection locked="0"/>
    </xf>
    <xf numFmtId="0" fontId="13" fillId="3" borderId="0" xfId="0" applyFont="1" applyFill="1" applyAlignment="1" applyProtection="1">
      <alignment horizontal="left" vertical="center"/>
      <protection locked="0"/>
    </xf>
    <xf numFmtId="164" fontId="13" fillId="3" borderId="0" xfId="0" applyNumberFormat="1" applyFont="1" applyFill="1" applyAlignment="1" applyProtection="1">
      <alignment horizontal="center" vertical="center" wrapText="1"/>
      <protection locked="0"/>
    </xf>
    <xf numFmtId="164" fontId="13" fillId="3" borderId="0" xfId="0" applyNumberFormat="1" applyFont="1" applyFill="1" applyAlignment="1" applyProtection="1">
      <alignment horizontal="right" vertical="center"/>
      <protection locked="0"/>
    </xf>
    <xf numFmtId="0" fontId="27" fillId="3" borderId="0" xfId="0" applyFont="1" applyFill="1" applyProtection="1">
      <protection locked="0"/>
    </xf>
    <xf numFmtId="0" fontId="13" fillId="0" borderId="0" xfId="0" applyFont="1" applyProtection="1">
      <protection locked="0"/>
    </xf>
    <xf numFmtId="0" fontId="13" fillId="3" borderId="0" xfId="0" applyFont="1" applyFill="1" applyProtection="1">
      <protection hidden="1"/>
    </xf>
    <xf numFmtId="0" fontId="13" fillId="3" borderId="0" xfId="0" applyFont="1" applyFill="1" applyAlignment="1" applyProtection="1">
      <alignment horizontal="left"/>
      <protection hidden="1"/>
    </xf>
    <xf numFmtId="0" fontId="13" fillId="3" borderId="0" xfId="0" applyFont="1" applyFill="1" applyAlignment="1" applyProtection="1">
      <alignment horizontal="center"/>
      <protection hidden="1"/>
    </xf>
    <xf numFmtId="2" fontId="13" fillId="3" borderId="0" xfId="0" applyNumberFormat="1" applyFont="1" applyFill="1" applyAlignment="1" applyProtection="1">
      <alignment horizontal="center"/>
      <protection hidden="1"/>
    </xf>
    <xf numFmtId="0" fontId="13" fillId="3" borderId="0" xfId="0" applyFont="1" applyFill="1" applyProtection="1">
      <protection locked="0"/>
    </xf>
    <xf numFmtId="0" fontId="13" fillId="3" borderId="0" xfId="0" applyFont="1" applyFill="1" applyAlignment="1" applyProtection="1">
      <alignment horizontal="left"/>
      <protection locked="0"/>
    </xf>
    <xf numFmtId="1" fontId="13" fillId="3" borderId="0" xfId="0" applyNumberFormat="1" applyFont="1" applyFill="1" applyProtection="1">
      <protection locked="0"/>
    </xf>
    <xf numFmtId="0" fontId="13" fillId="3" borderId="0" xfId="0" applyFont="1" applyFill="1" applyAlignment="1" applyProtection="1">
      <alignment horizontal="center"/>
      <protection locked="0"/>
    </xf>
    <xf numFmtId="2" fontId="13" fillId="3" borderId="0" xfId="0" applyNumberFormat="1" applyFont="1" applyFill="1" applyAlignment="1" applyProtection="1">
      <alignment horizontal="center"/>
      <protection locked="0"/>
    </xf>
    <xf numFmtId="0" fontId="13" fillId="2" borderId="0" xfId="0" applyFont="1" applyFill="1" applyAlignment="1" applyProtection="1">
      <alignment vertical="top" wrapText="1"/>
      <protection locked="0"/>
    </xf>
    <xf numFmtId="0" fontId="32" fillId="0" borderId="0" xfId="0" applyFont="1" applyProtection="1">
      <protection hidden="1"/>
    </xf>
    <xf numFmtId="0" fontId="32" fillId="3" borderId="0" xfId="0" applyFont="1" applyFill="1" applyProtection="1">
      <protection hidden="1"/>
    </xf>
    <xf numFmtId="1" fontId="32" fillId="3" borderId="0" xfId="0" applyNumberFormat="1" applyFont="1" applyFill="1" applyProtection="1">
      <protection hidden="1"/>
    </xf>
    <xf numFmtId="0" fontId="41" fillId="0" borderId="0" xfId="0" applyFont="1" applyAlignment="1">
      <alignment vertical="center"/>
    </xf>
    <xf numFmtId="0" fontId="32" fillId="0" borderId="0" xfId="0" applyFont="1"/>
    <xf numFmtId="0" fontId="42" fillId="0" borderId="0" xfId="0" applyFont="1" applyProtection="1">
      <protection hidden="1"/>
    </xf>
    <xf numFmtId="0" fontId="17" fillId="3" borderId="3" xfId="0" applyFont="1" applyFill="1" applyBorder="1" applyAlignment="1" applyProtection="1">
      <alignment horizontal="center" vertical="center"/>
      <protection hidden="1"/>
    </xf>
    <xf numFmtId="0" fontId="28" fillId="3" borderId="2" xfId="0" applyFont="1" applyFill="1" applyBorder="1" applyAlignment="1" applyProtection="1">
      <alignment vertical="center"/>
      <protection hidden="1"/>
    </xf>
    <xf numFmtId="0" fontId="40" fillId="4" borderId="1" xfId="0" applyFont="1" applyFill="1" applyBorder="1" applyAlignment="1" applyProtection="1">
      <alignment horizontal="center"/>
      <protection hidden="1"/>
    </xf>
    <xf numFmtId="0" fontId="32" fillId="4" borderId="0" xfId="0" applyFont="1" applyFill="1" applyProtection="1">
      <protection hidden="1"/>
    </xf>
    <xf numFmtId="0" fontId="42" fillId="4" borderId="1" xfId="0" applyFont="1" applyFill="1" applyBorder="1" applyProtection="1">
      <protection hidden="1"/>
    </xf>
    <xf numFmtId="0" fontId="32" fillId="4" borderId="1" xfId="0" applyFont="1" applyFill="1" applyBorder="1" applyProtection="1">
      <protection hidden="1"/>
    </xf>
    <xf numFmtId="0" fontId="41" fillId="4" borderId="1" xfId="0" applyFont="1" applyFill="1" applyBorder="1" applyAlignment="1">
      <alignment vertical="center"/>
    </xf>
    <xf numFmtId="0" fontId="32" fillId="6" borderId="0" xfId="0" applyFont="1" applyFill="1" applyProtection="1">
      <protection hidden="1"/>
    </xf>
    <xf numFmtId="1" fontId="32" fillId="4" borderId="0" xfId="0" applyNumberFormat="1" applyFont="1" applyFill="1" applyProtection="1">
      <protection hidden="1"/>
    </xf>
    <xf numFmtId="2" fontId="19" fillId="3" borderId="1" xfId="0" applyNumberFormat="1" applyFont="1" applyFill="1" applyBorder="1" applyAlignment="1" applyProtection="1">
      <alignment horizontal="center" vertical="center"/>
      <protection hidden="1"/>
    </xf>
    <xf numFmtId="0" fontId="32" fillId="0" borderId="0" xfId="0" quotePrefix="1" applyFont="1" applyProtection="1">
      <protection hidden="1"/>
    </xf>
    <xf numFmtId="1" fontId="5" fillId="0" borderId="1" xfId="0" applyNumberFormat="1" applyFont="1" applyBorder="1" applyProtection="1">
      <protection hidden="1"/>
    </xf>
    <xf numFmtId="164" fontId="7" fillId="4" borderId="1" xfId="0" applyNumberFormat="1" applyFont="1" applyFill="1" applyBorder="1" applyAlignment="1" applyProtection="1">
      <alignment horizontal="right"/>
      <protection hidden="1"/>
    </xf>
    <xf numFmtId="164" fontId="5" fillId="4" borderId="1" xfId="0" applyNumberFormat="1" applyFont="1" applyFill="1" applyBorder="1" applyAlignment="1" applyProtection="1">
      <alignment horizontal="right"/>
      <protection hidden="1"/>
    </xf>
    <xf numFmtId="0" fontId="4" fillId="3" borderId="0" xfId="0" applyFont="1" applyFill="1" applyAlignment="1" applyProtection="1">
      <alignment vertical="center"/>
      <protection locked="0"/>
    </xf>
    <xf numFmtId="0" fontId="4" fillId="3" borderId="0" xfId="0" applyFont="1" applyFill="1" applyAlignment="1" applyProtection="1">
      <alignment horizontal="right" vertical="center"/>
      <protection locked="0"/>
    </xf>
    <xf numFmtId="0" fontId="28" fillId="3" borderId="0" xfId="0" applyFont="1" applyFill="1" applyAlignment="1" applyProtection="1">
      <alignment horizontal="left" vertical="center"/>
      <protection hidden="1"/>
    </xf>
    <xf numFmtId="164" fontId="13" fillId="3" borderId="0" xfId="0" applyNumberFormat="1" applyFont="1" applyFill="1" applyAlignment="1" applyProtection="1">
      <alignment horizontal="left" vertical="center" wrapText="1"/>
      <protection locked="0"/>
    </xf>
    <xf numFmtId="0" fontId="44" fillId="3" borderId="0" xfId="0" applyFont="1" applyFill="1" applyAlignment="1" applyProtection="1">
      <alignment horizontal="left" vertical="top"/>
      <protection locked="0"/>
    </xf>
    <xf numFmtId="0" fontId="4" fillId="3" borderId="0" xfId="0" applyFont="1" applyFill="1" applyAlignment="1" applyProtection="1">
      <alignment horizontal="left" vertical="center"/>
      <protection hidden="1"/>
    </xf>
    <xf numFmtId="165" fontId="19" fillId="3" borderId="0" xfId="0" applyNumberFormat="1" applyFont="1" applyFill="1" applyAlignment="1" applyProtection="1">
      <alignment horizontal="center" vertical="center"/>
      <protection hidden="1"/>
    </xf>
    <xf numFmtId="0" fontId="19" fillId="3" borderId="5" xfId="0" applyFont="1" applyFill="1" applyBorder="1" applyAlignment="1" applyProtection="1">
      <alignment vertical="center" wrapText="1"/>
      <protection hidden="1"/>
    </xf>
    <xf numFmtId="2" fontId="19" fillId="3" borderId="8" xfId="0" applyNumberFormat="1" applyFont="1" applyFill="1" applyBorder="1" applyAlignment="1" applyProtection="1">
      <alignment vertical="center"/>
      <protection hidden="1"/>
    </xf>
    <xf numFmtId="2" fontId="19" fillId="3" borderId="6" xfId="0" applyNumberFormat="1" applyFont="1" applyFill="1" applyBorder="1" applyAlignment="1" applyProtection="1">
      <alignment vertical="center"/>
      <protection hidden="1"/>
    </xf>
    <xf numFmtId="0" fontId="30" fillId="3" borderId="5" xfId="0" quotePrefix="1" applyFont="1" applyFill="1" applyBorder="1" applyAlignment="1" applyProtection="1">
      <alignment vertical="center"/>
      <protection hidden="1"/>
    </xf>
    <xf numFmtId="0" fontId="19" fillId="3" borderId="7" xfId="0" applyFont="1" applyFill="1" applyBorder="1" applyAlignment="1" applyProtection="1">
      <alignment vertical="center" wrapText="1"/>
      <protection hidden="1"/>
    </xf>
    <xf numFmtId="2" fontId="19" fillId="3" borderId="4" xfId="0" applyNumberFormat="1" applyFont="1" applyFill="1" applyBorder="1" applyAlignment="1" applyProtection="1">
      <alignment vertical="center"/>
      <protection hidden="1"/>
    </xf>
    <xf numFmtId="2" fontId="19" fillId="3" borderId="9" xfId="0" applyNumberFormat="1" applyFont="1" applyFill="1" applyBorder="1" applyAlignment="1" applyProtection="1">
      <alignment vertical="center"/>
      <protection hidden="1"/>
    </xf>
    <xf numFmtId="0" fontId="30" fillId="3" borderId="7" xfId="0" quotePrefix="1" applyFont="1" applyFill="1" applyBorder="1" applyAlignment="1" applyProtection="1">
      <alignment vertical="center"/>
      <protection hidden="1"/>
    </xf>
    <xf numFmtId="0" fontId="19" fillId="3" borderId="11" xfId="0" applyFont="1" applyFill="1" applyBorder="1" applyAlignment="1" applyProtection="1">
      <alignment vertical="center" wrapText="1"/>
      <protection hidden="1"/>
    </xf>
    <xf numFmtId="2" fontId="19" fillId="3" borderId="11" xfId="0" applyNumberFormat="1" applyFont="1" applyFill="1" applyBorder="1" applyAlignment="1" applyProtection="1">
      <alignment vertical="center"/>
      <protection hidden="1"/>
    </xf>
    <xf numFmtId="0" fontId="30" fillId="3" borderId="11" xfId="0" quotePrefix="1" applyFont="1" applyFill="1" applyBorder="1" applyAlignment="1" applyProtection="1">
      <alignment vertical="center"/>
      <protection hidden="1"/>
    </xf>
    <xf numFmtId="0" fontId="45" fillId="3" borderId="0" xfId="0" applyFont="1" applyFill="1" applyAlignment="1" applyProtection="1">
      <alignment vertical="center"/>
      <protection hidden="1"/>
    </xf>
    <xf numFmtId="0" fontId="45" fillId="3" borderId="0" xfId="0" applyFont="1" applyFill="1" applyAlignment="1" applyProtection="1">
      <alignment horizontal="left" vertical="center"/>
      <protection hidden="1"/>
    </xf>
    <xf numFmtId="0" fontId="45" fillId="3" borderId="0" xfId="0" applyFont="1" applyFill="1" applyAlignment="1" applyProtection="1">
      <alignment vertical="center"/>
      <protection locked="0"/>
    </xf>
    <xf numFmtId="0" fontId="47" fillId="3" borderId="1" xfId="0" applyFont="1" applyFill="1" applyBorder="1" applyAlignment="1" applyProtection="1">
      <alignment horizontal="center" vertical="center"/>
      <protection hidden="1"/>
    </xf>
    <xf numFmtId="0" fontId="47" fillId="3" borderId="1" xfId="0" applyFont="1" applyFill="1" applyBorder="1" applyAlignment="1" applyProtection="1">
      <alignment horizontal="center" vertical="center" wrapText="1"/>
      <protection hidden="1"/>
    </xf>
    <xf numFmtId="164" fontId="47" fillId="3" borderId="1" xfId="0" applyNumberFormat="1" applyFont="1" applyFill="1" applyBorder="1" applyAlignment="1" applyProtection="1">
      <alignment horizontal="center" vertical="center"/>
      <protection hidden="1"/>
    </xf>
    <xf numFmtId="0" fontId="45" fillId="3" borderId="0" xfId="0" applyFont="1" applyFill="1" applyAlignment="1" applyProtection="1">
      <alignment horizontal="center" vertical="center"/>
      <protection locked="0"/>
    </xf>
    <xf numFmtId="164" fontId="45" fillId="3" borderId="0" xfId="0" applyNumberFormat="1" applyFont="1" applyFill="1" applyAlignment="1" applyProtection="1">
      <alignment vertical="center"/>
      <protection hidden="1"/>
    </xf>
    <xf numFmtId="2" fontId="49" fillId="3" borderId="11" xfId="3" applyNumberFormat="1" applyFont="1" applyFill="1" applyBorder="1" applyAlignment="1" applyProtection="1">
      <alignment horizontal="right" vertical="center" wrapText="1"/>
      <protection hidden="1"/>
    </xf>
    <xf numFmtId="171" fontId="45" fillId="3" borderId="0" xfId="0" applyNumberFormat="1" applyFont="1" applyFill="1" applyAlignment="1" applyProtection="1">
      <alignment vertical="center"/>
      <protection hidden="1"/>
    </xf>
    <xf numFmtId="2" fontId="45" fillId="3" borderId="0" xfId="0" applyNumberFormat="1" applyFont="1" applyFill="1" applyAlignment="1" applyProtection="1">
      <alignment vertical="center"/>
      <protection hidden="1"/>
    </xf>
    <xf numFmtId="2" fontId="49" fillId="3" borderId="0" xfId="3" applyNumberFormat="1" applyFont="1" applyFill="1" applyAlignment="1" applyProtection="1">
      <alignment horizontal="right" vertical="center" wrapText="1"/>
      <protection hidden="1"/>
    </xf>
    <xf numFmtId="0" fontId="50" fillId="0" borderId="0" xfId="0" applyFont="1"/>
    <xf numFmtId="0" fontId="19" fillId="3" borderId="0" xfId="0" applyFont="1" applyFill="1" applyAlignment="1" applyProtection="1">
      <alignment vertical="center" wrapText="1"/>
      <protection hidden="1"/>
    </xf>
    <xf numFmtId="2" fontId="19" fillId="3" borderId="0" xfId="0" applyNumberFormat="1" applyFont="1" applyFill="1" applyAlignment="1" applyProtection="1">
      <alignment vertical="center"/>
      <protection hidden="1"/>
    </xf>
    <xf numFmtId="0" fontId="30" fillId="3" borderId="0" xfId="0" quotePrefix="1" applyFont="1" applyFill="1" applyAlignment="1" applyProtection="1">
      <alignment vertical="center"/>
      <protection hidden="1"/>
    </xf>
    <xf numFmtId="0" fontId="28" fillId="3" borderId="0" xfId="0" applyFont="1" applyFill="1" applyAlignment="1" applyProtection="1">
      <alignment vertical="center" wrapText="1"/>
      <protection hidden="1"/>
    </xf>
    <xf numFmtId="0" fontId="18" fillId="0" borderId="0" xfId="0" applyFont="1"/>
    <xf numFmtId="171" fontId="18" fillId="0" borderId="1" xfId="0" applyNumberFormat="1" applyFont="1" applyBorder="1" applyAlignment="1">
      <alignment horizontal="center"/>
    </xf>
    <xf numFmtId="171" fontId="18" fillId="0" borderId="1" xfId="0" applyNumberFormat="1" applyFont="1" applyBorder="1" applyAlignment="1">
      <alignment horizontal="center" vertical="center"/>
    </xf>
    <xf numFmtId="0" fontId="53" fillId="0" borderId="5" xfId="0" applyFont="1" applyBorder="1" applyAlignment="1">
      <alignment horizontal="center" vertical="center"/>
    </xf>
    <xf numFmtId="0" fontId="53" fillId="0" borderId="2" xfId="0" applyFont="1" applyBorder="1" applyAlignment="1">
      <alignment horizontal="center" vertical="center"/>
    </xf>
    <xf numFmtId="0" fontId="52" fillId="0" borderId="0" xfId="0" applyFont="1"/>
    <xf numFmtId="0" fontId="53" fillId="0" borderId="0" xfId="0" applyFont="1" applyAlignment="1">
      <alignment horizontal="center" vertical="center"/>
    </xf>
    <xf numFmtId="2" fontId="18" fillId="0" borderId="0" xfId="0" applyNumberFormat="1" applyFont="1" applyAlignment="1">
      <alignment horizontal="center"/>
    </xf>
    <xf numFmtId="2" fontId="18" fillId="0" borderId="0" xfId="0" applyNumberFormat="1" applyFont="1" applyAlignment="1">
      <alignment horizontal="center" vertical="center"/>
    </xf>
    <xf numFmtId="2" fontId="18" fillId="0" borderId="0" xfId="4" applyNumberFormat="1" applyFont="1" applyAlignment="1">
      <alignment horizontal="center" vertical="center"/>
    </xf>
    <xf numFmtId="0" fontId="54" fillId="0" borderId="0" xfId="0" applyFont="1"/>
    <xf numFmtId="171" fontId="18" fillId="0" borderId="0" xfId="0" applyNumberFormat="1" applyFont="1" applyAlignment="1">
      <alignment horizontal="center"/>
    </xf>
    <xf numFmtId="171" fontId="18" fillId="0" borderId="0" xfId="0" applyNumberFormat="1" applyFont="1" applyAlignment="1">
      <alignment horizontal="center" vertical="center"/>
    </xf>
    <xf numFmtId="171" fontId="18" fillId="0" borderId="0" xfId="4" applyNumberFormat="1" applyFont="1" applyAlignment="1">
      <alignment horizontal="center" vertical="center"/>
    </xf>
    <xf numFmtId="0" fontId="53" fillId="0" borderId="0" xfId="4" applyFont="1" applyAlignment="1">
      <alignment horizontal="center" vertical="center"/>
    </xf>
    <xf numFmtId="0" fontId="18" fillId="0" borderId="0" xfId="0" applyFont="1" applyAlignment="1">
      <alignment horizontal="center"/>
    </xf>
    <xf numFmtId="0" fontId="18" fillId="0" borderId="0" xfId="4" applyFont="1" applyAlignment="1">
      <alignment horizontal="center" vertical="center"/>
    </xf>
    <xf numFmtId="0" fontId="7" fillId="0" borderId="0" xfId="0" applyFont="1"/>
    <xf numFmtId="1" fontId="7" fillId="0" borderId="13" xfId="0" applyNumberFormat="1" applyFont="1" applyBorder="1" applyAlignment="1" applyProtection="1">
      <alignment horizontal="center"/>
      <protection hidden="1"/>
    </xf>
    <xf numFmtId="0" fontId="18" fillId="0" borderId="1" xfId="0" applyFont="1" applyBorder="1" applyAlignment="1">
      <alignment horizontal="left" vertical="center"/>
    </xf>
    <xf numFmtId="171" fontId="18" fillId="4" borderId="1" xfId="0" applyNumberFormat="1" applyFont="1" applyFill="1" applyBorder="1" applyAlignment="1">
      <alignment horizontal="center" vertical="center"/>
    </xf>
    <xf numFmtId="171" fontId="18" fillId="4" borderId="1" xfId="0" applyNumberFormat="1" applyFont="1" applyFill="1" applyBorder="1" applyAlignment="1">
      <alignment horizontal="center"/>
    </xf>
    <xf numFmtId="0" fontId="18" fillId="4" borderId="1" xfId="0" applyFont="1" applyFill="1" applyBorder="1" applyAlignment="1">
      <alignment horizontal="left" vertical="center"/>
    </xf>
    <xf numFmtId="0" fontId="0" fillId="4" borderId="0" xfId="0" applyFill="1"/>
    <xf numFmtId="1" fontId="7" fillId="0" borderId="1" xfId="0" applyNumberFormat="1" applyFont="1" applyBorder="1" applyProtection="1">
      <protection hidden="1"/>
    </xf>
    <xf numFmtId="0" fontId="53" fillId="0" borderId="1" xfId="4" applyFont="1" applyBorder="1" applyAlignment="1">
      <alignment horizontal="center" vertical="center" wrapText="1"/>
    </xf>
    <xf numFmtId="164" fontId="57" fillId="0" borderId="1" xfId="0" applyNumberFormat="1" applyFont="1" applyBorder="1" applyAlignment="1" applyProtection="1">
      <alignment horizontal="right"/>
      <protection hidden="1"/>
    </xf>
    <xf numFmtId="164" fontId="7" fillId="4" borderId="15" xfId="0" applyNumberFormat="1" applyFont="1" applyFill="1" applyBorder="1" applyAlignment="1" applyProtection="1">
      <alignment horizontal="right"/>
      <protection hidden="1"/>
    </xf>
    <xf numFmtId="164" fontId="5" fillId="4" borderId="15" xfId="0" applyNumberFormat="1" applyFont="1" applyFill="1" applyBorder="1" applyAlignment="1" applyProtection="1">
      <alignment horizontal="right"/>
      <protection hidden="1"/>
    </xf>
    <xf numFmtId="1" fontId="15" fillId="7" borderId="1" xfId="0" applyNumberFormat="1" applyFont="1" applyFill="1" applyBorder="1" applyAlignment="1" applyProtection="1">
      <alignment horizontal="center"/>
      <protection hidden="1"/>
    </xf>
    <xf numFmtId="1" fontId="15" fillId="8" borderId="1" xfId="0" applyNumberFormat="1" applyFont="1" applyFill="1" applyBorder="1" applyAlignment="1" applyProtection="1">
      <alignment horizontal="center"/>
      <protection hidden="1"/>
    </xf>
    <xf numFmtId="0" fontId="48" fillId="3" borderId="0" xfId="0" applyFont="1" applyFill="1" applyAlignment="1" applyProtection="1">
      <alignment vertical="center"/>
      <protection hidden="1"/>
    </xf>
    <xf numFmtId="0" fontId="4" fillId="3" borderId="0" xfId="0" applyFont="1" applyFill="1" applyAlignment="1" applyProtection="1">
      <alignment horizontal="center" vertical="center" wrapText="1"/>
      <protection locked="0"/>
    </xf>
    <xf numFmtId="0" fontId="19" fillId="3" borderId="1" xfId="0" applyFont="1" applyFill="1" applyBorder="1" applyAlignment="1" applyProtection="1">
      <alignment horizontal="center" wrapText="1"/>
      <protection locked="0"/>
    </xf>
    <xf numFmtId="0" fontId="19" fillId="3" borderId="1" xfId="0" applyFont="1" applyFill="1" applyBorder="1" applyAlignment="1" applyProtection="1">
      <alignment horizontal="center" vertical="center" wrapText="1"/>
      <protection locked="0"/>
    </xf>
    <xf numFmtId="164" fontId="4" fillId="3" borderId="0" xfId="0" applyNumberFormat="1" applyFont="1" applyFill="1" applyAlignment="1" applyProtection="1">
      <alignment horizontal="right" vertical="center" wrapText="1"/>
      <protection locked="0"/>
    </xf>
    <xf numFmtId="0" fontId="60" fillId="3" borderId="0" xfId="0" applyFont="1" applyFill="1" applyAlignment="1" applyProtection="1">
      <alignment vertical="center"/>
      <protection locked="0"/>
    </xf>
    <xf numFmtId="0" fontId="61" fillId="3" borderId="0" xfId="0" applyFont="1" applyFill="1" applyAlignment="1" applyProtection="1">
      <alignment vertical="center"/>
      <protection locked="0"/>
    </xf>
    <xf numFmtId="164" fontId="62" fillId="3" borderId="0" xfId="0" applyNumberFormat="1" applyFont="1" applyFill="1" applyAlignment="1" applyProtection="1">
      <alignment horizontal="left" vertical="center"/>
      <protection hidden="1"/>
    </xf>
    <xf numFmtId="0" fontId="61" fillId="3" borderId="0" xfId="0" applyFont="1" applyFill="1" applyAlignment="1" applyProtection="1">
      <alignment vertical="center"/>
      <protection hidden="1"/>
    </xf>
    <xf numFmtId="164" fontId="61" fillId="3" borderId="0" xfId="0" applyNumberFormat="1" applyFont="1" applyFill="1" applyAlignment="1" applyProtection="1">
      <alignment horizontal="right" vertical="center"/>
      <protection hidden="1"/>
    </xf>
    <xf numFmtId="164" fontId="63" fillId="3" borderId="1" xfId="0" applyNumberFormat="1" applyFont="1" applyFill="1" applyBorder="1" applyAlignment="1" applyProtection="1">
      <alignment horizontal="center" vertical="center" wrapText="1"/>
      <protection hidden="1"/>
    </xf>
    <xf numFmtId="0" fontId="63" fillId="3" borderId="1" xfId="0" applyFont="1" applyFill="1" applyBorder="1" applyAlignment="1" applyProtection="1">
      <alignment horizontal="center" vertical="center"/>
      <protection hidden="1"/>
    </xf>
    <xf numFmtId="1" fontId="63" fillId="3" borderId="1" xfId="0" applyNumberFormat="1" applyFont="1" applyFill="1" applyBorder="1" applyAlignment="1" applyProtection="1">
      <alignment horizontal="center" vertical="center"/>
      <protection hidden="1"/>
    </xf>
    <xf numFmtId="164" fontId="63" fillId="3" borderId="1" xfId="0" applyNumberFormat="1" applyFont="1" applyFill="1" applyBorder="1" applyAlignment="1" applyProtection="1">
      <alignment horizontal="center" vertical="center"/>
      <protection hidden="1"/>
    </xf>
    <xf numFmtId="0" fontId="63" fillId="3" borderId="1" xfId="0" applyFont="1" applyFill="1" applyBorder="1" applyAlignment="1" applyProtection="1">
      <alignment horizontal="center" vertical="center" wrapText="1"/>
      <protection hidden="1"/>
    </xf>
    <xf numFmtId="0" fontId="61" fillId="3" borderId="11" xfId="0" applyFont="1" applyFill="1" applyBorder="1" applyAlignment="1" applyProtection="1">
      <alignment horizontal="left" vertical="center"/>
      <protection locked="0"/>
    </xf>
    <xf numFmtId="0" fontId="64" fillId="3" borderId="11" xfId="0" applyFont="1" applyFill="1" applyBorder="1" applyAlignment="1" applyProtection="1">
      <alignment horizontal="center" vertical="center"/>
      <protection locked="0"/>
    </xf>
    <xf numFmtId="0" fontId="61" fillId="3" borderId="0" xfId="0" applyFont="1" applyFill="1" applyAlignment="1" applyProtection="1">
      <alignment vertical="center" wrapText="1"/>
      <protection locked="0"/>
    </xf>
    <xf numFmtId="0" fontId="61" fillId="3" borderId="0" xfId="0" quotePrefix="1" applyFont="1" applyFill="1" applyAlignment="1" applyProtection="1">
      <alignment vertical="center"/>
      <protection locked="0"/>
    </xf>
    <xf numFmtId="174" fontId="19" fillId="3" borderId="1" xfId="0" applyNumberFormat="1" applyFont="1" applyFill="1" applyBorder="1" applyAlignment="1" applyProtection="1">
      <alignment horizontal="right" vertical="center" wrapText="1"/>
      <protection locked="0"/>
    </xf>
    <xf numFmtId="0" fontId="25" fillId="3" borderId="0" xfId="0" applyFont="1" applyFill="1" applyAlignment="1" applyProtection="1">
      <alignment vertical="center"/>
      <protection locked="0"/>
    </xf>
    <xf numFmtId="167" fontId="13" fillId="3" borderId="0" xfId="0" quotePrefix="1" applyNumberFormat="1" applyFont="1" applyFill="1" applyAlignment="1" applyProtection="1">
      <alignment horizontal="left" vertical="center"/>
      <protection locked="0"/>
    </xf>
    <xf numFmtId="164" fontId="19" fillId="3" borderId="8" xfId="0" applyNumberFormat="1" applyFont="1" applyFill="1" applyBorder="1" applyAlignment="1" applyProtection="1">
      <alignment vertical="center"/>
      <protection locked="0"/>
    </xf>
    <xf numFmtId="164" fontId="19" fillId="3" borderId="6" xfId="0" applyNumberFormat="1" applyFont="1" applyFill="1" applyBorder="1" applyAlignment="1" applyProtection="1">
      <alignment vertical="center"/>
      <protection locked="0"/>
    </xf>
    <xf numFmtId="164" fontId="19" fillId="3" borderId="4" xfId="0" applyNumberFormat="1" applyFont="1" applyFill="1" applyBorder="1" applyAlignment="1" applyProtection="1">
      <alignment vertical="center"/>
      <protection locked="0"/>
    </xf>
    <xf numFmtId="164" fontId="19" fillId="3" borderId="9" xfId="0" applyNumberFormat="1" applyFont="1" applyFill="1" applyBorder="1" applyAlignment="1" applyProtection="1">
      <alignment vertical="center"/>
      <protection locked="0"/>
    </xf>
    <xf numFmtId="164" fontId="19" fillId="3" borderId="11" xfId="0" applyNumberFormat="1" applyFont="1" applyFill="1" applyBorder="1" applyAlignment="1" applyProtection="1">
      <alignment vertical="center"/>
      <protection locked="0"/>
    </xf>
    <xf numFmtId="164" fontId="19" fillId="3" borderId="0" xfId="0" applyNumberFormat="1" applyFont="1" applyFill="1" applyAlignment="1" applyProtection="1">
      <alignment vertical="center"/>
      <protection locked="0"/>
    </xf>
    <xf numFmtId="174" fontId="19" fillId="3" borderId="1" xfId="0" applyNumberFormat="1" applyFont="1" applyFill="1" applyBorder="1" applyAlignment="1" applyProtection="1">
      <alignment horizontal="center" vertical="center" wrapText="1"/>
      <protection locked="0"/>
    </xf>
    <xf numFmtId="164" fontId="65" fillId="0" borderId="1" xfId="0" applyNumberFormat="1" applyFont="1" applyBorder="1" applyAlignment="1" applyProtection="1">
      <alignment horizontal="right"/>
      <protection hidden="1"/>
    </xf>
    <xf numFmtId="0" fontId="4" fillId="3" borderId="13" xfId="0" applyFont="1" applyFill="1" applyBorder="1" applyAlignment="1" applyProtection="1">
      <alignment horizontal="center"/>
      <protection hidden="1"/>
    </xf>
    <xf numFmtId="0" fontId="13" fillId="0" borderId="0" xfId="0" applyFont="1" applyAlignment="1" applyProtection="1">
      <alignment vertical="top"/>
      <protection locked="0"/>
    </xf>
    <xf numFmtId="164" fontId="65" fillId="3" borderId="1" xfId="0" applyNumberFormat="1" applyFont="1" applyFill="1" applyBorder="1" applyAlignment="1" applyProtection="1">
      <alignment horizontal="right"/>
      <protection hidden="1"/>
    </xf>
    <xf numFmtId="1" fontId="16" fillId="4" borderId="1" xfId="0" applyNumberFormat="1" applyFont="1" applyFill="1" applyBorder="1" applyAlignment="1" applyProtection="1">
      <alignment horizontal="center"/>
      <protection hidden="1"/>
    </xf>
    <xf numFmtId="164" fontId="65" fillId="4" borderId="1" xfId="0" applyNumberFormat="1" applyFont="1" applyFill="1" applyBorder="1" applyAlignment="1" applyProtection="1">
      <alignment horizontal="right"/>
      <protection hidden="1"/>
    </xf>
    <xf numFmtId="164" fontId="57" fillId="4" borderId="1" xfId="0" applyNumberFormat="1" applyFont="1" applyFill="1" applyBorder="1" applyAlignment="1" applyProtection="1">
      <alignment horizontal="right"/>
      <protection hidden="1"/>
    </xf>
    <xf numFmtId="164" fontId="5" fillId="4" borderId="13" xfId="0" applyNumberFormat="1" applyFont="1" applyFill="1" applyBorder="1" applyAlignment="1" applyProtection="1">
      <alignment horizontal="right"/>
      <protection hidden="1"/>
    </xf>
    <xf numFmtId="1" fontId="5" fillId="4" borderId="1" xfId="0" quotePrefix="1" applyNumberFormat="1" applyFont="1" applyFill="1" applyBorder="1" applyAlignment="1" applyProtection="1">
      <alignment horizontal="center"/>
      <protection hidden="1"/>
    </xf>
    <xf numFmtId="0" fontId="19" fillId="3" borderId="0" xfId="0" applyFont="1" applyFill="1" applyAlignment="1" applyProtection="1">
      <alignment wrapText="1"/>
      <protection locked="0"/>
    </xf>
    <xf numFmtId="0" fontId="17" fillId="3" borderId="0" xfId="0" applyFont="1" applyFill="1" applyAlignment="1" applyProtection="1">
      <alignment horizontal="center" vertical="center"/>
      <protection hidden="1"/>
    </xf>
    <xf numFmtId="0" fontId="19" fillId="3" borderId="0" xfId="0" applyFont="1" applyFill="1" applyAlignment="1" applyProtection="1">
      <alignment horizontal="center" wrapText="1"/>
      <protection locked="0"/>
    </xf>
    <xf numFmtId="1" fontId="17" fillId="3" borderId="0" xfId="0" applyNumberFormat="1" applyFont="1" applyFill="1" applyAlignment="1" applyProtection="1">
      <alignment horizontal="center" vertical="center" wrapText="1"/>
      <protection locked="0"/>
    </xf>
    <xf numFmtId="164" fontId="19" fillId="3" borderId="0" xfId="0" applyNumberFormat="1" applyFont="1" applyFill="1" applyAlignment="1" applyProtection="1">
      <alignment horizontal="right" vertical="center"/>
      <protection hidden="1"/>
    </xf>
    <xf numFmtId="1" fontId="67" fillId="0" borderId="1" xfId="0" applyNumberFormat="1" applyFont="1" applyBorder="1" applyAlignment="1" applyProtection="1">
      <alignment horizontal="center"/>
      <protection hidden="1"/>
    </xf>
    <xf numFmtId="1" fontId="43" fillId="8" borderId="1" xfId="0" quotePrefix="1" applyNumberFormat="1" applyFont="1" applyFill="1" applyBorder="1" applyAlignment="1" applyProtection="1">
      <alignment horizontal="left" vertical="center"/>
      <protection hidden="1"/>
    </xf>
    <xf numFmtId="1" fontId="43" fillId="7" borderId="1" xfId="0" quotePrefix="1" applyNumberFormat="1" applyFont="1" applyFill="1" applyBorder="1" applyAlignment="1" applyProtection="1">
      <alignment horizontal="left" vertical="center"/>
      <protection hidden="1"/>
    </xf>
    <xf numFmtId="164" fontId="56" fillId="4" borderId="1" xfId="0" applyNumberFormat="1" applyFont="1" applyFill="1" applyBorder="1" applyAlignment="1" applyProtection="1">
      <alignment horizontal="right"/>
      <protection hidden="1"/>
    </xf>
    <xf numFmtId="1" fontId="66" fillId="0" borderId="0" xfId="0" applyNumberFormat="1" applyFont="1" applyProtection="1">
      <protection hidden="1"/>
    </xf>
    <xf numFmtId="171" fontId="18" fillId="7" borderId="1" xfId="0" applyNumberFormat="1" applyFont="1" applyFill="1" applyBorder="1" applyAlignment="1">
      <alignment horizontal="center"/>
    </xf>
    <xf numFmtId="0" fontId="53" fillId="7" borderId="8" xfId="0" applyFont="1" applyFill="1" applyBorder="1" applyAlignment="1">
      <alignment horizontal="center" vertical="center"/>
    </xf>
    <xf numFmtId="0" fontId="53" fillId="7" borderId="1" xfId="0" applyFont="1" applyFill="1" applyBorder="1" applyAlignment="1">
      <alignment horizontal="center" vertical="center" wrapText="1"/>
    </xf>
    <xf numFmtId="0" fontId="59" fillId="0" borderId="0" xfId="0" applyFont="1" applyAlignment="1">
      <alignment horizontal="center" vertical="center" wrapText="1"/>
    </xf>
    <xf numFmtId="0" fontId="11" fillId="0" borderId="0" xfId="0" applyFont="1" applyAlignment="1">
      <alignment horizontal="center" vertical="center"/>
    </xf>
    <xf numFmtId="0" fontId="53" fillId="4" borderId="0" xfId="0" applyFont="1" applyFill="1" applyAlignment="1">
      <alignment horizontal="center" vertical="center"/>
    </xf>
    <xf numFmtId="171" fontId="18" fillId="4" borderId="0" xfId="0" applyNumberFormat="1" applyFont="1" applyFill="1" applyAlignment="1">
      <alignment horizontal="center" vertical="center"/>
    </xf>
    <xf numFmtId="171" fontId="18" fillId="7" borderId="1" xfId="0" applyNumberFormat="1" applyFont="1" applyFill="1" applyBorder="1" applyAlignment="1">
      <alignment horizontal="center" vertical="center"/>
    </xf>
    <xf numFmtId="176" fontId="13" fillId="3" borderId="0" xfId="0" applyNumberFormat="1" applyFont="1" applyFill="1" applyProtection="1">
      <protection locked="0"/>
    </xf>
    <xf numFmtId="0" fontId="64" fillId="3" borderId="0" xfId="0" applyFont="1" applyFill="1" applyAlignment="1" applyProtection="1">
      <alignment horizontal="center" vertical="center"/>
      <protection locked="0"/>
    </xf>
    <xf numFmtId="1" fontId="61" fillId="3" borderId="0" xfId="0" applyNumberFormat="1" applyFont="1" applyFill="1" applyAlignment="1" applyProtection="1">
      <alignment horizontal="left"/>
      <protection locked="0"/>
    </xf>
    <xf numFmtId="1" fontId="5" fillId="0" borderId="0" xfId="0" applyNumberFormat="1" applyFont="1" applyProtection="1">
      <protection hidden="1"/>
    </xf>
    <xf numFmtId="1" fontId="16" fillId="0" borderId="1" xfId="0" applyNumberFormat="1" applyFont="1" applyBorder="1" applyAlignment="1" applyProtection="1">
      <alignment horizontal="center"/>
      <protection hidden="1"/>
    </xf>
    <xf numFmtId="1" fontId="40" fillId="0" borderId="0" xfId="0" applyNumberFormat="1" applyFont="1" applyProtection="1">
      <protection hidden="1"/>
    </xf>
    <xf numFmtId="1" fontId="40" fillId="0" borderId="0" xfId="0" applyNumberFormat="1" applyFont="1" applyAlignment="1" applyProtection="1">
      <alignment horizontal="center"/>
      <protection hidden="1"/>
    </xf>
    <xf numFmtId="1" fontId="40" fillId="0" borderId="1" xfId="0" applyNumberFormat="1" applyFont="1" applyBorder="1" applyAlignment="1" applyProtection="1">
      <alignment horizontal="center"/>
      <protection hidden="1"/>
    </xf>
    <xf numFmtId="1" fontId="40" fillId="3" borderId="1" xfId="0" applyNumberFormat="1" applyFont="1" applyFill="1" applyBorder="1" applyAlignment="1" applyProtection="1">
      <alignment horizontal="center"/>
      <protection hidden="1"/>
    </xf>
    <xf numFmtId="1" fontId="40" fillId="3" borderId="11" xfId="0" applyNumberFormat="1" applyFont="1" applyFill="1" applyBorder="1" applyProtection="1">
      <protection hidden="1"/>
    </xf>
    <xf numFmtId="1" fontId="67" fillId="0" borderId="1" xfId="0" quotePrefix="1" applyNumberFormat="1" applyFont="1" applyBorder="1" applyAlignment="1" applyProtection="1">
      <alignment horizontal="center"/>
      <protection hidden="1"/>
    </xf>
    <xf numFmtId="1" fontId="40" fillId="3" borderId="0" xfId="0" applyNumberFormat="1" applyFont="1" applyFill="1" applyProtection="1">
      <protection hidden="1"/>
    </xf>
    <xf numFmtId="1" fontId="15" fillId="4" borderId="1" xfId="0" applyNumberFormat="1" applyFont="1" applyFill="1" applyBorder="1" applyAlignment="1" applyProtection="1">
      <alignment horizontal="center"/>
      <protection hidden="1"/>
    </xf>
    <xf numFmtId="1" fontId="7" fillId="3" borderId="0" xfId="0" applyNumberFormat="1" applyFont="1" applyFill="1" applyProtection="1">
      <protection hidden="1"/>
    </xf>
    <xf numFmtId="1" fontId="9" fillId="3" borderId="0" xfId="0" applyNumberFormat="1" applyFont="1" applyFill="1" applyProtection="1">
      <protection hidden="1"/>
    </xf>
    <xf numFmtId="0" fontId="53" fillId="0" borderId="10" xfId="0" applyFont="1" applyBorder="1" applyAlignment="1">
      <alignment horizontal="center" vertical="center"/>
    </xf>
    <xf numFmtId="164" fontId="65" fillId="0" borderId="10" xfId="0" applyNumberFormat="1" applyFont="1" applyBorder="1" applyAlignment="1" applyProtection="1">
      <alignment horizontal="right"/>
      <protection hidden="1"/>
    </xf>
    <xf numFmtId="164" fontId="57" fillId="0" borderId="10" xfId="0" applyNumberFormat="1" applyFont="1" applyBorder="1" applyAlignment="1" applyProtection="1">
      <alignment horizontal="right"/>
      <protection hidden="1"/>
    </xf>
    <xf numFmtId="164" fontId="65" fillId="3" borderId="10" xfId="0" applyNumberFormat="1" applyFont="1" applyFill="1" applyBorder="1" applyAlignment="1" applyProtection="1">
      <alignment horizontal="right"/>
      <protection hidden="1"/>
    </xf>
    <xf numFmtId="0" fontId="28" fillId="3" borderId="0" xfId="0" applyFont="1" applyFill="1" applyAlignment="1" applyProtection="1">
      <alignment vertical="center"/>
      <protection hidden="1"/>
    </xf>
    <xf numFmtId="0" fontId="75" fillId="3" borderId="0" xfId="0" applyFont="1" applyFill="1" applyAlignment="1" applyProtection="1">
      <alignment horizontal="center" vertical="center"/>
      <protection locked="0"/>
    </xf>
    <xf numFmtId="0" fontId="76" fillId="3" borderId="0" xfId="0" applyFont="1" applyFill="1" applyAlignment="1" applyProtection="1">
      <alignment horizontal="left" vertical="top"/>
      <protection locked="0"/>
    </xf>
    <xf numFmtId="0" fontId="77" fillId="3" borderId="0" xfId="0" applyFont="1" applyFill="1" applyAlignment="1" applyProtection="1">
      <alignment horizontal="left" vertical="center"/>
      <protection hidden="1"/>
    </xf>
    <xf numFmtId="0" fontId="78" fillId="3" borderId="0" xfId="0" applyFont="1" applyFill="1" applyAlignment="1" applyProtection="1">
      <alignment horizontal="right" vertical="center"/>
      <protection hidden="1"/>
    </xf>
    <xf numFmtId="0" fontId="77" fillId="3" borderId="0" xfId="0" applyFont="1" applyFill="1" applyAlignment="1" applyProtection="1">
      <alignment horizontal="left" vertical="top"/>
      <protection locked="0"/>
    </xf>
    <xf numFmtId="0" fontId="77" fillId="3" borderId="0" xfId="0" applyFont="1" applyFill="1" applyAlignment="1" applyProtection="1">
      <alignment vertical="center"/>
      <protection locked="0"/>
    </xf>
    <xf numFmtId="0" fontId="77" fillId="3" borderId="0" xfId="0" applyFont="1" applyFill="1" applyAlignment="1" applyProtection="1">
      <alignment horizontal="left" vertical="center"/>
      <protection locked="0"/>
    </xf>
    <xf numFmtId="0" fontId="78" fillId="3" borderId="0" xfId="0" applyFont="1" applyFill="1" applyAlignment="1" applyProtection="1">
      <alignment horizontal="left" vertical="center"/>
      <protection locked="0"/>
    </xf>
    <xf numFmtId="0" fontId="79" fillId="3" borderId="0" xfId="0" applyFont="1" applyFill="1" applyAlignment="1" applyProtection="1">
      <alignment vertical="center"/>
      <protection locked="0"/>
    </xf>
    <xf numFmtId="0" fontId="77" fillId="3" borderId="0" xfId="0" applyFont="1" applyFill="1" applyAlignment="1" applyProtection="1">
      <alignment horizontal="right" vertical="center"/>
      <protection locked="0"/>
    </xf>
    <xf numFmtId="0" fontId="77" fillId="3" borderId="0" xfId="0" applyFont="1" applyFill="1" applyAlignment="1" applyProtection="1">
      <alignment vertical="center"/>
      <protection hidden="1"/>
    </xf>
    <xf numFmtId="0" fontId="77" fillId="3" borderId="0" xfId="0" quotePrefix="1" applyFont="1" applyFill="1" applyAlignment="1" applyProtection="1">
      <alignment vertical="center"/>
      <protection locked="0"/>
    </xf>
    <xf numFmtId="167" fontId="77" fillId="3" borderId="0" xfId="0" quotePrefix="1" applyNumberFormat="1" applyFont="1" applyFill="1" applyAlignment="1" applyProtection="1">
      <alignment horizontal="left" vertical="center"/>
      <protection locked="0"/>
    </xf>
    <xf numFmtId="170" fontId="77" fillId="3" borderId="0" xfId="0" applyNumberFormat="1" applyFont="1" applyFill="1" applyAlignment="1" applyProtection="1">
      <alignment horizontal="left" vertical="center"/>
      <protection locked="0"/>
    </xf>
    <xf numFmtId="164" fontId="77" fillId="3" borderId="0" xfId="0" applyNumberFormat="1" applyFont="1" applyFill="1" applyAlignment="1" applyProtection="1">
      <alignment horizontal="left" vertical="center"/>
      <protection hidden="1"/>
    </xf>
    <xf numFmtId="170" fontId="77" fillId="3" borderId="0" xfId="0" applyNumberFormat="1" applyFont="1" applyFill="1" applyAlignment="1" applyProtection="1">
      <alignment horizontal="left" vertical="center"/>
      <protection hidden="1"/>
    </xf>
    <xf numFmtId="0" fontId="78" fillId="3" borderId="0" xfId="0" applyFont="1" applyFill="1" applyAlignment="1" applyProtection="1">
      <alignment horizontal="left" vertical="center"/>
      <protection hidden="1"/>
    </xf>
    <xf numFmtId="0" fontId="77" fillId="3" borderId="12" xfId="0" applyFont="1" applyFill="1" applyBorder="1" applyAlignment="1" applyProtection="1">
      <alignment vertical="center"/>
      <protection hidden="1"/>
    </xf>
    <xf numFmtId="0" fontId="32" fillId="3" borderId="7" xfId="0" applyFont="1" applyFill="1" applyBorder="1" applyAlignment="1" applyProtection="1">
      <alignment vertical="center"/>
      <protection hidden="1"/>
    </xf>
    <xf numFmtId="0" fontId="32" fillId="3" borderId="7" xfId="0" applyFont="1" applyFill="1" applyBorder="1" applyAlignment="1" applyProtection="1">
      <alignment horizontal="center" vertical="center"/>
      <protection hidden="1"/>
    </xf>
    <xf numFmtId="0" fontId="32" fillId="3" borderId="1" xfId="0" applyFont="1" applyFill="1" applyBorder="1" applyAlignment="1" applyProtection="1">
      <alignment vertical="center"/>
      <protection hidden="1"/>
    </xf>
    <xf numFmtId="164" fontId="32" fillId="3" borderId="1" xfId="0" applyNumberFormat="1" applyFont="1" applyFill="1" applyBorder="1" applyAlignment="1" applyProtection="1">
      <alignment horizontal="center" vertical="center"/>
      <protection locked="0"/>
    </xf>
    <xf numFmtId="0" fontId="77" fillId="3" borderId="0" xfId="0" applyFont="1" applyFill="1" applyAlignment="1" applyProtection="1">
      <alignment horizontal="center" vertical="center"/>
      <protection locked="0"/>
    </xf>
    <xf numFmtId="164" fontId="77" fillId="3" borderId="0" xfId="0" applyNumberFormat="1" applyFont="1" applyFill="1" applyAlignment="1" applyProtection="1">
      <alignment horizontal="center" vertical="center"/>
      <protection locked="0"/>
    </xf>
    <xf numFmtId="0" fontId="77" fillId="3" borderId="0" xfId="0" applyFont="1" applyFill="1" applyAlignment="1" applyProtection="1">
      <alignment horizontal="center" vertical="center" wrapText="1"/>
      <protection hidden="1"/>
    </xf>
    <xf numFmtId="0" fontId="78" fillId="3" borderId="0" xfId="0" applyFont="1" applyFill="1" applyAlignment="1" applyProtection="1">
      <alignment vertical="center"/>
      <protection hidden="1"/>
    </xf>
    <xf numFmtId="165" fontId="32" fillId="3" borderId="0" xfId="0" applyNumberFormat="1" applyFont="1" applyFill="1" applyAlignment="1" applyProtection="1">
      <alignment horizontal="center" vertical="center"/>
      <protection hidden="1"/>
    </xf>
    <xf numFmtId="2" fontId="77" fillId="3" borderId="0" xfId="0" applyNumberFormat="1" applyFont="1" applyFill="1" applyAlignment="1" applyProtection="1">
      <alignment vertical="center"/>
      <protection hidden="1"/>
    </xf>
    <xf numFmtId="2" fontId="81" fillId="3" borderId="0" xfId="3" applyNumberFormat="1" applyFont="1" applyFill="1" applyAlignment="1" applyProtection="1">
      <alignment horizontal="right" vertical="center" wrapText="1"/>
      <protection hidden="1"/>
    </xf>
    <xf numFmtId="171" fontId="77" fillId="3" borderId="0" xfId="0" applyNumberFormat="1" applyFont="1" applyFill="1" applyAlignment="1" applyProtection="1">
      <alignment vertical="center"/>
      <protection hidden="1"/>
    </xf>
    <xf numFmtId="0" fontId="32" fillId="3" borderId="1" xfId="0" applyFont="1" applyFill="1" applyBorder="1" applyAlignment="1" applyProtection="1">
      <alignment horizontal="center" vertical="center"/>
      <protection locked="0"/>
    </xf>
    <xf numFmtId="0" fontId="77" fillId="3" borderId="0" xfId="0" applyFont="1" applyFill="1" applyAlignment="1" applyProtection="1">
      <alignment horizontal="center" vertical="center"/>
      <protection hidden="1"/>
    </xf>
    <xf numFmtId="0" fontId="77" fillId="3" borderId="0" xfId="0" applyFont="1" applyFill="1" applyAlignment="1" applyProtection="1">
      <alignment horizontal="right" vertical="center" wrapText="1"/>
      <protection hidden="1"/>
    </xf>
    <xf numFmtId="164" fontId="77" fillId="3" borderId="0" xfId="0" applyNumberFormat="1" applyFont="1" applyFill="1" applyAlignment="1" applyProtection="1">
      <alignment horizontal="right" vertical="center"/>
      <protection locked="0"/>
    </xf>
    <xf numFmtId="1" fontId="77" fillId="3" borderId="0" xfId="0" applyNumberFormat="1" applyFont="1" applyFill="1" applyAlignment="1" applyProtection="1">
      <alignment horizontal="right" vertical="center"/>
      <protection locked="0"/>
    </xf>
    <xf numFmtId="1" fontId="77" fillId="3" borderId="0" xfId="0" applyNumberFormat="1" applyFont="1" applyFill="1" applyAlignment="1" applyProtection="1">
      <alignment horizontal="right" vertical="center" wrapText="1"/>
      <protection hidden="1"/>
    </xf>
    <xf numFmtId="0" fontId="32" fillId="3" borderId="5" xfId="0" applyFont="1" applyFill="1" applyBorder="1" applyAlignment="1" applyProtection="1">
      <alignment vertical="center" wrapText="1"/>
      <protection hidden="1"/>
    </xf>
    <xf numFmtId="164" fontId="32" fillId="3" borderId="8" xfId="0" applyNumberFormat="1" applyFont="1" applyFill="1" applyBorder="1" applyAlignment="1" applyProtection="1">
      <alignment vertical="center"/>
      <protection locked="0"/>
    </xf>
    <xf numFmtId="164" fontId="32" fillId="3" borderId="6" xfId="0" applyNumberFormat="1" applyFont="1" applyFill="1" applyBorder="1" applyAlignment="1" applyProtection="1">
      <alignment vertical="center"/>
      <protection locked="0"/>
    </xf>
    <xf numFmtId="0" fontId="82" fillId="3" borderId="5" xfId="0" quotePrefix="1" applyFont="1" applyFill="1" applyBorder="1" applyAlignment="1" applyProtection="1">
      <alignment vertical="center"/>
      <protection hidden="1"/>
    </xf>
    <xf numFmtId="0" fontId="32" fillId="3" borderId="7" xfId="0" applyFont="1" applyFill="1" applyBorder="1" applyAlignment="1" applyProtection="1">
      <alignment vertical="center" wrapText="1"/>
      <protection hidden="1"/>
    </xf>
    <xf numFmtId="164" fontId="32" fillId="3" borderId="4" xfId="0" applyNumberFormat="1" applyFont="1" applyFill="1" applyBorder="1" applyAlignment="1" applyProtection="1">
      <alignment vertical="center"/>
      <protection locked="0"/>
    </xf>
    <xf numFmtId="164" fontId="32" fillId="3" borderId="9" xfId="0" applyNumberFormat="1" applyFont="1" applyFill="1" applyBorder="1" applyAlignment="1" applyProtection="1">
      <alignment vertical="center"/>
      <protection locked="0"/>
    </xf>
    <xf numFmtId="0" fontId="82" fillId="3" borderId="7" xfId="0" quotePrefix="1" applyFont="1" applyFill="1" applyBorder="1" applyAlignment="1" applyProtection="1">
      <alignment vertical="center"/>
      <protection hidden="1"/>
    </xf>
    <xf numFmtId="0" fontId="32" fillId="3" borderId="11" xfId="0" applyFont="1" applyFill="1" applyBorder="1" applyAlignment="1" applyProtection="1">
      <alignment vertical="center" wrapText="1"/>
      <protection hidden="1"/>
    </xf>
    <xf numFmtId="164" fontId="32" fillId="3" borderId="11" xfId="0" applyNumberFormat="1" applyFont="1" applyFill="1" applyBorder="1" applyAlignment="1" applyProtection="1">
      <alignment vertical="center"/>
      <protection locked="0"/>
    </xf>
    <xf numFmtId="2" fontId="32" fillId="3" borderId="11" xfId="0" applyNumberFormat="1" applyFont="1" applyFill="1" applyBorder="1" applyAlignment="1" applyProtection="1">
      <alignment vertical="center"/>
      <protection hidden="1"/>
    </xf>
    <xf numFmtId="2" fontId="32" fillId="3" borderId="0" xfId="0" applyNumberFormat="1" applyFont="1" applyFill="1" applyAlignment="1" applyProtection="1">
      <alignment vertical="center"/>
      <protection hidden="1"/>
    </xf>
    <xf numFmtId="0" fontId="82" fillId="3" borderId="0" xfId="0" quotePrefix="1" applyFont="1" applyFill="1" applyAlignment="1" applyProtection="1">
      <alignment vertical="center"/>
      <protection hidden="1"/>
    </xf>
    <xf numFmtId="164" fontId="32" fillId="3" borderId="0" xfId="0" applyNumberFormat="1" applyFont="1" applyFill="1" applyAlignment="1" applyProtection="1">
      <alignment vertical="center"/>
      <protection locked="0"/>
    </xf>
    <xf numFmtId="0" fontId="32" fillId="3" borderId="0" xfId="0" applyFont="1" applyFill="1" applyAlignment="1" applyProtection="1">
      <alignment vertical="center" wrapText="1"/>
      <protection hidden="1"/>
    </xf>
    <xf numFmtId="0" fontId="78" fillId="3" borderId="2" xfId="0" applyFont="1" applyFill="1" applyBorder="1" applyAlignment="1" applyProtection="1">
      <alignment vertical="center"/>
      <protection hidden="1"/>
    </xf>
    <xf numFmtId="0" fontId="77" fillId="3" borderId="0" xfId="0" applyFont="1" applyFill="1" applyAlignment="1" applyProtection="1">
      <alignment horizontal="right" vertical="center"/>
      <protection hidden="1"/>
    </xf>
    <xf numFmtId="0" fontId="40" fillId="3" borderId="0" xfId="0" applyFont="1" applyFill="1" applyAlignment="1" applyProtection="1">
      <alignment horizontal="center" vertical="center"/>
      <protection hidden="1"/>
    </xf>
    <xf numFmtId="0" fontId="77" fillId="3" borderId="0" xfId="0" applyFont="1" applyFill="1" applyAlignment="1" applyProtection="1">
      <alignment horizontal="center" vertical="center" wrapText="1"/>
      <protection locked="0"/>
    </xf>
    <xf numFmtId="164" fontId="77" fillId="3" borderId="0" xfId="0" applyNumberFormat="1" applyFont="1" applyFill="1" applyAlignment="1" applyProtection="1">
      <alignment horizontal="right" vertical="center" wrapText="1"/>
      <protection locked="0"/>
    </xf>
    <xf numFmtId="0" fontId="78" fillId="3" borderId="0" xfId="0" applyFont="1" applyFill="1" applyAlignment="1" applyProtection="1">
      <alignment horizontal="right"/>
      <protection hidden="1"/>
    </xf>
    <xf numFmtId="0" fontId="77" fillId="3" borderId="0" xfId="0" applyFont="1" applyFill="1" applyAlignment="1" applyProtection="1">
      <alignment horizontal="left"/>
      <protection locked="0"/>
    </xf>
    <xf numFmtId="0" fontId="32" fillId="3" borderId="0" xfId="0" applyFont="1" applyFill="1" applyAlignment="1" applyProtection="1">
      <alignment horizontal="center" wrapText="1"/>
      <protection locked="0"/>
    </xf>
    <xf numFmtId="0" fontId="77" fillId="3" borderId="0" xfId="0" quotePrefix="1" applyFont="1" applyFill="1" applyAlignment="1" applyProtection="1">
      <alignment horizontal="left" vertical="center"/>
      <protection locked="0"/>
    </xf>
    <xf numFmtId="164" fontId="32" fillId="3" borderId="0" xfId="0" applyNumberFormat="1" applyFont="1" applyFill="1" applyAlignment="1" applyProtection="1">
      <alignment horizontal="right" vertical="center"/>
      <protection hidden="1"/>
    </xf>
    <xf numFmtId="0" fontId="40" fillId="3" borderId="0" xfId="0" applyFont="1" applyFill="1" applyAlignment="1" applyProtection="1">
      <alignment horizontal="center" vertical="center"/>
      <protection locked="0"/>
    </xf>
    <xf numFmtId="0" fontId="59" fillId="3" borderId="0" xfId="0" applyFont="1" applyFill="1" applyAlignment="1" applyProtection="1">
      <alignment vertical="center"/>
      <protection locked="0"/>
    </xf>
    <xf numFmtId="0" fontId="59" fillId="3" borderId="0" xfId="0" applyFont="1" applyFill="1" applyAlignment="1" applyProtection="1">
      <alignment horizontal="right" vertical="center" wrapText="1"/>
      <protection hidden="1"/>
    </xf>
    <xf numFmtId="0" fontId="59" fillId="3" borderId="0" xfId="0" applyFont="1" applyFill="1" applyAlignment="1" applyProtection="1">
      <alignment vertical="center"/>
      <protection hidden="1"/>
    </xf>
    <xf numFmtId="2" fontId="77" fillId="3" borderId="0" xfId="0" applyNumberFormat="1" applyFont="1" applyFill="1" applyAlignment="1" applyProtection="1">
      <alignment horizontal="right" vertical="center"/>
      <protection locked="0"/>
    </xf>
    <xf numFmtId="171" fontId="77" fillId="3" borderId="0" xfId="0" applyNumberFormat="1" applyFont="1" applyFill="1" applyAlignment="1" applyProtection="1">
      <alignment horizontal="right" vertical="center"/>
      <protection locked="0"/>
    </xf>
    <xf numFmtId="0" fontId="64" fillId="3" borderId="0" xfId="0" applyFont="1" applyFill="1" applyAlignment="1" applyProtection="1">
      <alignment horizontal="center" vertical="center"/>
      <protection hidden="1"/>
    </xf>
    <xf numFmtId="1" fontId="64" fillId="3" borderId="0" xfId="0" applyNumberFormat="1" applyFont="1" applyFill="1" applyAlignment="1" applyProtection="1">
      <alignment horizontal="center" vertical="center"/>
      <protection hidden="1"/>
    </xf>
    <xf numFmtId="0" fontId="84" fillId="3" borderId="0" xfId="0" applyFont="1" applyFill="1" applyAlignment="1" applyProtection="1">
      <alignment vertical="center"/>
      <protection locked="0"/>
    </xf>
    <xf numFmtId="164" fontId="64" fillId="3" borderId="0" xfId="0" applyNumberFormat="1" applyFont="1" applyFill="1" applyAlignment="1" applyProtection="1">
      <alignment horizontal="center" vertical="center"/>
      <protection hidden="1"/>
    </xf>
    <xf numFmtId="0" fontId="64" fillId="3" borderId="0" xfId="0" applyFont="1" applyFill="1" applyAlignment="1" applyProtection="1">
      <alignment horizontal="center" vertical="center" wrapText="1"/>
      <protection hidden="1"/>
    </xf>
    <xf numFmtId="0" fontId="84" fillId="3" borderId="0" xfId="0" applyFont="1" applyFill="1" applyAlignment="1" applyProtection="1">
      <alignment horizontal="left" vertical="center"/>
      <protection locked="0"/>
    </xf>
    <xf numFmtId="0" fontId="84" fillId="3" borderId="0" xfId="0" applyFont="1" applyFill="1" applyAlignment="1" applyProtection="1">
      <alignment vertical="center" wrapText="1"/>
      <protection locked="0"/>
    </xf>
    <xf numFmtId="0" fontId="84" fillId="3" borderId="0" xfId="0" quotePrefix="1" applyFont="1" applyFill="1" applyAlignment="1" applyProtection="1">
      <alignment vertical="center"/>
      <protection locked="0"/>
    </xf>
    <xf numFmtId="0" fontId="78" fillId="3" borderId="0" xfId="0" applyFont="1" applyFill="1" applyAlignment="1" applyProtection="1">
      <alignment horizontal="left"/>
      <protection hidden="1"/>
    </xf>
    <xf numFmtId="0" fontId="78" fillId="3" borderId="2" xfId="0" applyFont="1" applyFill="1" applyBorder="1" applyProtection="1">
      <protection hidden="1"/>
    </xf>
    <xf numFmtId="171" fontId="77" fillId="3" borderId="1" xfId="0" applyNumberFormat="1" applyFont="1" applyFill="1" applyBorder="1" applyAlignment="1" applyProtection="1">
      <alignment horizontal="center" vertical="center"/>
      <protection hidden="1"/>
    </xf>
    <xf numFmtId="164" fontId="77" fillId="3" borderId="1" xfId="0" applyNumberFormat="1" applyFont="1" applyFill="1" applyBorder="1" applyAlignment="1" applyProtection="1">
      <alignment horizontal="center" vertical="center"/>
      <protection locked="0"/>
    </xf>
    <xf numFmtId="0" fontId="79" fillId="3" borderId="1" xfId="0" applyFont="1" applyFill="1" applyBorder="1" applyAlignment="1" applyProtection="1">
      <alignment horizontal="center" vertical="center"/>
      <protection hidden="1"/>
    </xf>
    <xf numFmtId="164" fontId="78" fillId="3" borderId="0" xfId="0" applyNumberFormat="1" applyFont="1" applyFill="1" applyAlignment="1" applyProtection="1">
      <alignment horizontal="right" vertical="center"/>
      <protection hidden="1"/>
    </xf>
    <xf numFmtId="0" fontId="77" fillId="0" borderId="0" xfId="0" applyFont="1" applyProtection="1">
      <protection locked="0"/>
    </xf>
    <xf numFmtId="0" fontId="77" fillId="0" borderId="0" xfId="0" applyFont="1" applyAlignment="1" applyProtection="1">
      <alignment horizontal="left"/>
      <protection locked="0"/>
    </xf>
    <xf numFmtId="164" fontId="77" fillId="0" borderId="0" xfId="0" applyNumberFormat="1" applyFont="1" applyProtection="1">
      <protection locked="0"/>
    </xf>
    <xf numFmtId="0" fontId="79" fillId="2" borderId="0" xfId="0" applyFont="1" applyFill="1" applyAlignment="1" applyProtection="1">
      <alignment horizontal="left"/>
      <protection hidden="1"/>
    </xf>
    <xf numFmtId="0" fontId="79" fillId="2" borderId="0" xfId="0" applyFont="1" applyFill="1" applyProtection="1">
      <protection hidden="1"/>
    </xf>
    <xf numFmtId="0" fontId="79" fillId="0" borderId="0" xfId="0" applyFont="1" applyProtection="1">
      <protection hidden="1"/>
    </xf>
    <xf numFmtId="0" fontId="79" fillId="0" borderId="0" xfId="0" applyFont="1" applyProtection="1">
      <protection locked="0"/>
    </xf>
    <xf numFmtId="0" fontId="88" fillId="2" borderId="0" xfId="0" applyFont="1" applyFill="1" applyAlignment="1" applyProtection="1">
      <alignment horizontal="left"/>
      <protection hidden="1"/>
    </xf>
    <xf numFmtId="0" fontId="88" fillId="0" borderId="0" xfId="0" applyFont="1" applyAlignment="1" applyProtection="1">
      <alignment horizontal="left"/>
      <protection hidden="1"/>
    </xf>
    <xf numFmtId="0" fontId="88" fillId="0" borderId="0" xfId="0" applyFont="1" applyProtection="1">
      <protection hidden="1"/>
    </xf>
    <xf numFmtId="0" fontId="79" fillId="0" borderId="0" xfId="0" applyFont="1" applyAlignment="1" applyProtection="1">
      <alignment horizontal="left"/>
      <protection hidden="1"/>
    </xf>
    <xf numFmtId="0" fontId="79" fillId="2" borderId="0" xfId="0" applyFont="1" applyFill="1" applyAlignment="1" applyProtection="1">
      <alignment horizontal="center"/>
      <protection hidden="1"/>
    </xf>
    <xf numFmtId="0" fontId="88" fillId="2" borderId="0" xfId="0" applyFont="1" applyFill="1" applyAlignment="1" applyProtection="1">
      <alignment horizontal="center"/>
      <protection hidden="1"/>
    </xf>
    <xf numFmtId="0" fontId="79" fillId="2" borderId="7" xfId="0" applyFont="1" applyFill="1" applyBorder="1" applyAlignment="1" applyProtection="1">
      <alignment horizontal="center"/>
      <protection hidden="1"/>
    </xf>
    <xf numFmtId="0" fontId="89" fillId="0" borderId="1" xfId="0" quotePrefix="1" applyFont="1" applyBorder="1" applyAlignment="1" applyProtection="1">
      <alignment horizontal="center" vertical="center" wrapText="1"/>
      <protection hidden="1"/>
    </xf>
    <xf numFmtId="0" fontId="88" fillId="2" borderId="0" xfId="0" applyFont="1" applyFill="1" applyProtection="1">
      <protection hidden="1"/>
    </xf>
    <xf numFmtId="166" fontId="79" fillId="2" borderId="7" xfId="0" applyNumberFormat="1" applyFont="1" applyFill="1" applyBorder="1" applyAlignment="1" applyProtection="1">
      <alignment horizontal="center" vertical="center"/>
      <protection hidden="1"/>
    </xf>
    <xf numFmtId="164" fontId="79" fillId="0" borderId="1" xfId="0" applyNumberFormat="1" applyFont="1" applyBorder="1" applyAlignment="1" applyProtection="1">
      <alignment horizontal="center"/>
      <protection hidden="1"/>
    </xf>
    <xf numFmtId="0" fontId="79" fillId="3" borderId="0" xfId="0" applyFont="1" applyFill="1" applyAlignment="1" applyProtection="1">
      <alignment horizontal="center"/>
      <protection hidden="1"/>
    </xf>
    <xf numFmtId="164" fontId="79" fillId="0" borderId="0" xfId="0" applyNumberFormat="1" applyFont="1" applyAlignment="1" applyProtection="1">
      <alignment horizontal="center"/>
      <protection hidden="1"/>
    </xf>
    <xf numFmtId="166" fontId="89" fillId="2" borderId="0" xfId="0" quotePrefix="1" applyNumberFormat="1" applyFont="1" applyFill="1" applyAlignment="1" applyProtection="1">
      <alignment horizontal="center" vertical="center"/>
      <protection hidden="1"/>
    </xf>
    <xf numFmtId="164" fontId="79" fillId="2" borderId="0" xfId="0" applyNumberFormat="1" applyFont="1" applyFill="1" applyAlignment="1">
      <alignment horizontal="center" vertical="center"/>
    </xf>
    <xf numFmtId="0" fontId="79" fillId="2" borderId="0" xfId="0" applyFont="1" applyFill="1" applyAlignment="1" applyProtection="1">
      <alignment horizontal="left" vertical="top"/>
      <protection hidden="1"/>
    </xf>
    <xf numFmtId="1" fontId="79" fillId="2" borderId="3" xfId="0" applyNumberFormat="1" applyFont="1" applyFill="1" applyBorder="1" applyAlignment="1" applyProtection="1">
      <alignment horizontal="center"/>
      <protection hidden="1"/>
    </xf>
    <xf numFmtId="0" fontId="79" fillId="3" borderId="13" xfId="0" applyFont="1" applyFill="1" applyBorder="1" applyAlignment="1" applyProtection="1">
      <alignment horizontal="center"/>
      <protection hidden="1"/>
    </xf>
    <xf numFmtId="0" fontId="79" fillId="0" borderId="5" xfId="0" applyFont="1" applyBorder="1" applyAlignment="1" applyProtection="1">
      <alignment vertical="center" wrapText="1"/>
      <protection hidden="1"/>
    </xf>
    <xf numFmtId="0" fontId="79" fillId="0" borderId="10" xfId="0" applyFont="1" applyBorder="1" applyAlignment="1" applyProtection="1">
      <alignment vertical="center" wrapText="1"/>
      <protection hidden="1"/>
    </xf>
    <xf numFmtId="0" fontId="79" fillId="0" borderId="10" xfId="0" applyFont="1" applyBorder="1" applyAlignment="1" applyProtection="1">
      <alignment horizontal="center" vertical="center" wrapText="1"/>
      <protection hidden="1"/>
    </xf>
    <xf numFmtId="0" fontId="90" fillId="0" borderId="10" xfId="0" applyFont="1" applyBorder="1" applyAlignment="1" applyProtection="1">
      <alignment horizontal="center" vertical="center" wrapText="1"/>
      <protection hidden="1"/>
    </xf>
    <xf numFmtId="0" fontId="79" fillId="0" borderId="7" xfId="0" applyFont="1" applyBorder="1" applyAlignment="1" applyProtection="1">
      <alignment vertical="center" wrapText="1"/>
      <protection hidden="1"/>
    </xf>
    <xf numFmtId="2" fontId="79" fillId="2" borderId="0" xfId="0" applyNumberFormat="1" applyFont="1" applyFill="1" applyAlignment="1" applyProtection="1">
      <alignment horizontal="center"/>
      <protection hidden="1"/>
    </xf>
    <xf numFmtId="0" fontId="79" fillId="3" borderId="0" xfId="0" applyFont="1" applyFill="1" applyProtection="1">
      <protection locked="0"/>
    </xf>
    <xf numFmtId="0" fontId="79" fillId="0" borderId="0" xfId="1" applyFont="1" applyAlignment="1" applyProtection="1">
      <alignment horizontal="left" vertical="center"/>
      <protection locked="0"/>
    </xf>
    <xf numFmtId="0" fontId="79" fillId="3" borderId="0" xfId="0" applyFont="1" applyFill="1" applyAlignment="1" applyProtection="1">
      <alignment horizontal="left"/>
      <protection locked="0"/>
    </xf>
    <xf numFmtId="0" fontId="79" fillId="3" borderId="0" xfId="0" applyFont="1" applyFill="1" applyAlignment="1" applyProtection="1">
      <alignment horizontal="center"/>
      <protection locked="0"/>
    </xf>
    <xf numFmtId="2" fontId="79" fillId="3" borderId="0" xfId="0" applyNumberFormat="1" applyFont="1" applyFill="1" applyAlignment="1" applyProtection="1">
      <alignment horizontal="center"/>
      <protection locked="0"/>
    </xf>
    <xf numFmtId="1" fontId="79" fillId="3" borderId="0" xfId="0" applyNumberFormat="1" applyFont="1" applyFill="1" applyProtection="1">
      <protection locked="0"/>
    </xf>
    <xf numFmtId="0" fontId="79" fillId="2" borderId="0" xfId="0" applyFont="1" applyFill="1" applyProtection="1">
      <protection locked="0"/>
    </xf>
    <xf numFmtId="0" fontId="79" fillId="2" borderId="0" xfId="0" applyFont="1" applyFill="1" applyAlignment="1" applyProtection="1">
      <alignment horizontal="left"/>
      <protection locked="0"/>
    </xf>
    <xf numFmtId="0" fontId="79" fillId="2" borderId="0" xfId="0" applyFont="1" applyFill="1" applyAlignment="1" applyProtection="1">
      <alignment horizontal="center"/>
      <protection locked="0"/>
    </xf>
    <xf numFmtId="2" fontId="79" fillId="2" borderId="0" xfId="0" applyNumberFormat="1" applyFont="1" applyFill="1" applyAlignment="1" applyProtection="1">
      <alignment horizontal="center"/>
      <protection locked="0"/>
    </xf>
    <xf numFmtId="0" fontId="79" fillId="2" borderId="0" xfId="0" applyFont="1" applyFill="1" applyAlignment="1" applyProtection="1">
      <alignment vertical="top"/>
      <protection locked="0"/>
    </xf>
    <xf numFmtId="0" fontId="55" fillId="3" borderId="0" xfId="0" applyFont="1" applyFill="1" applyAlignment="1" applyProtection="1">
      <alignment vertical="center"/>
      <protection locked="0"/>
    </xf>
    <xf numFmtId="0" fontId="79" fillId="0" borderId="0" xfId="0" applyFont="1" applyAlignment="1" applyProtection="1">
      <alignment horizontal="left"/>
      <protection locked="0"/>
    </xf>
    <xf numFmtId="0" fontId="55" fillId="3" borderId="0" xfId="0" applyFont="1" applyFill="1" applyAlignment="1" applyProtection="1">
      <alignment horizontal="center" vertical="center"/>
      <protection locked="0"/>
    </xf>
    <xf numFmtId="0" fontId="91" fillId="3" borderId="0" xfId="1" applyFont="1" applyFill="1" applyAlignment="1" applyProtection="1">
      <alignment vertical="center"/>
      <protection locked="0"/>
    </xf>
    <xf numFmtId="0" fontId="78" fillId="3" borderId="0" xfId="0" applyFont="1" applyFill="1" applyProtection="1">
      <protection hidden="1"/>
    </xf>
    <xf numFmtId="0" fontId="4" fillId="3" borderId="0" xfId="0" applyFont="1" applyFill="1" applyAlignment="1" applyProtection="1">
      <alignment vertical="center"/>
      <protection hidden="1"/>
    </xf>
    <xf numFmtId="0" fontId="92" fillId="3" borderId="0" xfId="0" applyFont="1" applyFill="1" applyAlignment="1" applyProtection="1">
      <alignment vertical="center"/>
      <protection hidden="1"/>
    </xf>
    <xf numFmtId="164" fontId="45" fillId="3" borderId="0" xfId="0" applyNumberFormat="1" applyFont="1" applyFill="1" applyAlignment="1" applyProtection="1">
      <alignment horizontal="left" vertical="center" wrapText="1"/>
      <protection locked="0"/>
    </xf>
    <xf numFmtId="0" fontId="6" fillId="0" borderId="0" xfId="0" applyFont="1" applyAlignment="1" applyProtection="1">
      <alignment horizontal="right"/>
      <protection locked="0"/>
    </xf>
    <xf numFmtId="0" fontId="90" fillId="0" borderId="0" xfId="0" applyFont="1" applyAlignment="1" applyProtection="1">
      <alignment horizontal="left"/>
      <protection locked="0"/>
    </xf>
    <xf numFmtId="0" fontId="78" fillId="3" borderId="0" xfId="0" applyFont="1" applyFill="1" applyAlignment="1" applyProtection="1">
      <alignment horizontal="right" vertical="center"/>
      <protection locked="0"/>
    </xf>
    <xf numFmtId="0" fontId="83" fillId="0" borderId="0" xfId="0" applyFont="1"/>
    <xf numFmtId="0" fontId="32" fillId="3" borderId="0" xfId="0" applyFont="1" applyFill="1" applyAlignment="1" applyProtection="1">
      <alignment horizontal="center"/>
      <protection locked="0"/>
    </xf>
    <xf numFmtId="0" fontId="59" fillId="3" borderId="5" xfId="0" applyFont="1" applyFill="1" applyBorder="1" applyAlignment="1" applyProtection="1">
      <alignment vertical="center"/>
      <protection locked="0"/>
    </xf>
    <xf numFmtId="164" fontId="64" fillId="3" borderId="7" xfId="0" applyNumberFormat="1" applyFont="1" applyFill="1" applyBorder="1" applyAlignment="1" applyProtection="1">
      <alignment horizontal="center" vertical="center" wrapText="1"/>
      <protection hidden="1"/>
    </xf>
    <xf numFmtId="0" fontId="32" fillId="3" borderId="0" xfId="0" applyFont="1" applyFill="1" applyAlignment="1" applyProtection="1">
      <alignment vertical="center"/>
      <protection hidden="1"/>
    </xf>
    <xf numFmtId="0" fontId="40" fillId="3" borderId="0" xfId="0" applyFont="1" applyFill="1" applyAlignment="1" applyProtection="1">
      <alignment horizontal="right" vertical="center"/>
      <protection hidden="1"/>
    </xf>
    <xf numFmtId="0" fontId="32" fillId="3" borderId="0" xfId="0" applyFont="1" applyFill="1" applyAlignment="1" applyProtection="1">
      <alignment vertical="center"/>
      <protection locked="0"/>
    </xf>
    <xf numFmtId="0" fontId="88" fillId="3" borderId="3" xfId="0" applyFont="1" applyFill="1" applyBorder="1" applyAlignment="1" applyProtection="1">
      <alignment horizontal="center" vertical="center"/>
      <protection hidden="1"/>
    </xf>
    <xf numFmtId="0" fontId="79" fillId="3" borderId="3" xfId="0" applyFont="1" applyFill="1" applyBorder="1" applyAlignment="1" applyProtection="1">
      <alignment horizontal="center" vertical="center"/>
      <protection hidden="1"/>
    </xf>
    <xf numFmtId="1" fontId="88" fillId="3" borderId="4" xfId="0" applyNumberFormat="1" applyFont="1" applyFill="1" applyBorder="1" applyAlignment="1" applyProtection="1">
      <alignment horizontal="center" vertical="center" wrapText="1"/>
      <protection locked="0"/>
    </xf>
    <xf numFmtId="164" fontId="88" fillId="3" borderId="4" xfId="0" applyNumberFormat="1" applyFont="1" applyFill="1" applyBorder="1" applyAlignment="1" applyProtection="1">
      <alignment horizontal="center" vertical="center" wrapText="1"/>
      <protection locked="0"/>
    </xf>
    <xf numFmtId="164" fontId="88" fillId="3" borderId="7" xfId="0" applyNumberFormat="1" applyFont="1" applyFill="1" applyBorder="1" applyAlignment="1" applyProtection="1">
      <alignment horizontal="center" vertical="center" wrapText="1"/>
      <protection locked="0"/>
    </xf>
    <xf numFmtId="1" fontId="88" fillId="3" borderId="1" xfId="0" applyNumberFormat="1" applyFont="1" applyFill="1" applyBorder="1" applyAlignment="1" applyProtection="1">
      <alignment horizontal="center" vertical="center" wrapText="1"/>
      <protection locked="0"/>
    </xf>
    <xf numFmtId="164" fontId="88" fillId="3" borderId="1" xfId="0" applyNumberFormat="1" applyFont="1" applyFill="1" applyBorder="1" applyAlignment="1" applyProtection="1">
      <alignment horizontal="center" vertical="center" wrapText="1"/>
      <protection locked="0"/>
    </xf>
    <xf numFmtId="164" fontId="4" fillId="3" borderId="0" xfId="0" applyNumberFormat="1" applyFont="1" applyFill="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19" fillId="3" borderId="5" xfId="0" applyFont="1" applyFill="1" applyBorder="1" applyAlignment="1" applyProtection="1">
      <alignment horizontal="center" vertical="center"/>
      <protection hidden="1"/>
    </xf>
    <xf numFmtId="0" fontId="19" fillId="3" borderId="7" xfId="0" applyFont="1" applyFill="1" applyBorder="1" applyAlignment="1" applyProtection="1">
      <alignment horizontal="center" vertical="center"/>
      <protection hidden="1"/>
    </xf>
    <xf numFmtId="164" fontId="48" fillId="3" borderId="0" xfId="0" applyNumberFormat="1" applyFont="1" applyFill="1" applyAlignment="1" applyProtection="1">
      <alignment horizontal="center" vertical="center" wrapText="1"/>
      <protection locked="0"/>
    </xf>
    <xf numFmtId="0" fontId="4" fillId="3" borderId="0" xfId="0" applyFont="1" applyFill="1" applyProtection="1">
      <protection locked="0"/>
    </xf>
    <xf numFmtId="167" fontId="13" fillId="3" borderId="0" xfId="0" applyNumberFormat="1" applyFont="1" applyFill="1" applyAlignment="1" applyProtection="1">
      <alignment horizontal="left" vertical="center"/>
      <protection hidden="1"/>
    </xf>
    <xf numFmtId="168" fontId="13" fillId="3" borderId="0" xfId="0" applyNumberFormat="1" applyFont="1" applyFill="1" applyAlignment="1" applyProtection="1">
      <alignment horizontal="left" vertical="center"/>
      <protection hidden="1"/>
    </xf>
    <xf numFmtId="0" fontId="28" fillId="3" borderId="0" xfId="0" applyFont="1" applyFill="1" applyAlignment="1" applyProtection="1">
      <alignment horizontal="left"/>
      <protection hidden="1"/>
    </xf>
    <xf numFmtId="169" fontId="13" fillId="3" borderId="0" xfId="0" quotePrefix="1" applyNumberFormat="1" applyFont="1" applyFill="1" applyAlignment="1" applyProtection="1">
      <alignment horizontal="right"/>
      <protection hidden="1"/>
    </xf>
    <xf numFmtId="0" fontId="28" fillId="3" borderId="0" xfId="0" applyFont="1" applyFill="1" applyProtection="1">
      <protection hidden="1"/>
    </xf>
    <xf numFmtId="0" fontId="28" fillId="3" borderId="0" xfId="0" applyFont="1" applyFill="1" applyAlignment="1" applyProtection="1">
      <alignment horizontal="center"/>
      <protection hidden="1"/>
    </xf>
    <xf numFmtId="0" fontId="13" fillId="3" borderId="7" xfId="0" applyFont="1" applyFill="1" applyBorder="1" applyAlignment="1" applyProtection="1">
      <alignment horizontal="center"/>
      <protection hidden="1"/>
    </xf>
    <xf numFmtId="0" fontId="29" fillId="3" borderId="1" xfId="0" quotePrefix="1" applyFont="1" applyFill="1" applyBorder="1" applyAlignment="1" applyProtection="1">
      <alignment horizontal="center" vertical="center" wrapText="1"/>
      <protection hidden="1"/>
    </xf>
    <xf numFmtId="0" fontId="6" fillId="3" borderId="1" xfId="0" applyFont="1" applyFill="1" applyBorder="1" applyAlignment="1">
      <alignment horizontal="right"/>
    </xf>
    <xf numFmtId="0" fontId="4" fillId="3" borderId="7" xfId="0" applyFont="1" applyFill="1" applyBorder="1" applyAlignment="1" applyProtection="1">
      <alignment horizontal="center"/>
      <protection hidden="1"/>
    </xf>
    <xf numFmtId="166" fontId="13" fillId="3" borderId="7" xfId="0" applyNumberFormat="1" applyFont="1" applyFill="1" applyBorder="1" applyAlignment="1" applyProtection="1">
      <alignment horizontal="center" vertical="center"/>
      <protection hidden="1"/>
    </xf>
    <xf numFmtId="164" fontId="13" fillId="3" borderId="1" xfId="0" applyNumberFormat="1" applyFont="1" applyFill="1" applyBorder="1" applyAlignment="1" applyProtection="1">
      <alignment horizontal="center"/>
      <protection hidden="1"/>
    </xf>
    <xf numFmtId="171" fontId="13" fillId="3" borderId="1" xfId="0" applyNumberFormat="1" applyFont="1" applyFill="1" applyBorder="1" applyAlignment="1" applyProtection="1">
      <alignment horizontal="center"/>
      <protection hidden="1"/>
    </xf>
    <xf numFmtId="164" fontId="13" fillId="3" borderId="0" xfId="0" applyNumberFormat="1" applyFont="1" applyFill="1" applyAlignment="1" applyProtection="1">
      <alignment horizontal="center"/>
      <protection hidden="1"/>
    </xf>
    <xf numFmtId="166" fontId="29" fillId="3" borderId="0" xfId="0" quotePrefix="1" applyNumberFormat="1" applyFont="1" applyFill="1" applyAlignment="1" applyProtection="1">
      <alignment horizontal="center" vertical="center"/>
      <protection hidden="1"/>
    </xf>
    <xf numFmtId="164" fontId="13" fillId="3" borderId="0" xfId="0" applyNumberFormat="1" applyFont="1" applyFill="1" applyAlignment="1">
      <alignment horizontal="center" vertical="center"/>
    </xf>
    <xf numFmtId="171" fontId="13" fillId="3" borderId="0" xfId="0" applyNumberFormat="1" applyFont="1" applyFill="1" applyAlignment="1" applyProtection="1">
      <alignment horizontal="center"/>
      <protection hidden="1"/>
    </xf>
    <xf numFmtId="0" fontId="13" fillId="3" borderId="0" xfId="0" applyFont="1" applyFill="1" applyAlignment="1" applyProtection="1">
      <alignment horizontal="left" vertical="top"/>
      <protection hidden="1"/>
    </xf>
    <xf numFmtId="0" fontId="13" fillId="3" borderId="0" xfId="0" applyFont="1" applyFill="1" applyAlignment="1" applyProtection="1">
      <alignment vertical="top"/>
      <protection locked="0"/>
    </xf>
    <xf numFmtId="0" fontId="4" fillId="3" borderId="12" xfId="0" applyFont="1" applyFill="1" applyBorder="1" applyAlignment="1" applyProtection="1">
      <alignment horizontal="center" vertical="center"/>
      <protection hidden="1"/>
    </xf>
    <xf numFmtId="0" fontId="4" fillId="3" borderId="11" xfId="0" applyFont="1" applyFill="1" applyBorder="1" applyAlignment="1" applyProtection="1">
      <alignment horizontal="center" vertical="center"/>
      <protection hidden="1"/>
    </xf>
    <xf numFmtId="0" fontId="4" fillId="3" borderId="14" xfId="0" applyFont="1" applyFill="1" applyBorder="1" applyAlignment="1" applyProtection="1">
      <alignment horizontal="center" vertical="center"/>
      <protection hidden="1"/>
    </xf>
    <xf numFmtId="0" fontId="4" fillId="3" borderId="10" xfId="0" applyFont="1" applyFill="1" applyBorder="1" applyAlignment="1" applyProtection="1">
      <alignment horizontal="center" vertical="top" wrapText="1"/>
      <protection hidden="1"/>
    </xf>
    <xf numFmtId="0" fontId="4" fillId="3" borderId="7" xfId="0" applyFont="1" applyFill="1" applyBorder="1" applyAlignment="1" applyProtection="1">
      <alignment horizontal="center" vertical="top" wrapText="1"/>
      <protection hidden="1"/>
    </xf>
    <xf numFmtId="166" fontId="4" fillId="3" borderId="7" xfId="0" applyNumberFormat="1" applyFont="1" applyFill="1" applyBorder="1" applyAlignment="1" applyProtection="1">
      <alignment horizontal="center" vertical="center"/>
      <protection hidden="1"/>
    </xf>
    <xf numFmtId="171" fontId="4" fillId="3" borderId="1" xfId="0" applyNumberFormat="1" applyFont="1" applyFill="1" applyBorder="1" applyAlignment="1" applyProtection="1">
      <alignment horizontal="center"/>
      <protection hidden="1"/>
    </xf>
    <xf numFmtId="0" fontId="4" fillId="3" borderId="1" xfId="0" applyFont="1" applyFill="1" applyBorder="1" applyAlignment="1" applyProtection="1">
      <alignment horizontal="center"/>
      <protection hidden="1"/>
    </xf>
    <xf numFmtId="1" fontId="4" fillId="3" borderId="3" xfId="0" applyNumberFormat="1" applyFont="1" applyFill="1" applyBorder="1" applyAlignment="1" applyProtection="1">
      <alignment horizontal="center"/>
      <protection hidden="1"/>
    </xf>
    <xf numFmtId="0" fontId="4" fillId="3" borderId="15" xfId="0" applyFont="1" applyFill="1" applyBorder="1" applyAlignment="1" applyProtection="1">
      <alignment horizontal="center"/>
      <protection hidden="1"/>
    </xf>
    <xf numFmtId="164" fontId="4" fillId="3" borderId="1" xfId="0" applyNumberFormat="1" applyFont="1" applyFill="1" applyBorder="1" applyAlignment="1" applyProtection="1">
      <alignment horizontal="center"/>
      <protection hidden="1"/>
    </xf>
    <xf numFmtId="0" fontId="41" fillId="3" borderId="5" xfId="0" applyFont="1" applyFill="1" applyBorder="1" applyAlignment="1" applyProtection="1">
      <alignment vertical="center" wrapText="1"/>
      <protection hidden="1"/>
    </xf>
    <xf numFmtId="164" fontId="13" fillId="3" borderId="1" xfId="0" applyNumberFormat="1" applyFont="1" applyFill="1" applyBorder="1" applyProtection="1">
      <protection locked="0"/>
    </xf>
    <xf numFmtId="0" fontId="4" fillId="3" borderId="10" xfId="0" applyFont="1" applyFill="1" applyBorder="1" applyAlignment="1" applyProtection="1">
      <alignment vertical="center" wrapText="1"/>
      <protection hidden="1"/>
    </xf>
    <xf numFmtId="0" fontId="4" fillId="3" borderId="10" xfId="0" applyFont="1" applyFill="1" applyBorder="1" applyAlignment="1" applyProtection="1">
      <alignment horizontal="center" vertical="center" wrapText="1"/>
      <protection hidden="1"/>
    </xf>
    <xf numFmtId="0" fontId="61" fillId="3" borderId="10" xfId="0" applyFont="1" applyFill="1" applyBorder="1" applyAlignment="1" applyProtection="1">
      <alignment horizontal="center" vertical="center" wrapText="1"/>
      <protection hidden="1"/>
    </xf>
    <xf numFmtId="0" fontId="4" fillId="3" borderId="7" xfId="0" applyFont="1" applyFill="1" applyBorder="1" applyAlignment="1" applyProtection="1">
      <alignment vertical="center" wrapText="1"/>
      <protection hidden="1"/>
    </xf>
    <xf numFmtId="0" fontId="4" fillId="3" borderId="0" xfId="1" applyFont="1" applyFill="1" applyAlignment="1" applyProtection="1">
      <alignment horizontal="left" vertical="center"/>
      <protection locked="0"/>
    </xf>
    <xf numFmtId="0" fontId="13" fillId="3" borderId="0" xfId="0" applyFont="1" applyFill="1" applyAlignment="1" applyProtection="1">
      <alignment vertical="top" wrapText="1"/>
      <protection locked="0"/>
    </xf>
    <xf numFmtId="0" fontId="28" fillId="3" borderId="0" xfId="0" applyFont="1" applyFill="1" applyProtection="1">
      <protection locked="0"/>
    </xf>
    <xf numFmtId="0" fontId="28" fillId="3" borderId="1" xfId="0" applyFont="1" applyFill="1" applyBorder="1" applyAlignment="1" applyProtection="1">
      <alignment horizontal="center" vertical="top"/>
      <protection locked="0"/>
    </xf>
    <xf numFmtId="0" fontId="19" fillId="3" borderId="4" xfId="0" quotePrefix="1" applyFont="1" applyFill="1" applyBorder="1" applyProtection="1">
      <protection locked="0"/>
    </xf>
    <xf numFmtId="0" fontId="19" fillId="3" borderId="9" xfId="0" applyFont="1" applyFill="1" applyBorder="1" applyProtection="1">
      <protection locked="0"/>
    </xf>
    <xf numFmtId="0" fontId="19" fillId="3" borderId="2" xfId="0" applyFont="1" applyFill="1" applyBorder="1" applyProtection="1">
      <protection locked="0"/>
    </xf>
    <xf numFmtId="0" fontId="19" fillId="3" borderId="15" xfId="0" applyFont="1" applyFill="1" applyBorder="1" applyProtection="1">
      <protection locked="0"/>
    </xf>
    <xf numFmtId="0" fontId="19" fillId="3" borderId="13" xfId="0" applyFont="1" applyFill="1" applyBorder="1" applyProtection="1">
      <protection locked="0"/>
    </xf>
    <xf numFmtId="14" fontId="19" fillId="3" borderId="1" xfId="2" applyNumberFormat="1" applyFont="1" applyFill="1" applyBorder="1" applyAlignment="1" applyProtection="1">
      <alignment horizontal="center"/>
      <protection locked="0"/>
    </xf>
    <xf numFmtId="0" fontId="19" fillId="3" borderId="3" xfId="0" applyFont="1" applyFill="1" applyBorder="1" applyProtection="1">
      <protection locked="0"/>
    </xf>
    <xf numFmtId="164" fontId="13" fillId="3" borderId="0" xfId="0" applyNumberFormat="1" applyFont="1" applyFill="1" applyProtection="1">
      <protection locked="0"/>
    </xf>
    <xf numFmtId="164" fontId="46" fillId="3" borderId="0" xfId="0" applyNumberFormat="1" applyFont="1" applyFill="1" applyAlignment="1" applyProtection="1">
      <alignment horizontal="center" vertical="center" wrapText="1"/>
      <protection locked="0"/>
    </xf>
    <xf numFmtId="0" fontId="4" fillId="3" borderId="0" xfId="0" applyFont="1" applyFill="1" applyAlignment="1" applyProtection="1">
      <alignment horizontal="left"/>
      <protection locked="0"/>
    </xf>
    <xf numFmtId="164" fontId="19" fillId="3" borderId="0" xfId="0" applyNumberFormat="1" applyFont="1" applyFill="1" applyAlignment="1" applyProtection="1">
      <alignment horizontal="center" vertical="center"/>
      <protection hidden="1"/>
    </xf>
    <xf numFmtId="0" fontId="79" fillId="3" borderId="7" xfId="0" applyFont="1" applyFill="1" applyBorder="1" applyAlignment="1" applyProtection="1">
      <alignment horizontal="center" vertical="center"/>
      <protection hidden="1"/>
    </xf>
    <xf numFmtId="0" fontId="79" fillId="3" borderId="4" xfId="0" applyFont="1" applyFill="1" applyBorder="1" applyAlignment="1" applyProtection="1">
      <alignment horizontal="center" vertical="center" wrapText="1"/>
      <protection hidden="1"/>
    </xf>
    <xf numFmtId="0" fontId="79" fillId="3" borderId="2" xfId="0" applyFont="1" applyFill="1" applyBorder="1" applyAlignment="1" applyProtection="1">
      <alignment horizontal="center" vertical="center" wrapText="1"/>
      <protection hidden="1"/>
    </xf>
    <xf numFmtId="0" fontId="79" fillId="3" borderId="9" xfId="0" applyFont="1" applyFill="1" applyBorder="1" applyAlignment="1" applyProtection="1">
      <alignment horizontal="center" vertical="center" wrapText="1"/>
      <protection hidden="1"/>
    </xf>
    <xf numFmtId="0" fontId="79" fillId="3" borderId="10" xfId="0" applyFont="1" applyFill="1" applyBorder="1" applyAlignment="1" applyProtection="1">
      <alignment vertical="center"/>
      <protection hidden="1"/>
    </xf>
    <xf numFmtId="0" fontId="79" fillId="3" borderId="4" xfId="0" applyFont="1" applyFill="1" applyBorder="1" applyAlignment="1" applyProtection="1">
      <alignment horizontal="center" vertical="center"/>
      <protection hidden="1"/>
    </xf>
    <xf numFmtId="0" fontId="88" fillId="3" borderId="4" xfId="0" applyFont="1" applyFill="1" applyBorder="1" applyAlignment="1" applyProtection="1">
      <alignment horizontal="center" vertical="center"/>
      <protection hidden="1"/>
    </xf>
    <xf numFmtId="0" fontId="79" fillId="3" borderId="1" xfId="0" applyFont="1" applyFill="1" applyBorder="1" applyAlignment="1" applyProtection="1">
      <alignment vertical="center"/>
      <protection hidden="1"/>
    </xf>
    <xf numFmtId="0" fontId="13" fillId="3" borderId="1" xfId="0" applyFont="1" applyFill="1" applyBorder="1" applyAlignment="1" applyProtection="1">
      <alignment horizontal="center"/>
      <protection hidden="1"/>
    </xf>
    <xf numFmtId="0" fontId="28" fillId="3" borderId="0" xfId="0" applyFont="1" applyFill="1" applyAlignment="1" applyProtection="1">
      <alignment horizontal="left"/>
      <protection locked="0"/>
    </xf>
    <xf numFmtId="0" fontId="4" fillId="3" borderId="5" xfId="0" applyFont="1" applyFill="1" applyBorder="1" applyAlignment="1" applyProtection="1">
      <alignment horizontal="center" vertical="center" wrapText="1"/>
      <protection hidden="1"/>
    </xf>
    <xf numFmtId="0" fontId="4" fillId="3" borderId="7" xfId="0" applyFont="1" applyFill="1" applyBorder="1" applyAlignment="1" applyProtection="1">
      <alignment horizontal="center" vertical="center"/>
      <protection hidden="1"/>
    </xf>
    <xf numFmtId="0" fontId="13" fillId="3" borderId="7" xfId="0" applyFont="1" applyFill="1" applyBorder="1" applyAlignment="1" applyProtection="1">
      <alignment horizontal="center" vertical="center"/>
      <protection hidden="1"/>
    </xf>
    <xf numFmtId="0" fontId="79" fillId="2" borderId="7" xfId="0" applyFont="1" applyFill="1" applyBorder="1" applyAlignment="1" applyProtection="1">
      <alignment horizontal="center" vertical="center"/>
      <protection hidden="1"/>
    </xf>
    <xf numFmtId="0" fontId="88" fillId="2" borderId="0" xfId="0" applyFont="1" applyFill="1" applyAlignment="1" applyProtection="1">
      <alignment horizontal="left"/>
      <protection locked="0"/>
    </xf>
    <xf numFmtId="0" fontId="79" fillId="2" borderId="1" xfId="0" applyFont="1" applyFill="1" applyBorder="1" applyAlignment="1" applyProtection="1">
      <alignment horizontal="center"/>
      <protection hidden="1"/>
    </xf>
    <xf numFmtId="0" fontId="79" fillId="2" borderId="15" xfId="0" applyFont="1" applyFill="1" applyBorder="1" applyAlignment="1" applyProtection="1">
      <alignment horizontal="center"/>
      <protection hidden="1"/>
    </xf>
    <xf numFmtId="0" fontId="77" fillId="0" borderId="0" xfId="0" applyFont="1" applyProtection="1">
      <protection hidden="1"/>
    </xf>
    <xf numFmtId="0" fontId="77" fillId="0" borderId="0" xfId="0" applyFont="1" applyAlignment="1" applyProtection="1">
      <alignment horizontal="left"/>
      <protection hidden="1"/>
    </xf>
    <xf numFmtId="164" fontId="79" fillId="2" borderId="1" xfId="0" applyNumberFormat="1" applyFont="1" applyFill="1" applyBorder="1" applyAlignment="1" applyProtection="1">
      <alignment horizontal="center" vertical="center"/>
      <protection hidden="1"/>
    </xf>
    <xf numFmtId="164" fontId="79" fillId="2" borderId="0" xfId="0" applyNumberFormat="1" applyFont="1" applyFill="1" applyAlignment="1" applyProtection="1">
      <alignment horizontal="center" vertical="center"/>
      <protection hidden="1"/>
    </xf>
    <xf numFmtId="0" fontId="79" fillId="3" borderId="5" xfId="0" applyFont="1" applyFill="1" applyBorder="1" applyAlignment="1" applyProtection="1">
      <alignment horizontal="center" wrapText="1"/>
      <protection hidden="1"/>
    </xf>
    <xf numFmtId="0" fontId="88" fillId="2" borderId="0" xfId="0" applyFont="1" applyFill="1" applyAlignment="1" applyProtection="1">
      <alignment horizontal="center"/>
      <protection locked="0"/>
    </xf>
    <xf numFmtId="0" fontId="88" fillId="2" borderId="0" xfId="0" applyFont="1" applyFill="1" applyProtection="1">
      <protection locked="0"/>
    </xf>
    <xf numFmtId="0" fontId="79" fillId="3" borderId="0" xfId="0" applyFont="1" applyFill="1" applyAlignment="1" applyProtection="1">
      <alignment horizontal="left" vertical="top" wrapText="1"/>
      <protection locked="0"/>
    </xf>
    <xf numFmtId="0" fontId="27" fillId="3" borderId="0" xfId="0" applyFont="1" applyFill="1" applyProtection="1">
      <protection hidden="1"/>
    </xf>
    <xf numFmtId="0" fontId="4" fillId="3" borderId="1" xfId="0" quotePrefix="1" applyFont="1" applyFill="1" applyBorder="1" applyProtection="1">
      <protection hidden="1"/>
    </xf>
    <xf numFmtId="0" fontId="4" fillId="3" borderId="0" xfId="0" applyFont="1" applyFill="1" applyAlignment="1" applyProtection="1">
      <alignment horizontal="center" vertical="center"/>
      <protection hidden="1"/>
    </xf>
    <xf numFmtId="0" fontId="70" fillId="3" borderId="0" xfId="0" applyFont="1" applyFill="1" applyProtection="1">
      <protection hidden="1"/>
    </xf>
    <xf numFmtId="164" fontId="13" fillId="3" borderId="1" xfId="0" applyNumberFormat="1" applyFont="1" applyFill="1" applyBorder="1" applyAlignment="1" applyProtection="1">
      <alignment horizontal="center" vertical="center"/>
      <protection hidden="1"/>
    </xf>
    <xf numFmtId="0" fontId="13" fillId="3" borderId="0" xfId="0" applyFont="1" applyFill="1" applyAlignment="1" applyProtection="1">
      <alignment vertical="top"/>
      <protection hidden="1"/>
    </xf>
    <xf numFmtId="0" fontId="4" fillId="3" borderId="5" xfId="0" applyFont="1" applyFill="1" applyBorder="1" applyAlignment="1" applyProtection="1">
      <alignment horizontal="center" wrapText="1"/>
      <protection hidden="1"/>
    </xf>
    <xf numFmtId="0" fontId="33" fillId="3" borderId="1" xfId="0" applyFont="1" applyFill="1" applyBorder="1" applyAlignment="1" applyProtection="1">
      <alignment horizontal="center"/>
      <protection hidden="1"/>
    </xf>
    <xf numFmtId="0" fontId="33" fillId="3" borderId="1" xfId="0" applyFont="1" applyFill="1" applyBorder="1" applyProtection="1">
      <protection hidden="1"/>
    </xf>
    <xf numFmtId="164" fontId="4" fillId="3" borderId="1" xfId="0" applyNumberFormat="1" applyFont="1" applyFill="1" applyBorder="1" applyAlignment="1" applyProtection="1">
      <alignment horizontal="center" vertical="center"/>
      <protection hidden="1"/>
    </xf>
    <xf numFmtId="2" fontId="13" fillId="3" borderId="1" xfId="0" applyNumberFormat="1" applyFont="1" applyFill="1" applyBorder="1" applyProtection="1">
      <protection hidden="1"/>
    </xf>
    <xf numFmtId="0" fontId="33" fillId="3" borderId="1" xfId="0" applyFont="1" applyFill="1" applyBorder="1" applyAlignment="1" applyProtection="1">
      <alignment horizontal="right"/>
      <protection hidden="1"/>
    </xf>
    <xf numFmtId="0" fontId="28" fillId="3" borderId="0" xfId="0" applyFont="1" applyFill="1" applyAlignment="1" applyProtection="1">
      <alignment horizontal="center"/>
      <protection locked="0"/>
    </xf>
    <xf numFmtId="0" fontId="85" fillId="2" borderId="0" xfId="0" applyFont="1" applyFill="1" applyAlignment="1" applyProtection="1">
      <alignment horizontal="left" vertical="center"/>
      <protection locked="0"/>
    </xf>
    <xf numFmtId="0" fontId="86" fillId="2" borderId="0" xfId="0" applyFont="1" applyFill="1" applyAlignment="1" applyProtection="1">
      <alignment horizontal="center" vertical="center"/>
      <protection locked="0"/>
    </xf>
    <xf numFmtId="0" fontId="86" fillId="2" borderId="0" xfId="0" applyFont="1" applyFill="1" applyProtection="1">
      <protection locked="0"/>
    </xf>
    <xf numFmtId="0" fontId="87" fillId="2" borderId="0" xfId="0" applyFont="1" applyFill="1" applyAlignment="1" applyProtection="1">
      <alignment horizontal="center"/>
      <protection locked="0"/>
    </xf>
    <xf numFmtId="173" fontId="79" fillId="2" borderId="0" xfId="0" applyNumberFormat="1" applyFont="1" applyFill="1" applyAlignment="1" applyProtection="1">
      <alignment horizontal="left"/>
      <protection locked="0"/>
    </xf>
    <xf numFmtId="0" fontId="27" fillId="3" borderId="0" xfId="0" applyFont="1" applyFill="1" applyAlignment="1" applyProtection="1">
      <alignment horizontal="left" vertical="center"/>
      <protection locked="0"/>
    </xf>
    <xf numFmtId="0" fontId="39" fillId="3" borderId="0" xfId="0" applyFont="1" applyFill="1" applyAlignment="1" applyProtection="1">
      <alignment horizontal="center" vertical="center"/>
      <protection locked="0"/>
    </xf>
    <xf numFmtId="0" fontId="39" fillId="3" borderId="0" xfId="0" applyFont="1" applyFill="1" applyProtection="1">
      <protection locked="0"/>
    </xf>
    <xf numFmtId="0" fontId="34" fillId="3" borderId="0" xfId="0" applyFont="1" applyFill="1" applyAlignment="1" applyProtection="1">
      <alignment horizontal="center"/>
      <protection locked="0"/>
    </xf>
    <xf numFmtId="173" fontId="13" fillId="3" borderId="0" xfId="0" applyNumberFormat="1" applyFont="1" applyFill="1" applyAlignment="1" applyProtection="1">
      <alignment horizontal="left"/>
      <protection locked="0"/>
    </xf>
    <xf numFmtId="0" fontId="19" fillId="3" borderId="0" xfId="0" applyFont="1" applyFill="1" applyAlignment="1" applyProtection="1">
      <alignment horizontal="center" vertical="center"/>
      <protection locked="0"/>
    </xf>
    <xf numFmtId="2" fontId="13" fillId="3" borderId="0" xfId="0" applyNumberFormat="1" applyFont="1" applyFill="1" applyAlignment="1" applyProtection="1">
      <alignment vertical="center" wrapText="1"/>
      <protection locked="0"/>
    </xf>
    <xf numFmtId="171" fontId="19" fillId="3" borderId="1" xfId="0" applyNumberFormat="1" applyFont="1" applyFill="1" applyBorder="1" applyAlignment="1" applyProtection="1">
      <alignment horizontal="right" vertical="center" wrapText="1"/>
      <protection locked="0"/>
    </xf>
    <xf numFmtId="2" fontId="19" fillId="3" borderId="1" xfId="0" applyNumberFormat="1" applyFont="1" applyFill="1" applyBorder="1" applyAlignment="1" applyProtection="1">
      <alignment horizontal="center" vertical="center" wrapText="1"/>
      <protection locked="0"/>
    </xf>
    <xf numFmtId="2" fontId="4" fillId="3" borderId="1" xfId="0" applyNumberFormat="1" applyFont="1" applyFill="1" applyBorder="1" applyAlignment="1" applyProtection="1">
      <alignment horizontal="center"/>
      <protection hidden="1"/>
    </xf>
    <xf numFmtId="164" fontId="13" fillId="3" borderId="1" xfId="0" applyNumberFormat="1" applyFont="1" applyFill="1" applyBorder="1" applyProtection="1">
      <protection hidden="1"/>
    </xf>
    <xf numFmtId="2" fontId="7" fillId="9" borderId="1" xfId="0" applyNumberFormat="1" applyFont="1" applyFill="1" applyBorder="1" applyAlignment="1" applyProtection="1">
      <alignment horizontal="right"/>
      <protection hidden="1"/>
    </xf>
    <xf numFmtId="164" fontId="4" fillId="2" borderId="1" xfId="0" applyNumberFormat="1" applyFont="1" applyFill="1" applyBorder="1" applyAlignment="1">
      <alignment horizontal="center" vertical="center"/>
    </xf>
    <xf numFmtId="0" fontId="55" fillId="0" borderId="0" xfId="0" applyFont="1" applyAlignment="1" applyProtection="1">
      <alignment vertical="center"/>
      <protection locked="0"/>
    </xf>
    <xf numFmtId="0" fontId="79" fillId="0" borderId="0" xfId="0" applyFont="1" applyAlignment="1" applyProtection="1">
      <alignment vertical="center"/>
      <protection locked="0"/>
    </xf>
    <xf numFmtId="179" fontId="19" fillId="3" borderId="1" xfId="2" applyNumberFormat="1" applyFont="1" applyFill="1" applyBorder="1" applyAlignment="1" applyProtection="1">
      <alignment horizontal="center"/>
      <protection locked="0"/>
    </xf>
    <xf numFmtId="179" fontId="4" fillId="3" borderId="0" xfId="0" applyNumberFormat="1" applyFont="1" applyFill="1" applyAlignment="1" applyProtection="1">
      <alignment horizontal="left"/>
      <protection locked="0"/>
    </xf>
    <xf numFmtId="0" fontId="28" fillId="3" borderId="2" xfId="0" applyFont="1" applyFill="1" applyBorder="1" applyAlignment="1" applyProtection="1">
      <alignment horizontal="left" vertical="center"/>
      <protection hidden="1"/>
    </xf>
    <xf numFmtId="0" fontId="19" fillId="3" borderId="8" xfId="0" applyFont="1" applyFill="1" applyBorder="1" applyAlignment="1" applyProtection="1">
      <alignment horizontal="center" vertical="center" wrapText="1"/>
      <protection hidden="1"/>
    </xf>
    <xf numFmtId="0" fontId="19" fillId="3" borderId="6" xfId="0" applyFont="1" applyFill="1" applyBorder="1" applyAlignment="1" applyProtection="1">
      <alignment horizontal="center" vertical="center" wrapText="1"/>
      <protection hidden="1"/>
    </xf>
    <xf numFmtId="0" fontId="19" fillId="3" borderId="4" xfId="0" applyFont="1" applyFill="1" applyBorder="1" applyAlignment="1" applyProtection="1">
      <alignment horizontal="center" vertical="center" wrapText="1"/>
      <protection hidden="1"/>
    </xf>
    <xf numFmtId="0" fontId="19" fillId="3" borderId="9" xfId="0" applyFont="1" applyFill="1" applyBorder="1" applyAlignment="1" applyProtection="1">
      <alignment horizontal="center" vertical="center" wrapText="1"/>
      <protection hidden="1"/>
    </xf>
    <xf numFmtId="2" fontId="57" fillId="4" borderId="1" xfId="0" applyNumberFormat="1" applyFont="1" applyFill="1" applyBorder="1" applyAlignment="1" applyProtection="1">
      <alignment horizontal="right"/>
      <protection hidden="1"/>
    </xf>
    <xf numFmtId="2" fontId="5" fillId="4" borderId="1" xfId="0" quotePrefix="1" applyNumberFormat="1" applyFont="1" applyFill="1" applyBorder="1" applyAlignment="1" applyProtection="1">
      <alignment horizontal="center"/>
      <protection hidden="1"/>
    </xf>
    <xf numFmtId="164" fontId="103" fillId="0" borderId="1" xfId="0" applyNumberFormat="1" applyFont="1" applyBorder="1" applyAlignment="1" applyProtection="1">
      <alignment horizontal="right"/>
      <protection hidden="1"/>
    </xf>
    <xf numFmtId="1" fontId="0" fillId="10" borderId="0" xfId="0" applyNumberFormat="1" applyFill="1" applyProtection="1">
      <protection hidden="1"/>
    </xf>
    <xf numFmtId="1" fontId="40" fillId="10" borderId="0" xfId="0" applyNumberFormat="1" applyFont="1" applyFill="1" applyProtection="1">
      <protection hidden="1"/>
    </xf>
    <xf numFmtId="1" fontId="66" fillId="0" borderId="0" xfId="0" applyNumberFormat="1" applyFont="1" applyAlignment="1" applyProtection="1">
      <alignment horizontal="center"/>
      <protection hidden="1"/>
    </xf>
    <xf numFmtId="1" fontId="66" fillId="3" borderId="0" xfId="0" applyNumberFormat="1" applyFont="1" applyFill="1" applyProtection="1">
      <protection hidden="1"/>
    </xf>
    <xf numFmtId="1" fontId="65" fillId="3" borderId="0" xfId="0" applyNumberFormat="1" applyFont="1" applyFill="1" applyProtection="1">
      <protection hidden="1"/>
    </xf>
    <xf numFmtId="1" fontId="104" fillId="0" borderId="1" xfId="0" applyNumberFormat="1" applyFont="1" applyBorder="1" applyAlignment="1" applyProtection="1">
      <alignment horizontal="center"/>
      <protection hidden="1"/>
    </xf>
    <xf numFmtId="1" fontId="66" fillId="10" borderId="0" xfId="0" applyNumberFormat="1" applyFont="1" applyFill="1" applyProtection="1">
      <protection hidden="1"/>
    </xf>
    <xf numFmtId="1" fontId="105" fillId="0" borderId="0" xfId="0" applyNumberFormat="1" applyFont="1" applyProtection="1">
      <protection hidden="1"/>
    </xf>
    <xf numFmtId="1" fontId="105" fillId="0" borderId="0" xfId="0" applyNumberFormat="1" applyFont="1" applyAlignment="1" applyProtection="1">
      <alignment horizontal="center"/>
      <protection hidden="1"/>
    </xf>
    <xf numFmtId="1" fontId="105" fillId="3" borderId="0" xfId="0" applyNumberFormat="1" applyFont="1" applyFill="1" applyProtection="1">
      <protection hidden="1"/>
    </xf>
    <xf numFmtId="1" fontId="103" fillId="3" borderId="0" xfId="0" applyNumberFormat="1" applyFont="1" applyFill="1" applyProtection="1">
      <protection hidden="1"/>
    </xf>
    <xf numFmtId="1" fontId="106" fillId="0" borderId="1" xfId="0" applyNumberFormat="1" applyFont="1" applyBorder="1" applyAlignment="1" applyProtection="1">
      <alignment horizontal="center"/>
      <protection hidden="1"/>
    </xf>
    <xf numFmtId="1" fontId="105" fillId="10" borderId="0" xfId="0" applyNumberFormat="1" applyFont="1" applyFill="1" applyProtection="1">
      <protection hidden="1"/>
    </xf>
    <xf numFmtId="164" fontId="103" fillId="3" borderId="1" xfId="0" applyNumberFormat="1" applyFont="1" applyFill="1" applyBorder="1" applyAlignment="1" applyProtection="1">
      <alignment horizontal="right"/>
      <protection hidden="1"/>
    </xf>
    <xf numFmtId="2" fontId="0" fillId="9" borderId="0" xfId="0" applyNumberFormat="1" applyFill="1" applyProtection="1">
      <protection hidden="1"/>
    </xf>
    <xf numFmtId="2" fontId="15" fillId="9" borderId="1" xfId="0" applyNumberFormat="1" applyFont="1" applyFill="1" applyBorder="1" applyAlignment="1" applyProtection="1">
      <alignment horizontal="center"/>
      <protection hidden="1"/>
    </xf>
    <xf numFmtId="2" fontId="0" fillId="10" borderId="0" xfId="0" applyNumberFormat="1" applyFill="1" applyProtection="1">
      <protection hidden="1"/>
    </xf>
    <xf numFmtId="2" fontId="0" fillId="9" borderId="1" xfId="0" applyNumberFormat="1" applyFill="1" applyBorder="1" applyProtection="1">
      <protection hidden="1"/>
    </xf>
    <xf numFmtId="2" fontId="0" fillId="9" borderId="13" xfId="0" applyNumberFormat="1" applyFill="1" applyBorder="1" applyProtection="1">
      <protection hidden="1"/>
    </xf>
    <xf numFmtId="2" fontId="5" fillId="9" borderId="0" xfId="0" quotePrefix="1" applyNumberFormat="1" applyFont="1" applyFill="1" applyAlignment="1" applyProtection="1">
      <alignment horizontal="center" vertical="center"/>
      <protection hidden="1"/>
    </xf>
    <xf numFmtId="2" fontId="5" fillId="9" borderId="1" xfId="0" applyNumberFormat="1" applyFont="1" applyFill="1" applyBorder="1" applyAlignment="1" applyProtection="1">
      <alignment horizontal="right"/>
      <protection hidden="1"/>
    </xf>
    <xf numFmtId="2" fontId="5" fillId="9" borderId="1" xfId="0" quotePrefix="1" applyNumberFormat="1" applyFont="1" applyFill="1" applyBorder="1" applyAlignment="1" applyProtection="1">
      <alignment horizontal="center"/>
      <protection hidden="1"/>
    </xf>
    <xf numFmtId="2" fontId="5" fillId="9" borderId="1" xfId="0" quotePrefix="1" applyNumberFormat="1" applyFont="1" applyFill="1" applyBorder="1" applyAlignment="1" applyProtection="1">
      <alignment horizontal="right"/>
      <protection hidden="1"/>
    </xf>
    <xf numFmtId="2" fontId="7" fillId="9" borderId="15" xfId="0" applyNumberFormat="1" applyFont="1" applyFill="1" applyBorder="1" applyAlignment="1" applyProtection="1">
      <alignment horizontal="right"/>
      <protection hidden="1"/>
    </xf>
    <xf numFmtId="2" fontId="5" fillId="9" borderId="15" xfId="0" applyNumberFormat="1" applyFont="1" applyFill="1" applyBorder="1" applyAlignment="1" applyProtection="1">
      <alignment horizontal="right"/>
      <protection hidden="1"/>
    </xf>
    <xf numFmtId="2" fontId="65" fillId="9" borderId="1" xfId="0" applyNumberFormat="1" applyFont="1" applyFill="1" applyBorder="1" applyAlignment="1" applyProtection="1">
      <alignment horizontal="right"/>
      <protection hidden="1"/>
    </xf>
    <xf numFmtId="1" fontId="5" fillId="10" borderId="1" xfId="0" applyNumberFormat="1" applyFont="1" applyFill="1" applyBorder="1" applyAlignment="1" applyProtection="1">
      <alignment horizontal="left"/>
      <protection hidden="1"/>
    </xf>
    <xf numFmtId="1" fontId="5" fillId="10" borderId="0" xfId="0" applyNumberFormat="1" applyFont="1" applyFill="1" applyAlignment="1" applyProtection="1">
      <alignment horizontal="left"/>
      <protection hidden="1"/>
    </xf>
    <xf numFmtId="0" fontId="23" fillId="3" borderId="1" xfId="0" applyFont="1" applyFill="1" applyBorder="1" applyAlignment="1">
      <alignment horizontal="center"/>
    </xf>
    <xf numFmtId="0" fontId="22" fillId="0" borderId="3" xfId="0" applyFont="1" applyBorder="1" applyAlignment="1">
      <alignment vertical="center"/>
    </xf>
    <xf numFmtId="164" fontId="20" fillId="5" borderId="1" xfId="3" applyNumberFormat="1" applyFont="1" applyFill="1" applyBorder="1" applyAlignment="1">
      <alignment horizontal="center" vertical="center" wrapText="1"/>
    </xf>
    <xf numFmtId="164" fontId="20" fillId="0" borderId="1" xfId="3" applyNumberFormat="1" applyFont="1" applyBorder="1" applyAlignment="1">
      <alignment horizontal="right" vertical="center"/>
    </xf>
    <xf numFmtId="0" fontId="21" fillId="0" borderId="1" xfId="0" applyFont="1" applyBorder="1" applyAlignment="1">
      <alignment horizontal="right"/>
    </xf>
    <xf numFmtId="164" fontId="20" fillId="0" borderId="1" xfId="3" applyNumberFormat="1" applyFont="1" applyBorder="1" applyAlignment="1">
      <alignment horizontal="right" vertical="center" wrapText="1"/>
    </xf>
    <xf numFmtId="164" fontId="21" fillId="5" borderId="1" xfId="0" applyNumberFormat="1" applyFont="1" applyFill="1" applyBorder="1" applyAlignment="1">
      <alignment horizontal="center"/>
    </xf>
    <xf numFmtId="164" fontId="21" fillId="0" borderId="1" xfId="0" applyNumberFormat="1" applyFont="1" applyBorder="1"/>
    <xf numFmtId="0" fontId="21" fillId="0" borderId="1" xfId="0" applyFont="1" applyBorder="1"/>
    <xf numFmtId="0" fontId="21" fillId="0" borderId="0" xfId="0" applyFont="1"/>
    <xf numFmtId="0" fontId="21" fillId="4" borderId="0" xfId="0" applyFont="1" applyFill="1"/>
    <xf numFmtId="164" fontId="5" fillId="0" borderId="1" xfId="0" quotePrefix="1" applyNumberFormat="1" applyFont="1" applyBorder="1" applyAlignment="1">
      <alignment horizontal="right"/>
    </xf>
    <xf numFmtId="14" fontId="21" fillId="7" borderId="6" xfId="0" quotePrefix="1" applyNumberFormat="1" applyFont="1" applyFill="1" applyBorder="1" applyAlignment="1">
      <alignment horizontal="left" vertical="center"/>
    </xf>
    <xf numFmtId="164" fontId="21" fillId="0" borderId="1" xfId="0" applyNumberFormat="1" applyFont="1" applyBorder="1" applyAlignment="1">
      <alignment horizontal="right"/>
    </xf>
    <xf numFmtId="0" fontId="0" fillId="0" borderId="1" xfId="0" applyBorder="1"/>
    <xf numFmtId="0" fontId="18" fillId="0" borderId="1" xfId="4" applyFont="1" applyBorder="1" applyAlignment="1">
      <alignment horizontal="center" vertical="center"/>
    </xf>
    <xf numFmtId="171" fontId="18" fillId="0" borderId="1" xfId="4" applyNumberFormat="1" applyFont="1" applyBorder="1" applyAlignment="1">
      <alignment horizontal="center" vertical="center"/>
    </xf>
    <xf numFmtId="0" fontId="18" fillId="4" borderId="1" xfId="4" applyFont="1" applyFill="1" applyBorder="1" applyAlignment="1">
      <alignment horizontal="center" vertical="center"/>
    </xf>
    <xf numFmtId="171" fontId="18" fillId="4" borderId="1" xfId="4" applyNumberFormat="1" applyFont="1" applyFill="1" applyBorder="1" applyAlignment="1">
      <alignment horizontal="center" vertical="center"/>
    </xf>
    <xf numFmtId="0" fontId="0" fillId="11" borderId="1" xfId="0" applyFill="1" applyBorder="1"/>
    <xf numFmtId="0" fontId="0" fillId="3" borderId="1" xfId="0" applyFill="1" applyBorder="1"/>
    <xf numFmtId="0" fontId="107" fillId="3" borderId="0" xfId="0" applyFont="1" applyFill="1" applyAlignment="1" applyProtection="1">
      <alignment horizontal="left" vertical="center"/>
      <protection locked="0"/>
    </xf>
    <xf numFmtId="0" fontId="21" fillId="0" borderId="0" xfId="0" applyFont="1" applyAlignment="1">
      <alignment horizontal="left"/>
    </xf>
    <xf numFmtId="1" fontId="7" fillId="3" borderId="0" xfId="0" applyNumberFormat="1" applyFont="1" applyFill="1" applyAlignment="1" applyProtection="1">
      <alignment horizontal="left"/>
      <protection hidden="1"/>
    </xf>
    <xf numFmtId="0" fontId="7" fillId="3" borderId="0" xfId="0" applyFont="1" applyFill="1" applyAlignment="1">
      <alignment horizontal="left"/>
    </xf>
    <xf numFmtId="0" fontId="7" fillId="3" borderId="0" xfId="0" applyFont="1" applyFill="1" applyAlignment="1">
      <alignment horizontal="left" vertical="center"/>
    </xf>
    <xf numFmtId="0" fontId="83" fillId="3" borderId="0" xfId="0" applyFont="1" applyFill="1" applyAlignment="1" applyProtection="1">
      <alignment horizontal="left" vertical="center"/>
      <protection hidden="1"/>
    </xf>
    <xf numFmtId="0" fontId="19" fillId="3" borderId="1" xfId="0" applyFont="1" applyFill="1" applyBorder="1" applyAlignment="1" applyProtection="1">
      <alignment vertical="center" wrapText="1"/>
      <protection hidden="1"/>
    </xf>
    <xf numFmtId="0" fontId="19" fillId="3" borderId="8" xfId="0" applyFont="1" applyFill="1" applyBorder="1" applyAlignment="1" applyProtection="1">
      <alignment vertical="center" wrapText="1"/>
      <protection hidden="1"/>
    </xf>
    <xf numFmtId="0" fontId="19" fillId="3" borderId="6" xfId="0" applyFont="1" applyFill="1" applyBorder="1" applyAlignment="1" applyProtection="1">
      <alignment vertical="center" wrapText="1"/>
      <protection hidden="1"/>
    </xf>
    <xf numFmtId="0" fontId="19" fillId="3" borderId="9" xfId="0" applyFont="1" applyFill="1" applyBorder="1" applyAlignment="1" applyProtection="1">
      <alignment vertical="center" wrapText="1"/>
      <protection hidden="1"/>
    </xf>
    <xf numFmtId="0" fontId="4" fillId="3" borderId="1" xfId="0" applyFont="1" applyFill="1" applyBorder="1" applyAlignment="1" applyProtection="1">
      <alignment horizontal="right" vertical="center"/>
      <protection locked="0"/>
    </xf>
    <xf numFmtId="164" fontId="28" fillId="3" borderId="1" xfId="0" applyNumberFormat="1" applyFont="1" applyFill="1" applyBorder="1" applyAlignment="1" applyProtection="1">
      <alignment horizontal="right" vertical="center"/>
      <protection locked="0"/>
    </xf>
    <xf numFmtId="164" fontId="91" fillId="0" borderId="1" xfId="4" applyNumberFormat="1" applyFont="1" applyBorder="1" applyAlignment="1" applyProtection="1">
      <alignment horizontal="right" vertical="center"/>
      <protection locked="0"/>
    </xf>
    <xf numFmtId="0" fontId="4" fillId="3" borderId="0" xfId="0" applyFont="1" applyFill="1" applyAlignment="1" applyProtection="1">
      <alignment horizontal="center"/>
      <protection locked="0"/>
    </xf>
    <xf numFmtId="9" fontId="4" fillId="3" borderId="0" xfId="0" applyNumberFormat="1" applyFont="1" applyFill="1" applyAlignment="1" applyProtection="1">
      <alignment horizontal="center"/>
      <protection locked="0"/>
    </xf>
    <xf numFmtId="0" fontId="108" fillId="4" borderId="1" xfId="0" quotePrefix="1" applyFont="1" applyFill="1" applyBorder="1" applyAlignment="1">
      <alignment horizontal="left" vertical="center"/>
    </xf>
    <xf numFmtId="0" fontId="79" fillId="3" borderId="12" xfId="0" applyFont="1" applyFill="1" applyBorder="1" applyAlignment="1" applyProtection="1">
      <alignment horizontal="center" vertical="center"/>
      <protection locked="0"/>
    </xf>
    <xf numFmtId="0" fontId="79" fillId="3" borderId="0" xfId="0" applyFont="1" applyFill="1" applyAlignment="1" applyProtection="1">
      <alignment horizontal="center" vertical="center"/>
      <protection locked="0"/>
    </xf>
    <xf numFmtId="0" fontId="79" fillId="3" borderId="0" xfId="0" applyFont="1" applyFill="1" applyAlignment="1" applyProtection="1">
      <alignment horizontal="center" vertical="center"/>
      <protection hidden="1"/>
    </xf>
    <xf numFmtId="0" fontId="55" fillId="0" borderId="12" xfId="0" applyFont="1" applyBorder="1" applyAlignment="1">
      <alignment horizontal="center" vertical="center"/>
    </xf>
    <xf numFmtId="0" fontId="55" fillId="0" borderId="0" xfId="0" applyFont="1" applyAlignment="1">
      <alignment horizontal="center" vertical="center"/>
    </xf>
    <xf numFmtId="0" fontId="91" fillId="0" borderId="0" xfId="0" applyFont="1" applyAlignment="1">
      <alignment horizontal="center" vertical="center"/>
    </xf>
    <xf numFmtId="0" fontId="91" fillId="0" borderId="12" xfId="0" applyFont="1" applyBorder="1" applyAlignment="1">
      <alignment horizontal="center" vertical="center"/>
    </xf>
    <xf numFmtId="1" fontId="5" fillId="10" borderId="13" xfId="0" applyNumberFormat="1" applyFont="1" applyFill="1" applyBorder="1" applyAlignment="1" applyProtection="1">
      <alignment horizontal="left"/>
      <protection hidden="1"/>
    </xf>
    <xf numFmtId="1" fontId="5" fillId="0" borderId="0" xfId="0" applyNumberFormat="1" applyFont="1" applyAlignment="1" applyProtection="1">
      <alignment horizontal="left"/>
      <protection hidden="1"/>
    </xf>
    <xf numFmtId="0" fontId="7" fillId="0" borderId="0" xfId="0" applyFont="1" applyAlignment="1">
      <alignment horizontal="left"/>
    </xf>
    <xf numFmtId="1" fontId="4" fillId="3" borderId="0" xfId="0" applyNumberFormat="1" applyFont="1" applyFill="1"/>
    <xf numFmtId="178" fontId="4" fillId="3" borderId="0" xfId="0" applyNumberFormat="1" applyFont="1" applyFill="1"/>
    <xf numFmtId="1" fontId="34" fillId="3" borderId="0" xfId="0" applyNumberFormat="1" applyFont="1" applyFill="1"/>
    <xf numFmtId="1" fontId="28" fillId="3" borderId="3" xfId="0" applyNumberFormat="1" applyFont="1" applyFill="1" applyBorder="1"/>
    <xf numFmtId="1" fontId="28" fillId="3" borderId="13" xfId="0" applyNumberFormat="1" applyFont="1" applyFill="1" applyBorder="1"/>
    <xf numFmtId="1" fontId="28" fillId="3" borderId="3" xfId="0" applyNumberFormat="1" applyFont="1" applyFill="1" applyBorder="1" applyAlignment="1">
      <alignment horizontal="right" wrapText="1"/>
    </xf>
    <xf numFmtId="1" fontId="28" fillId="3" borderId="13" xfId="0" applyNumberFormat="1" applyFont="1" applyFill="1" applyBorder="1" applyAlignment="1">
      <alignment horizontal="left" wrapText="1"/>
    </xf>
    <xf numFmtId="1" fontId="4" fillId="3" borderId="0" xfId="0" applyNumberFormat="1" applyFont="1" applyFill="1" applyAlignment="1">
      <alignment horizontal="left" wrapText="1"/>
    </xf>
    <xf numFmtId="1" fontId="14" fillId="3" borderId="0" xfId="0" applyNumberFormat="1" applyFont="1" applyFill="1" applyAlignment="1">
      <alignment horizontal="left" wrapText="1"/>
    </xf>
    <xf numFmtId="172" fontId="14" fillId="3" borderId="0" xfId="0" applyNumberFormat="1" applyFont="1" applyFill="1" applyAlignment="1">
      <alignment horizontal="right" wrapText="1"/>
    </xf>
    <xf numFmtId="172" fontId="4" fillId="3" borderId="0" xfId="0" applyNumberFormat="1" applyFont="1" applyFill="1" applyAlignment="1">
      <alignment horizontal="right" wrapText="1"/>
    </xf>
    <xf numFmtId="1" fontId="48" fillId="3" borderId="3" xfId="0" applyNumberFormat="1" applyFont="1" applyFill="1" applyBorder="1"/>
    <xf numFmtId="1" fontId="48" fillId="3" borderId="13" xfId="0" applyNumberFormat="1" applyFont="1" applyFill="1" applyBorder="1"/>
    <xf numFmtId="1" fontId="45" fillId="3" borderId="0" xfId="0" applyNumberFormat="1" applyFont="1" applyFill="1"/>
    <xf numFmtId="178" fontId="45" fillId="3" borderId="0" xfId="0" applyNumberFormat="1" applyFont="1" applyFill="1"/>
    <xf numFmtId="1" fontId="48" fillId="3" borderId="3" xfId="0" applyNumberFormat="1" applyFont="1" applyFill="1" applyBorder="1" applyAlignment="1">
      <alignment horizontal="right" wrapText="1"/>
    </xf>
    <xf numFmtId="1" fontId="48" fillId="3" borderId="13" xfId="0" applyNumberFormat="1" applyFont="1" applyFill="1" applyBorder="1" applyAlignment="1">
      <alignment horizontal="left" wrapText="1"/>
    </xf>
    <xf numFmtId="1" fontId="45" fillId="3" borderId="0" xfId="0" applyNumberFormat="1" applyFont="1" applyFill="1" applyAlignment="1">
      <alignment horizontal="left" wrapText="1"/>
    </xf>
    <xf numFmtId="1" fontId="49" fillId="3" borderId="0" xfId="0" applyNumberFormat="1" applyFont="1" applyFill="1" applyAlignment="1">
      <alignment horizontal="left" wrapText="1"/>
    </xf>
    <xf numFmtId="172" fontId="49" fillId="3" borderId="0" xfId="0" applyNumberFormat="1" applyFont="1" applyFill="1" applyAlignment="1">
      <alignment horizontal="right" wrapText="1"/>
    </xf>
    <xf numFmtId="172" fontId="45" fillId="3" borderId="0" xfId="0" applyNumberFormat="1" applyFont="1" applyFill="1" applyAlignment="1">
      <alignment horizontal="right" wrapText="1"/>
    </xf>
    <xf numFmtId="164" fontId="99" fillId="3" borderId="0" xfId="0" applyNumberFormat="1" applyFont="1" applyFill="1" applyAlignment="1">
      <alignment horizontal="right"/>
    </xf>
    <xf numFmtId="1" fontId="99" fillId="3" borderId="0" xfId="0" applyNumberFormat="1" applyFont="1" applyFill="1"/>
    <xf numFmtId="164" fontId="93" fillId="3" borderId="0" xfId="0" applyNumberFormat="1" applyFont="1" applyFill="1" applyAlignment="1">
      <alignment horizontal="right"/>
    </xf>
    <xf numFmtId="1" fontId="93" fillId="3" borderId="0" xfId="0" applyNumberFormat="1" applyFont="1" applyFill="1"/>
    <xf numFmtId="1" fontId="35" fillId="3" borderId="16" xfId="0" applyNumberFormat="1" applyFont="1" applyFill="1" applyBorder="1" applyAlignment="1">
      <alignment horizontal="center" wrapText="1"/>
    </xf>
    <xf numFmtId="1" fontId="28" fillId="3" borderId="16" xfId="0" applyNumberFormat="1" applyFont="1" applyFill="1" applyBorder="1" applyAlignment="1">
      <alignment horizontal="center" wrapText="1"/>
    </xf>
    <xf numFmtId="1" fontId="28" fillId="3" borderId="0" xfId="0" applyNumberFormat="1" applyFont="1" applyFill="1"/>
    <xf numFmtId="1" fontId="94" fillId="3" borderId="16" xfId="0" applyNumberFormat="1" applyFont="1" applyFill="1" applyBorder="1" applyAlignment="1">
      <alignment horizontal="center" wrapText="1"/>
    </xf>
    <xf numFmtId="178" fontId="48" fillId="3" borderId="16" xfId="0" applyNumberFormat="1" applyFont="1" applyFill="1" applyBorder="1" applyAlignment="1">
      <alignment horizontal="center" wrapText="1"/>
    </xf>
    <xf numFmtId="1" fontId="48" fillId="3" borderId="0" xfId="0" applyNumberFormat="1" applyFont="1" applyFill="1"/>
    <xf numFmtId="1" fontId="48" fillId="3" borderId="16" xfId="0" applyNumberFormat="1" applyFont="1" applyFill="1" applyBorder="1" applyAlignment="1">
      <alignment horizontal="center" wrapText="1"/>
    </xf>
    <xf numFmtId="1" fontId="4" fillId="3" borderId="16" xfId="0" applyNumberFormat="1" applyFont="1" applyFill="1" applyBorder="1" applyAlignment="1">
      <alignment horizontal="left" wrapText="1"/>
    </xf>
    <xf numFmtId="1" fontId="4" fillId="3" borderId="16" xfId="0" applyNumberFormat="1" applyFont="1" applyFill="1" applyBorder="1" applyAlignment="1">
      <alignment horizontal="center"/>
    </xf>
    <xf numFmtId="1" fontId="4" fillId="3" borderId="16" xfId="0" applyNumberFormat="1" applyFont="1" applyFill="1" applyBorder="1" applyAlignment="1">
      <alignment horizontal="center" wrapText="1"/>
    </xf>
    <xf numFmtId="165" fontId="4" fillId="3" borderId="16" xfId="0" applyNumberFormat="1" applyFont="1" applyFill="1" applyBorder="1" applyAlignment="1">
      <alignment horizontal="right" wrapText="1"/>
    </xf>
    <xf numFmtId="1" fontId="4" fillId="3" borderId="16" xfId="0" applyNumberFormat="1" applyFont="1" applyFill="1" applyBorder="1" applyAlignment="1">
      <alignment horizontal="right" wrapText="1"/>
    </xf>
    <xf numFmtId="172" fontId="4" fillId="3" borderId="16" xfId="0" applyNumberFormat="1" applyFont="1" applyFill="1" applyBorder="1" applyAlignment="1">
      <alignment horizontal="right" wrapText="1"/>
    </xf>
    <xf numFmtId="1" fontId="45" fillId="3" borderId="16" xfId="0" applyNumberFormat="1" applyFont="1" applyFill="1" applyBorder="1" applyAlignment="1">
      <alignment horizontal="left" wrapText="1"/>
    </xf>
    <xf numFmtId="1" fontId="45" fillId="3" borderId="16" xfId="0" applyNumberFormat="1" applyFont="1" applyFill="1" applyBorder="1" applyAlignment="1">
      <alignment horizontal="center"/>
    </xf>
    <xf numFmtId="1" fontId="45" fillId="3" borderId="16" xfId="0" applyNumberFormat="1" applyFont="1" applyFill="1" applyBorder="1" applyAlignment="1">
      <alignment horizontal="center" wrapText="1"/>
    </xf>
    <xf numFmtId="165" fontId="45" fillId="3" borderId="16" xfId="0" applyNumberFormat="1" applyFont="1" applyFill="1" applyBorder="1" applyAlignment="1">
      <alignment horizontal="right" wrapText="1"/>
    </xf>
    <xf numFmtId="1" fontId="45" fillId="3" borderId="16" xfId="0" applyNumberFormat="1" applyFont="1" applyFill="1" applyBorder="1" applyAlignment="1">
      <alignment horizontal="right" wrapText="1"/>
    </xf>
    <xf numFmtId="172" fontId="45" fillId="3" borderId="16" xfId="0" applyNumberFormat="1" applyFont="1" applyFill="1" applyBorder="1" applyAlignment="1">
      <alignment horizontal="right" wrapText="1"/>
    </xf>
    <xf numFmtId="178" fontId="45" fillId="3" borderId="16" xfId="0" applyNumberFormat="1" applyFont="1" applyFill="1" applyBorder="1" applyAlignment="1">
      <alignment horizontal="right" wrapText="1"/>
    </xf>
    <xf numFmtId="165" fontId="45" fillId="3" borderId="1" xfId="0" applyNumberFormat="1" applyFont="1" applyFill="1" applyBorder="1"/>
    <xf numFmtId="0" fontId="19" fillId="3" borderId="0" xfId="0" applyFont="1" applyFill="1" applyAlignment="1">
      <alignment horizontal="center" vertical="center" wrapText="1"/>
    </xf>
    <xf numFmtId="177" fontId="45" fillId="3" borderId="16" xfId="0" applyNumberFormat="1" applyFont="1" applyFill="1" applyBorder="1" applyAlignment="1">
      <alignment horizontal="right" wrapText="1"/>
    </xf>
    <xf numFmtId="164" fontId="19" fillId="3" borderId="0" xfId="0" applyNumberFormat="1" applyFont="1" applyFill="1" applyAlignment="1">
      <alignment horizontal="center" vertical="center" wrapText="1"/>
    </xf>
    <xf numFmtId="165" fontId="4" fillId="3" borderId="0" xfId="0" applyNumberFormat="1" applyFont="1" applyFill="1" applyAlignment="1">
      <alignment horizontal="right" wrapText="1"/>
    </xf>
    <xf numFmtId="165" fontId="45" fillId="3" borderId="0" xfId="0" applyNumberFormat="1" applyFont="1" applyFill="1" applyAlignment="1">
      <alignment horizontal="right" wrapText="1"/>
    </xf>
    <xf numFmtId="1" fontId="4" fillId="3" borderId="17" xfId="0" applyNumberFormat="1" applyFont="1" applyFill="1" applyBorder="1" applyAlignment="1">
      <alignment horizontal="left" wrapText="1"/>
    </xf>
    <xf numFmtId="172" fontId="14" fillId="3" borderId="16" xfId="0" applyNumberFormat="1" applyFont="1" applyFill="1" applyBorder="1" applyAlignment="1">
      <alignment horizontal="right" wrapText="1"/>
    </xf>
    <xf numFmtId="1" fontId="45" fillId="3" borderId="17" xfId="0" applyNumberFormat="1" applyFont="1" applyFill="1" applyBorder="1" applyAlignment="1">
      <alignment horizontal="left" wrapText="1"/>
    </xf>
    <xf numFmtId="178" fontId="49" fillId="3" borderId="16" xfId="0" applyNumberFormat="1" applyFont="1" applyFill="1" applyBorder="1" applyAlignment="1">
      <alignment horizontal="right" wrapText="1"/>
    </xf>
    <xf numFmtId="172" fontId="49" fillId="3" borderId="16" xfId="0" applyNumberFormat="1" applyFont="1" applyFill="1" applyBorder="1" applyAlignment="1">
      <alignment horizontal="right" wrapText="1"/>
    </xf>
    <xf numFmtId="0" fontId="4" fillId="3" borderId="1" xfId="0" applyFont="1" applyFill="1" applyBorder="1" applyAlignment="1">
      <alignment horizontal="center" vertical="center"/>
    </xf>
    <xf numFmtId="164" fontId="14" fillId="3" borderId="16" xfId="0" applyNumberFormat="1" applyFont="1" applyFill="1" applyBorder="1" applyAlignment="1">
      <alignment horizontal="right" wrapText="1"/>
    </xf>
    <xf numFmtId="165" fontId="49" fillId="3" borderId="16" xfId="0" applyNumberFormat="1" applyFont="1" applyFill="1" applyBorder="1" applyAlignment="1">
      <alignment horizontal="right" wrapText="1"/>
    </xf>
    <xf numFmtId="178" fontId="45" fillId="3" borderId="0" xfId="0" applyNumberFormat="1" applyFont="1" applyFill="1" applyAlignment="1">
      <alignment horizontal="right" wrapText="1"/>
    </xf>
    <xf numFmtId="172" fontId="4" fillId="3" borderId="16" xfId="0" applyNumberFormat="1" applyFont="1" applyFill="1" applyBorder="1"/>
    <xf numFmtId="178" fontId="45" fillId="3" borderId="16" xfId="0" applyNumberFormat="1" applyFont="1" applyFill="1" applyBorder="1"/>
    <xf numFmtId="1" fontId="19" fillId="3" borderId="0" xfId="0" applyNumberFormat="1" applyFont="1" applyFill="1"/>
    <xf numFmtId="1" fontId="28" fillId="3" borderId="0" xfId="0" applyNumberFormat="1" applyFont="1" applyFill="1" applyAlignment="1">
      <alignment horizontal="center" wrapText="1"/>
    </xf>
    <xf numFmtId="172" fontId="4" fillId="3" borderId="0" xfId="0" applyNumberFormat="1" applyFont="1" applyFill="1"/>
    <xf numFmtId="0" fontId="6" fillId="3" borderId="1" xfId="0" applyFont="1" applyFill="1" applyBorder="1" applyAlignment="1" applyProtection="1">
      <alignment horizontal="center" vertical="center"/>
      <protection hidden="1"/>
    </xf>
    <xf numFmtId="1" fontId="7" fillId="0" borderId="0" xfId="0" applyNumberFormat="1" applyFont="1" applyAlignment="1" applyProtection="1">
      <alignment horizontal="left"/>
      <protection hidden="1"/>
    </xf>
    <xf numFmtId="180" fontId="7" fillId="0" borderId="1" xfId="0" applyNumberFormat="1" applyFont="1" applyBorder="1" applyAlignment="1">
      <alignment horizontal="center" vertical="center"/>
    </xf>
    <xf numFmtId="180" fontId="32" fillId="0" borderId="1" xfId="0" applyNumberFormat="1" applyFont="1" applyBorder="1" applyAlignment="1">
      <alignment horizontal="center" vertical="center"/>
    </xf>
    <xf numFmtId="0" fontId="26" fillId="3" borderId="0" xfId="0" applyFont="1" applyFill="1" applyAlignment="1" applyProtection="1">
      <alignment horizontal="right" vertical="center"/>
      <protection locked="0"/>
    </xf>
    <xf numFmtId="0" fontId="4" fillId="4" borderId="12" xfId="0" applyFont="1" applyFill="1" applyBorder="1" applyAlignment="1" applyProtection="1">
      <alignment horizontal="left" vertical="top" wrapText="1"/>
      <protection hidden="1"/>
    </xf>
    <xf numFmtId="0" fontId="4" fillId="4" borderId="3" xfId="0" applyFont="1" applyFill="1" applyBorder="1" applyAlignment="1" applyProtection="1">
      <alignment horizontal="left" vertical="top"/>
      <protection hidden="1"/>
    </xf>
    <xf numFmtId="0" fontId="53" fillId="10" borderId="0" xfId="0" applyFont="1" applyFill="1" applyAlignment="1">
      <alignment horizontal="center" vertical="center"/>
    </xf>
    <xf numFmtId="171" fontId="18" fillId="10" borderId="0" xfId="0" applyNumberFormat="1" applyFont="1" applyFill="1" applyAlignment="1">
      <alignment horizontal="center"/>
    </xf>
    <xf numFmtId="1" fontId="0" fillId="10" borderId="1" xfId="0" applyNumberFormat="1" applyFill="1" applyBorder="1" applyProtection="1">
      <protection hidden="1"/>
    </xf>
    <xf numFmtId="1" fontId="7" fillId="10" borderId="1" xfId="0" applyNumberFormat="1" applyFont="1" applyFill="1" applyBorder="1" applyProtection="1">
      <protection hidden="1"/>
    </xf>
    <xf numFmtId="0" fontId="0" fillId="10" borderId="0" xfId="0" applyFill="1"/>
    <xf numFmtId="0" fontId="6" fillId="10" borderId="1" xfId="0" applyFont="1" applyFill="1" applyBorder="1"/>
    <xf numFmtId="171" fontId="18" fillId="10" borderId="0" xfId="0" applyNumberFormat="1" applyFont="1" applyFill="1" applyAlignment="1">
      <alignment horizontal="center" vertical="center"/>
    </xf>
    <xf numFmtId="0" fontId="18" fillId="3" borderId="1" xfId="0" applyFont="1" applyFill="1" applyBorder="1" applyAlignment="1">
      <alignment horizontal="left" vertical="center"/>
    </xf>
    <xf numFmtId="0" fontId="18" fillId="7" borderId="1" xfId="0" applyFont="1" applyFill="1" applyBorder="1" applyAlignment="1">
      <alignment horizontal="center"/>
    </xf>
    <xf numFmtId="0" fontId="33" fillId="7" borderId="1" xfId="1" applyFont="1" applyFill="1" applyBorder="1" applyAlignment="1">
      <alignment horizontal="left" vertical="center"/>
    </xf>
    <xf numFmtId="0" fontId="18" fillId="7" borderId="1" xfId="0" applyFont="1" applyFill="1" applyBorder="1" applyAlignment="1">
      <alignment horizontal="left" vertical="center"/>
    </xf>
    <xf numFmtId="0" fontId="18" fillId="7" borderId="1" xfId="4" applyFont="1" applyFill="1" applyBorder="1" applyAlignment="1">
      <alignment horizontal="center" vertical="center"/>
    </xf>
    <xf numFmtId="164" fontId="7" fillId="8" borderId="1" xfId="0" applyNumberFormat="1" applyFont="1" applyFill="1" applyBorder="1" applyProtection="1">
      <protection hidden="1"/>
    </xf>
    <xf numFmtId="1" fontId="0" fillId="8" borderId="0" xfId="0" applyNumberFormat="1" applyFill="1" applyProtection="1">
      <protection hidden="1"/>
    </xf>
    <xf numFmtId="164" fontId="7" fillId="8" borderId="0" xfId="0" applyNumberFormat="1" applyFont="1" applyFill="1" applyProtection="1">
      <protection hidden="1"/>
    </xf>
    <xf numFmtId="164" fontId="0" fillId="8" borderId="0" xfId="0" applyNumberFormat="1" applyFill="1" applyProtection="1">
      <protection hidden="1"/>
    </xf>
    <xf numFmtId="0" fontId="0" fillId="8" borderId="0" xfId="0" applyFill="1"/>
    <xf numFmtId="0" fontId="32" fillId="7" borderId="0" xfId="0" applyFont="1" applyFill="1"/>
    <xf numFmtId="1" fontId="32" fillId="7" borderId="0" xfId="0" applyNumberFormat="1" applyFont="1" applyFill="1" applyProtection="1">
      <protection hidden="1"/>
    </xf>
    <xf numFmtId="1" fontId="40" fillId="7" borderId="1" xfId="0" applyNumberFormat="1" applyFont="1" applyFill="1" applyBorder="1" applyAlignment="1" applyProtection="1">
      <alignment horizontal="center"/>
      <protection hidden="1"/>
    </xf>
    <xf numFmtId="1" fontId="8" fillId="7" borderId="0" xfId="0" applyNumberFormat="1" applyFont="1" applyFill="1" applyAlignment="1" applyProtection="1">
      <alignment horizontal="left"/>
      <protection hidden="1"/>
    </xf>
    <xf numFmtId="1" fontId="8" fillId="7" borderId="1" xfId="0" applyNumberFormat="1" applyFont="1" applyFill="1" applyBorder="1" applyAlignment="1" applyProtection="1">
      <alignment horizontal="left"/>
      <protection hidden="1"/>
    </xf>
    <xf numFmtId="0" fontId="21" fillId="6" borderId="0" xfId="0" applyFont="1" applyFill="1"/>
    <xf numFmtId="0" fontId="21" fillId="10" borderId="0" xfId="0" applyFont="1" applyFill="1" applyAlignment="1">
      <alignment horizontal="left"/>
    </xf>
    <xf numFmtId="0" fontId="32" fillId="0" borderId="1" xfId="0" applyFont="1" applyBorder="1" applyAlignment="1">
      <alignment horizontal="center" vertical="center"/>
    </xf>
    <xf numFmtId="0" fontId="0" fillId="0" borderId="1" xfId="0" applyBorder="1" applyAlignment="1">
      <alignment horizontal="center"/>
    </xf>
    <xf numFmtId="0" fontId="0" fillId="0" borderId="0" xfId="0" applyAlignment="1">
      <alignment vertical="center"/>
    </xf>
    <xf numFmtId="0" fontId="32" fillId="12" borderId="1" xfId="0" applyFont="1" applyFill="1" applyBorder="1" applyAlignment="1">
      <alignment horizontal="left" vertical="center"/>
    </xf>
    <xf numFmtId="0" fontId="7" fillId="13" borderId="1" xfId="0" applyFont="1" applyFill="1" applyBorder="1"/>
    <xf numFmtId="0" fontId="32" fillId="12" borderId="1" xfId="0" applyFont="1" applyFill="1" applyBorder="1" applyAlignment="1">
      <alignment horizontal="center" vertical="center"/>
    </xf>
    <xf numFmtId="0" fontId="32" fillId="12" borderId="1" xfId="0" applyFont="1" applyFill="1" applyBorder="1" applyAlignment="1">
      <alignment horizontal="left" vertical="center" wrapText="1"/>
    </xf>
    <xf numFmtId="0" fontId="0" fillId="13" borderId="1" xfId="0" applyFill="1" applyBorder="1" applyAlignment="1">
      <alignment vertical="center"/>
    </xf>
    <xf numFmtId="0" fontId="0" fillId="13" borderId="1" xfId="0" applyFill="1" applyBorder="1"/>
    <xf numFmtId="0" fontId="0" fillId="4" borderId="1" xfId="0" applyFill="1" applyBorder="1"/>
    <xf numFmtId="0" fontId="0" fillId="4" borderId="1" xfId="0" applyFill="1" applyBorder="1" applyAlignment="1">
      <alignment horizontal="left" vertical="center"/>
    </xf>
    <xf numFmtId="0" fontId="0" fillId="14" borderId="1" xfId="0" applyFill="1" applyBorder="1"/>
    <xf numFmtId="0" fontId="7" fillId="12" borderId="1" xfId="0" applyFont="1" applyFill="1" applyBorder="1" applyAlignment="1">
      <alignment horizontal="left" vertical="center"/>
    </xf>
    <xf numFmtId="0" fontId="0" fillId="12" borderId="1" xfId="0" applyFill="1" applyBorder="1" applyAlignment="1">
      <alignment horizontal="left" vertical="center" wrapText="1"/>
    </xf>
    <xf numFmtId="1" fontId="40" fillId="12" borderId="0" xfId="0" applyNumberFormat="1" applyFont="1" applyFill="1" applyProtection="1">
      <protection hidden="1"/>
    </xf>
    <xf numFmtId="1" fontId="0" fillId="12" borderId="0" xfId="0" applyNumberFormat="1" applyFill="1" applyProtection="1">
      <protection hidden="1"/>
    </xf>
    <xf numFmtId="1" fontId="16" fillId="12" borderId="1" xfId="0" applyNumberFormat="1" applyFont="1" applyFill="1" applyBorder="1" applyAlignment="1" applyProtection="1">
      <alignment horizontal="center"/>
      <protection hidden="1"/>
    </xf>
    <xf numFmtId="1" fontId="15" fillId="12" borderId="1" xfId="0" applyNumberFormat="1" applyFont="1" applyFill="1" applyBorder="1" applyAlignment="1" applyProtection="1">
      <alignment horizontal="center"/>
      <protection hidden="1"/>
    </xf>
    <xf numFmtId="164" fontId="67" fillId="12" borderId="1" xfId="0" applyNumberFormat="1" applyFont="1" applyFill="1" applyBorder="1" applyAlignment="1" applyProtection="1">
      <alignment horizontal="center"/>
      <protection hidden="1"/>
    </xf>
    <xf numFmtId="164" fontId="7" fillId="12" borderId="1" xfId="0" applyNumberFormat="1" applyFont="1" applyFill="1" applyBorder="1" applyAlignment="1" applyProtection="1">
      <alignment horizontal="right"/>
      <protection hidden="1"/>
    </xf>
    <xf numFmtId="1" fontId="40" fillId="12" borderId="0" xfId="0" applyNumberFormat="1" applyFont="1" applyFill="1" applyAlignment="1" applyProtection="1">
      <alignment horizontal="center"/>
      <protection hidden="1"/>
    </xf>
    <xf numFmtId="164" fontId="0" fillId="12" borderId="0" xfId="0" applyNumberFormat="1" applyFill="1" applyProtection="1">
      <protection hidden="1"/>
    </xf>
    <xf numFmtId="1" fontId="40" fillId="12" borderId="1" xfId="0" applyNumberFormat="1" applyFont="1" applyFill="1" applyBorder="1" applyAlignment="1" applyProtection="1">
      <alignment horizontal="center"/>
      <protection hidden="1"/>
    </xf>
    <xf numFmtId="164" fontId="0" fillId="12" borderId="1" xfId="0" applyNumberFormat="1" applyFill="1" applyBorder="1" applyProtection="1">
      <protection hidden="1"/>
    </xf>
    <xf numFmtId="164" fontId="0" fillId="12" borderId="13" xfId="0" applyNumberFormat="1" applyFill="1" applyBorder="1" applyProtection="1">
      <protection hidden="1"/>
    </xf>
    <xf numFmtId="1" fontId="40" fillId="12" borderId="11" xfId="0" applyNumberFormat="1" applyFont="1" applyFill="1" applyBorder="1" applyProtection="1">
      <protection hidden="1"/>
    </xf>
    <xf numFmtId="1" fontId="0" fillId="12" borderId="11" xfId="0" applyNumberFormat="1" applyFill="1" applyBorder="1" applyProtection="1">
      <protection hidden="1"/>
    </xf>
    <xf numFmtId="1" fontId="67" fillId="12" borderId="1" xfId="0" applyNumberFormat="1" applyFont="1" applyFill="1" applyBorder="1" applyAlignment="1" applyProtection="1">
      <alignment horizontal="center"/>
      <protection hidden="1"/>
    </xf>
    <xf numFmtId="164" fontId="5" fillId="12" borderId="1" xfId="0" applyNumberFormat="1" applyFont="1" applyFill="1" applyBorder="1" applyAlignment="1" applyProtection="1">
      <alignment horizontal="right"/>
      <protection hidden="1"/>
    </xf>
    <xf numFmtId="1" fontId="67" fillId="12" borderId="1" xfId="0" quotePrefix="1" applyNumberFormat="1" applyFont="1" applyFill="1" applyBorder="1" applyAlignment="1" applyProtection="1">
      <alignment horizontal="center"/>
      <protection hidden="1"/>
    </xf>
    <xf numFmtId="1" fontId="5" fillId="12" borderId="1" xfId="0" quotePrefix="1" applyNumberFormat="1" applyFont="1" applyFill="1" applyBorder="1" applyAlignment="1" applyProtection="1">
      <alignment horizontal="center"/>
      <protection hidden="1"/>
    </xf>
    <xf numFmtId="164" fontId="5" fillId="12" borderId="1" xfId="0" quotePrefix="1" applyNumberFormat="1" applyFont="1" applyFill="1" applyBorder="1" applyAlignment="1" applyProtection="1">
      <alignment horizontal="right"/>
      <protection hidden="1"/>
    </xf>
    <xf numFmtId="164" fontId="0" fillId="14" borderId="0" xfId="0" applyNumberFormat="1" applyFill="1" applyProtection="1">
      <protection hidden="1"/>
    </xf>
    <xf numFmtId="1" fontId="0" fillId="14" borderId="0" xfId="0" applyNumberFormat="1" applyFill="1" applyProtection="1">
      <protection hidden="1"/>
    </xf>
    <xf numFmtId="1" fontId="16" fillId="14" borderId="1" xfId="0" applyNumberFormat="1" applyFont="1" applyFill="1" applyBorder="1" applyAlignment="1" applyProtection="1">
      <alignment horizontal="center"/>
      <protection hidden="1"/>
    </xf>
    <xf numFmtId="1" fontId="15" fillId="14" borderId="1" xfId="0" applyNumberFormat="1" applyFont="1" applyFill="1" applyBorder="1" applyAlignment="1" applyProtection="1">
      <alignment horizontal="center"/>
      <protection hidden="1"/>
    </xf>
    <xf numFmtId="164" fontId="67" fillId="14" borderId="1" xfId="0" applyNumberFormat="1" applyFont="1" applyFill="1" applyBorder="1" applyAlignment="1" applyProtection="1">
      <alignment horizontal="center"/>
      <protection hidden="1"/>
    </xf>
    <xf numFmtId="164" fontId="7" fillId="14" borderId="1" xfId="0" applyNumberFormat="1" applyFont="1" applyFill="1" applyBorder="1" applyAlignment="1" applyProtection="1">
      <alignment horizontal="right"/>
      <protection hidden="1"/>
    </xf>
    <xf numFmtId="164" fontId="7" fillId="14" borderId="15" xfId="0" applyNumberFormat="1" applyFont="1" applyFill="1" applyBorder="1" applyAlignment="1" applyProtection="1">
      <alignment horizontal="right"/>
      <protection hidden="1"/>
    </xf>
    <xf numFmtId="164" fontId="5" fillId="14" borderId="15" xfId="0" applyNumberFormat="1" applyFont="1" applyFill="1" applyBorder="1" applyAlignment="1" applyProtection="1">
      <alignment horizontal="right"/>
      <protection hidden="1"/>
    </xf>
    <xf numFmtId="164" fontId="56" fillId="14" borderId="15" xfId="0" applyNumberFormat="1" applyFont="1" applyFill="1" applyBorder="1" applyAlignment="1" applyProtection="1">
      <alignment horizontal="right"/>
      <protection hidden="1"/>
    </xf>
    <xf numFmtId="1" fontId="5" fillId="14" borderId="1" xfId="0" quotePrefix="1" applyNumberFormat="1" applyFont="1" applyFill="1" applyBorder="1" applyAlignment="1" applyProtection="1">
      <alignment horizontal="center"/>
      <protection hidden="1"/>
    </xf>
    <xf numFmtId="2" fontId="5" fillId="14" borderId="1" xfId="0" quotePrefix="1" applyNumberFormat="1" applyFont="1" applyFill="1" applyBorder="1" applyAlignment="1" applyProtection="1">
      <alignment horizontal="center"/>
      <protection hidden="1"/>
    </xf>
    <xf numFmtId="164" fontId="21" fillId="5" borderId="7" xfId="0" applyNumberFormat="1" applyFont="1" applyFill="1" applyBorder="1" applyAlignment="1" applyProtection="1">
      <alignment horizontal="center"/>
      <protection hidden="1"/>
    </xf>
    <xf numFmtId="0" fontId="21" fillId="0" borderId="7" xfId="0" applyFont="1" applyBorder="1" applyProtection="1">
      <protection hidden="1"/>
    </xf>
    <xf numFmtId="0" fontId="21" fillId="0" borderId="7" xfId="0" applyFont="1" applyBorder="1" applyAlignment="1" applyProtection="1">
      <alignment horizontal="right"/>
      <protection hidden="1"/>
    </xf>
    <xf numFmtId="164" fontId="20" fillId="5" borderId="0" xfId="3" applyNumberFormat="1" applyFont="1" applyFill="1" applyAlignment="1" applyProtection="1">
      <alignment horizontal="center" wrapText="1"/>
      <protection hidden="1"/>
    </xf>
    <xf numFmtId="164" fontId="20" fillId="0" borderId="0" xfId="3" applyNumberFormat="1" applyFont="1" applyAlignment="1" applyProtection="1">
      <alignment horizontal="right"/>
      <protection hidden="1"/>
    </xf>
    <xf numFmtId="2" fontId="13" fillId="3" borderId="0" xfId="0" applyNumberFormat="1" applyFont="1" applyFill="1" applyAlignment="1" applyProtection="1">
      <alignment vertical="center"/>
      <protection locked="0"/>
    </xf>
    <xf numFmtId="164" fontId="20" fillId="0" borderId="0" xfId="3" applyNumberFormat="1" applyFont="1" applyAlignment="1" applyProtection="1">
      <alignment horizontal="right" wrapText="1"/>
      <protection hidden="1"/>
    </xf>
    <xf numFmtId="164" fontId="21" fillId="5" borderId="0" xfId="0" applyNumberFormat="1" applyFont="1" applyFill="1" applyAlignment="1" applyProtection="1">
      <alignment horizontal="center"/>
      <protection hidden="1"/>
    </xf>
    <xf numFmtId="0" fontId="33" fillId="3" borderId="0" xfId="0" applyFont="1" applyFill="1" applyAlignment="1" applyProtection="1">
      <alignment vertical="center"/>
      <protection locked="0"/>
    </xf>
    <xf numFmtId="164" fontId="20" fillId="5" borderId="0" xfId="3" applyNumberFormat="1" applyFont="1" applyFill="1" applyAlignment="1" applyProtection="1">
      <alignment horizontal="center" vertical="center" wrapText="1"/>
      <protection hidden="1"/>
    </xf>
    <xf numFmtId="164" fontId="20" fillId="0" borderId="0" xfId="3" applyNumberFormat="1" applyFont="1" applyAlignment="1" applyProtection="1">
      <alignment horizontal="right" vertical="center"/>
      <protection hidden="1"/>
    </xf>
    <xf numFmtId="164" fontId="20" fillId="0" borderId="0" xfId="3" applyNumberFormat="1" applyFont="1" applyAlignment="1" applyProtection="1">
      <alignment horizontal="right" vertical="center" wrapText="1"/>
      <protection hidden="1"/>
    </xf>
    <xf numFmtId="171" fontId="19" fillId="3" borderId="1" xfId="0" applyNumberFormat="1" applyFont="1" applyFill="1" applyBorder="1" applyAlignment="1">
      <alignment horizontal="center" vertical="center"/>
    </xf>
    <xf numFmtId="181" fontId="111" fillId="3" borderId="1" xfId="0" applyNumberFormat="1" applyFont="1" applyFill="1" applyBorder="1" applyAlignment="1" applyProtection="1">
      <alignment vertical="center"/>
      <protection locked="0"/>
    </xf>
    <xf numFmtId="182" fontId="111" fillId="3" borderId="1" xfId="0" applyNumberFormat="1" applyFont="1" applyFill="1" applyBorder="1" applyAlignment="1" applyProtection="1">
      <alignment vertical="center"/>
      <protection locked="0"/>
    </xf>
    <xf numFmtId="1" fontId="67" fillId="0" borderId="0" xfId="0" applyNumberFormat="1" applyFont="1" applyAlignment="1" applyProtection="1">
      <alignment horizontal="center"/>
      <protection hidden="1"/>
    </xf>
    <xf numFmtId="164" fontId="40" fillId="0" borderId="0" xfId="0" applyNumberFormat="1" applyFont="1" applyAlignment="1" applyProtection="1">
      <alignment horizontal="right"/>
      <protection hidden="1"/>
    </xf>
    <xf numFmtId="164" fontId="40" fillId="4" borderId="0" xfId="0" applyNumberFormat="1" applyFont="1" applyFill="1" applyAlignment="1" applyProtection="1">
      <alignment horizontal="right"/>
      <protection hidden="1"/>
    </xf>
    <xf numFmtId="164" fontId="65" fillId="0" borderId="0" xfId="0" applyNumberFormat="1" applyFont="1" applyAlignment="1" applyProtection="1">
      <alignment horizontal="right"/>
      <protection hidden="1"/>
    </xf>
    <xf numFmtId="164" fontId="57" fillId="4" borderId="0" xfId="0" applyNumberFormat="1" applyFont="1" applyFill="1" applyAlignment="1" applyProtection="1">
      <alignment horizontal="right"/>
      <protection hidden="1"/>
    </xf>
    <xf numFmtId="164" fontId="4" fillId="3" borderId="0" xfId="0" applyNumberFormat="1" applyFont="1" applyFill="1" applyAlignment="1" applyProtection="1">
      <alignment horizontal="center" vertical="center"/>
      <protection hidden="1"/>
    </xf>
    <xf numFmtId="190" fontId="20" fillId="5" borderId="1" xfId="3" applyNumberFormat="1" applyFont="1" applyFill="1" applyBorder="1" applyAlignment="1" applyProtection="1">
      <alignment horizontal="center" vertical="center" wrapText="1"/>
      <protection hidden="1"/>
    </xf>
    <xf numFmtId="188" fontId="20" fillId="0" borderId="1" xfId="3" applyNumberFormat="1" applyFont="1" applyBorder="1" applyAlignment="1" applyProtection="1">
      <alignment horizontal="right" vertical="center"/>
      <protection hidden="1"/>
    </xf>
    <xf numFmtId="189" fontId="111" fillId="3" borderId="1" xfId="0" applyNumberFormat="1" applyFont="1" applyFill="1" applyBorder="1" applyAlignment="1" applyProtection="1">
      <alignment vertical="center"/>
      <protection locked="0"/>
    </xf>
    <xf numFmtId="184" fontId="111" fillId="3" borderId="1" xfId="0" applyNumberFormat="1" applyFont="1" applyFill="1" applyBorder="1" applyAlignment="1" applyProtection="1">
      <alignment horizontal="center" vertical="center"/>
      <protection locked="0"/>
    </xf>
    <xf numFmtId="185" fontId="111" fillId="3" borderId="1" xfId="0" applyNumberFormat="1" applyFont="1" applyFill="1" applyBorder="1" applyAlignment="1" applyProtection="1">
      <alignment horizontal="center" vertical="center"/>
      <protection locked="0"/>
    </xf>
    <xf numFmtId="186" fontId="111" fillId="3" borderId="1" xfId="0" applyNumberFormat="1" applyFont="1" applyFill="1" applyBorder="1" applyAlignment="1" applyProtection="1">
      <alignment horizontal="center" vertical="center"/>
      <protection locked="0"/>
    </xf>
    <xf numFmtId="187" fontId="111" fillId="3" borderId="1" xfId="0" applyNumberFormat="1" applyFont="1" applyFill="1" applyBorder="1" applyAlignment="1" applyProtection="1">
      <alignment horizontal="center" vertical="center"/>
      <protection locked="0"/>
    </xf>
    <xf numFmtId="183" fontId="111" fillId="3" borderId="1" xfId="0" applyNumberFormat="1" applyFont="1" applyFill="1" applyBorder="1" applyAlignment="1" applyProtection="1">
      <alignment horizontal="right" vertical="center"/>
      <protection locked="0"/>
    </xf>
    <xf numFmtId="191" fontId="111" fillId="3" borderId="1" xfId="0" applyNumberFormat="1" applyFont="1" applyFill="1" applyBorder="1" applyAlignment="1" applyProtection="1">
      <alignment vertical="center"/>
      <protection locked="0"/>
    </xf>
    <xf numFmtId="171" fontId="18" fillId="7" borderId="0" xfId="0" applyNumberFormat="1" applyFont="1" applyFill="1" applyAlignment="1">
      <alignment horizontal="center"/>
    </xf>
    <xf numFmtId="171" fontId="13" fillId="3" borderId="0" xfId="0" applyNumberFormat="1" applyFont="1" applyFill="1" applyAlignment="1" applyProtection="1">
      <alignment vertical="center"/>
      <protection locked="0"/>
    </xf>
    <xf numFmtId="171" fontId="18" fillId="7" borderId="0" xfId="0" applyNumberFormat="1" applyFont="1" applyFill="1" applyAlignment="1">
      <alignment horizontal="center" vertical="center"/>
    </xf>
    <xf numFmtId="193" fontId="111" fillId="3" borderId="1" xfId="0" applyNumberFormat="1" applyFont="1" applyFill="1" applyBorder="1" applyAlignment="1" applyProtection="1">
      <alignment horizontal="center" vertical="center"/>
      <protection locked="0"/>
    </xf>
    <xf numFmtId="194" fontId="111" fillId="3" borderId="1" xfId="0" applyNumberFormat="1" applyFont="1" applyFill="1" applyBorder="1" applyAlignment="1" applyProtection="1">
      <alignment vertical="center"/>
      <protection locked="0"/>
    </xf>
    <xf numFmtId="164" fontId="40" fillId="0" borderId="0" xfId="0" applyNumberFormat="1" applyFont="1" applyProtection="1">
      <protection hidden="1"/>
    </xf>
    <xf numFmtId="164" fontId="19" fillId="3" borderId="0" xfId="0" applyNumberFormat="1" applyFont="1" applyFill="1" applyAlignment="1" applyProtection="1">
      <alignment vertical="top" wrapText="1"/>
      <protection locked="0"/>
    </xf>
    <xf numFmtId="0" fontId="19" fillId="3" borderId="0" xfId="0" applyFont="1" applyFill="1" applyAlignment="1" applyProtection="1">
      <alignment vertical="top" wrapText="1"/>
      <protection locked="0"/>
    </xf>
    <xf numFmtId="0" fontId="19" fillId="3" borderId="0" xfId="0" applyFont="1" applyFill="1" applyAlignment="1" applyProtection="1">
      <alignment horizontal="center" vertical="center" wrapText="1"/>
      <protection locked="0"/>
    </xf>
    <xf numFmtId="2" fontId="19" fillId="3" borderId="0" xfId="0" applyNumberFormat="1" applyFont="1" applyFill="1" applyAlignment="1" applyProtection="1">
      <alignment horizontal="right" vertical="center" wrapText="1"/>
      <protection locked="0"/>
    </xf>
    <xf numFmtId="2" fontId="19" fillId="3" borderId="0" xfId="0" applyNumberFormat="1" applyFont="1" applyFill="1" applyAlignment="1" applyProtection="1">
      <alignment horizontal="center" vertical="center" wrapText="1"/>
      <protection locked="0"/>
    </xf>
    <xf numFmtId="195" fontId="111" fillId="3" borderId="1" xfId="0" applyNumberFormat="1" applyFont="1" applyFill="1" applyBorder="1" applyAlignment="1" applyProtection="1">
      <alignment vertical="center"/>
      <protection locked="0"/>
    </xf>
    <xf numFmtId="196" fontId="111" fillId="3" borderId="1" xfId="0" applyNumberFormat="1" applyFont="1" applyFill="1" applyBorder="1" applyAlignment="1" applyProtection="1">
      <alignment vertical="center"/>
      <protection locked="0"/>
    </xf>
    <xf numFmtId="171" fontId="19" fillId="3" borderId="1" xfId="0" applyNumberFormat="1" applyFont="1" applyFill="1" applyBorder="1" applyAlignment="1" applyProtection="1">
      <alignment horizontal="right" vertical="center"/>
      <protection hidden="1"/>
    </xf>
    <xf numFmtId="197" fontId="111" fillId="3" borderId="1" xfId="0" applyNumberFormat="1" applyFont="1" applyFill="1" applyBorder="1" applyAlignment="1" applyProtection="1">
      <alignment horizontal="right" vertical="center"/>
      <protection locked="0"/>
    </xf>
    <xf numFmtId="1" fontId="28" fillId="3" borderId="0" xfId="0" applyNumberFormat="1" applyFont="1" applyFill="1" applyAlignment="1">
      <alignment horizontal="right" wrapText="1"/>
    </xf>
    <xf numFmtId="1" fontId="28" fillId="3" borderId="0" xfId="0" applyNumberFormat="1" applyFont="1" applyFill="1" applyAlignment="1">
      <alignment horizontal="left" wrapText="1"/>
    </xf>
    <xf numFmtId="1" fontId="35" fillId="3" borderId="0" xfId="0" applyNumberFormat="1" applyFont="1" applyFill="1" applyAlignment="1">
      <alignment horizontal="center" wrapText="1"/>
    </xf>
    <xf numFmtId="1" fontId="4" fillId="3" borderId="0" xfId="0" applyNumberFormat="1" applyFont="1" applyFill="1" applyAlignment="1">
      <alignment horizontal="center"/>
    </xf>
    <xf numFmtId="1" fontId="4" fillId="3" borderId="0" xfId="0" applyNumberFormat="1" applyFont="1" applyFill="1" applyAlignment="1">
      <alignment horizontal="center" wrapText="1"/>
    </xf>
    <xf numFmtId="1" fontId="4" fillId="3" borderId="0" xfId="0" applyNumberFormat="1" applyFont="1" applyFill="1" applyAlignment="1">
      <alignment horizontal="right" wrapText="1"/>
    </xf>
    <xf numFmtId="0" fontId="19" fillId="3" borderId="0" xfId="0" applyFont="1" applyFill="1" applyAlignment="1">
      <alignment horizontal="center" wrapText="1"/>
    </xf>
    <xf numFmtId="165" fontId="13" fillId="3" borderId="0" xfId="0" applyNumberFormat="1" applyFont="1" applyFill="1" applyAlignment="1">
      <alignment horizontal="right" vertical="center"/>
    </xf>
    <xf numFmtId="2" fontId="19" fillId="3" borderId="0" xfId="0" applyNumberFormat="1" applyFont="1" applyFill="1" applyAlignment="1">
      <alignment horizontal="right" vertical="center" wrapText="1"/>
    </xf>
    <xf numFmtId="164" fontId="19" fillId="3" borderId="0" xfId="0" applyNumberFormat="1" applyFont="1" applyFill="1" applyAlignment="1">
      <alignment vertical="center" wrapText="1"/>
    </xf>
    <xf numFmtId="165" fontId="19" fillId="3" borderId="0" xfId="0" applyNumberFormat="1" applyFont="1" applyFill="1" applyAlignment="1">
      <alignment horizontal="right" vertical="center" wrapText="1"/>
    </xf>
    <xf numFmtId="2" fontId="19" fillId="3" borderId="0" xfId="0" applyNumberFormat="1" applyFont="1" applyFill="1" applyAlignment="1">
      <alignment horizontal="center" vertical="center" wrapText="1"/>
    </xf>
    <xf numFmtId="164" fontId="19" fillId="3" borderId="0" xfId="0" applyNumberFormat="1" applyFont="1" applyFill="1" applyAlignment="1">
      <alignment horizontal="right" vertical="center" wrapText="1"/>
    </xf>
    <xf numFmtId="2" fontId="14" fillId="3" borderId="0" xfId="0" applyNumberFormat="1" applyFont="1" applyFill="1" applyAlignment="1">
      <alignment horizontal="right" wrapText="1"/>
    </xf>
    <xf numFmtId="164" fontId="19" fillId="3" borderId="0" xfId="0" applyNumberFormat="1" applyFont="1" applyFill="1"/>
    <xf numFmtId="2" fontId="19" fillId="3" borderId="0" xfId="0" applyNumberFormat="1" applyFont="1" applyFill="1"/>
    <xf numFmtId="164" fontId="4" fillId="3" borderId="0" xfId="0" applyNumberFormat="1" applyFont="1" applyFill="1"/>
    <xf numFmtId="2" fontId="4" fillId="3" borderId="0" xfId="0" applyNumberFormat="1" applyFont="1" applyFill="1"/>
    <xf numFmtId="0" fontId="19" fillId="3" borderId="0" xfId="0" applyFont="1" applyFill="1" applyProtection="1">
      <protection locked="0"/>
    </xf>
    <xf numFmtId="184" fontId="113" fillId="3" borderId="1" xfId="0" applyNumberFormat="1" applyFont="1" applyFill="1" applyBorder="1" applyAlignment="1" applyProtection="1">
      <alignment horizontal="center"/>
      <protection locked="0"/>
    </xf>
    <xf numFmtId="185" fontId="113" fillId="3" borderId="1" xfId="0" applyNumberFormat="1" applyFont="1" applyFill="1" applyBorder="1" applyAlignment="1" applyProtection="1">
      <alignment horizontal="center"/>
      <protection locked="0"/>
    </xf>
    <xf numFmtId="186" fontId="113" fillId="3" borderId="1" xfId="0" applyNumberFormat="1" applyFont="1" applyFill="1" applyBorder="1" applyAlignment="1" applyProtection="1">
      <alignment horizontal="center"/>
      <protection locked="0"/>
    </xf>
    <xf numFmtId="187" fontId="113" fillId="3" borderId="1" xfId="0" applyNumberFormat="1" applyFont="1" applyFill="1" applyBorder="1" applyAlignment="1" applyProtection="1">
      <alignment horizontal="center"/>
      <protection locked="0"/>
    </xf>
    <xf numFmtId="192" fontId="113" fillId="3" borderId="1" xfId="0" applyNumberFormat="1" applyFont="1" applyFill="1" applyBorder="1" applyAlignment="1" applyProtection="1">
      <alignment horizontal="center"/>
      <protection locked="0"/>
    </xf>
    <xf numFmtId="171" fontId="19" fillId="3" borderId="0" xfId="0" applyNumberFormat="1" applyFont="1" applyFill="1" applyAlignment="1">
      <alignment horizontal="center" wrapText="1"/>
    </xf>
    <xf numFmtId="171" fontId="4" fillId="3" borderId="0" xfId="0" applyNumberFormat="1" applyFont="1" applyFill="1"/>
    <xf numFmtId="197" fontId="113" fillId="3" borderId="0" xfId="0" applyNumberFormat="1" applyFont="1" applyFill="1" applyProtection="1">
      <protection locked="0"/>
    </xf>
    <xf numFmtId="198" fontId="4" fillId="3" borderId="0" xfId="0" applyNumberFormat="1" applyFont="1" applyFill="1"/>
    <xf numFmtId="198" fontId="35" fillId="3" borderId="0" xfId="0" applyNumberFormat="1" applyFont="1" applyFill="1" applyAlignment="1">
      <alignment horizontal="center" wrapText="1"/>
    </xf>
    <xf numFmtId="198" fontId="4" fillId="3" borderId="0" xfId="0" applyNumberFormat="1" applyFont="1" applyFill="1" applyAlignment="1">
      <alignment horizontal="right" wrapText="1"/>
    </xf>
    <xf numFmtId="198" fontId="113" fillId="3" borderId="1" xfId="0" applyNumberFormat="1" applyFont="1" applyFill="1" applyBorder="1" applyProtection="1">
      <protection locked="0"/>
    </xf>
    <xf numFmtId="198" fontId="4" fillId="3" borderId="0" xfId="0" applyNumberFormat="1" applyFont="1" applyFill="1" applyAlignment="1">
      <alignment horizontal="left" wrapText="1"/>
    </xf>
    <xf numFmtId="199" fontId="113" fillId="3" borderId="1" xfId="0" applyNumberFormat="1" applyFont="1" applyFill="1" applyBorder="1" applyProtection="1">
      <protection locked="0"/>
    </xf>
    <xf numFmtId="2" fontId="47" fillId="3" borderId="1" xfId="0" applyNumberFormat="1" applyFont="1" applyFill="1" applyBorder="1" applyAlignment="1" applyProtection="1">
      <alignment horizontal="center" vertical="center"/>
      <protection hidden="1"/>
    </xf>
    <xf numFmtId="0" fontId="0" fillId="12" borderId="1" xfId="0" applyFill="1" applyBorder="1"/>
    <xf numFmtId="0" fontId="0" fillId="7" borderId="1" xfId="0" applyFill="1" applyBorder="1"/>
    <xf numFmtId="164" fontId="20" fillId="5" borderId="1" xfId="3" applyNumberFormat="1" applyFont="1" applyFill="1" applyBorder="1" applyAlignment="1" applyProtection="1">
      <alignment horizontal="center" vertical="center" wrapText="1"/>
      <protection hidden="1"/>
    </xf>
    <xf numFmtId="164" fontId="20" fillId="0" borderId="1" xfId="3" applyNumberFormat="1" applyFont="1" applyBorder="1" applyAlignment="1" applyProtection="1">
      <alignment horizontal="right" vertical="center"/>
      <protection hidden="1"/>
    </xf>
    <xf numFmtId="0" fontId="21" fillId="0" borderId="1" xfId="0" applyFont="1" applyBorder="1" applyAlignment="1" applyProtection="1">
      <alignment horizontal="right"/>
      <protection hidden="1"/>
    </xf>
    <xf numFmtId="14" fontId="21" fillId="5" borderId="6" xfId="0" quotePrefix="1" applyNumberFormat="1" applyFont="1" applyFill="1" applyBorder="1" applyAlignment="1" applyProtection="1">
      <alignment horizontal="left" vertical="center"/>
      <protection hidden="1"/>
    </xf>
    <xf numFmtId="164" fontId="20" fillId="0" borderId="1" xfId="3" applyNumberFormat="1" applyFont="1" applyBorder="1" applyAlignment="1" applyProtection="1">
      <alignment horizontal="right" vertical="center" wrapText="1"/>
      <protection hidden="1"/>
    </xf>
    <xf numFmtId="164" fontId="21" fillId="5" borderId="1" xfId="0" applyNumberFormat="1" applyFont="1" applyFill="1" applyBorder="1" applyAlignment="1" applyProtection="1">
      <alignment horizontal="center"/>
      <protection hidden="1"/>
    </xf>
    <xf numFmtId="1" fontId="5" fillId="5" borderId="15" xfId="0" quotePrefix="1" applyNumberFormat="1" applyFont="1" applyFill="1" applyBorder="1" applyAlignment="1" applyProtection="1">
      <alignment horizontal="left" vertical="center"/>
      <protection hidden="1"/>
    </xf>
    <xf numFmtId="0" fontId="21" fillId="4" borderId="6" xfId="0" quotePrefix="1" applyFont="1" applyFill="1" applyBorder="1" applyAlignment="1">
      <alignment horizontal="left" vertical="center"/>
    </xf>
    <xf numFmtId="1" fontId="43" fillId="5" borderId="15" xfId="0" quotePrefix="1" applyNumberFormat="1" applyFont="1" applyFill="1" applyBorder="1" applyAlignment="1">
      <alignment horizontal="left" vertical="center"/>
    </xf>
    <xf numFmtId="1" fontId="5" fillId="5" borderId="15" xfId="0" quotePrefix="1" applyNumberFormat="1" applyFont="1" applyFill="1" applyBorder="1" applyAlignment="1">
      <alignment horizontal="left" vertical="center"/>
    </xf>
    <xf numFmtId="0" fontId="21" fillId="7" borderId="6" xfId="0" quotePrefix="1" applyFont="1" applyFill="1" applyBorder="1" applyAlignment="1">
      <alignment horizontal="left" vertical="center"/>
    </xf>
    <xf numFmtId="14" fontId="21" fillId="5" borderId="6" xfId="0" quotePrefix="1" applyNumberFormat="1" applyFont="1" applyFill="1" applyBorder="1" applyAlignment="1">
      <alignment horizontal="left" vertical="center"/>
    </xf>
    <xf numFmtId="1" fontId="5" fillId="7" borderId="15" xfId="0" quotePrefix="1" applyNumberFormat="1" applyFont="1" applyFill="1" applyBorder="1" applyAlignment="1">
      <alignment horizontal="left" vertical="center"/>
    </xf>
    <xf numFmtId="1" fontId="21" fillId="5" borderId="15" xfId="0" quotePrefix="1" applyNumberFormat="1" applyFont="1" applyFill="1" applyBorder="1" applyAlignment="1">
      <alignment horizontal="left" vertical="center"/>
    </xf>
    <xf numFmtId="14" fontId="21" fillId="4" borderId="6" xfId="0" quotePrefix="1" applyNumberFormat="1" applyFont="1" applyFill="1" applyBorder="1" applyAlignment="1">
      <alignment horizontal="left" vertical="center"/>
    </xf>
    <xf numFmtId="14" fontId="21" fillId="4" borderId="1" xfId="0" quotePrefix="1" applyNumberFormat="1" applyFont="1" applyFill="1" applyBorder="1" applyAlignment="1">
      <alignment horizontal="left" vertical="center"/>
    </xf>
    <xf numFmtId="14" fontId="21" fillId="6" borderId="6" xfId="0" quotePrefix="1" applyNumberFormat="1" applyFont="1" applyFill="1" applyBorder="1" applyAlignment="1">
      <alignment horizontal="left" vertical="center"/>
    </xf>
    <xf numFmtId="0" fontId="7" fillId="0" borderId="1" xfId="0" applyFont="1" applyBorder="1" applyAlignment="1">
      <alignment horizontal="center"/>
    </xf>
    <xf numFmtId="0" fontId="7" fillId="12" borderId="1" xfId="0" applyFont="1" applyFill="1" applyBorder="1"/>
    <xf numFmtId="0" fontId="7" fillId="4" borderId="1" xfId="0" applyFont="1" applyFill="1" applyBorder="1"/>
    <xf numFmtId="171" fontId="19" fillId="4" borderId="1" xfId="0" applyNumberFormat="1" applyFont="1" applyFill="1" applyBorder="1" applyAlignment="1">
      <alignment horizontal="center" vertical="center"/>
    </xf>
    <xf numFmtId="0" fontId="4" fillId="13" borderId="0" xfId="0" applyFont="1" applyFill="1" applyAlignment="1" applyProtection="1">
      <alignment horizontal="left" vertical="center"/>
      <protection locked="0"/>
    </xf>
    <xf numFmtId="0" fontId="4" fillId="13" borderId="0" xfId="0" quotePrefix="1" applyFont="1" applyFill="1" applyAlignment="1" applyProtection="1">
      <alignment horizontal="left" vertical="center"/>
      <protection locked="0"/>
    </xf>
    <xf numFmtId="0" fontId="4" fillId="13" borderId="0" xfId="0" quotePrefix="1" applyFont="1" applyFill="1" applyAlignment="1" applyProtection="1">
      <alignment vertical="center"/>
      <protection locked="0"/>
    </xf>
    <xf numFmtId="0" fontId="13" fillId="14" borderId="0" xfId="0" quotePrefix="1" applyFont="1" applyFill="1" applyAlignment="1" applyProtection="1">
      <alignment horizontal="left" vertical="center"/>
      <protection locked="0"/>
    </xf>
    <xf numFmtId="0" fontId="41" fillId="3" borderId="0" xfId="0" applyFont="1" applyFill="1" applyAlignment="1" applyProtection="1">
      <alignment horizontal="left" vertical="center"/>
      <protection locked="0"/>
    </xf>
    <xf numFmtId="0" fontId="4" fillId="3" borderId="0" xfId="0" applyFont="1" applyFill="1" applyAlignment="1" applyProtection="1">
      <alignment horizontal="left" vertical="center"/>
      <protection locked="0"/>
    </xf>
    <xf numFmtId="0" fontId="41" fillId="3" borderId="0" xfId="0" applyFont="1" applyFill="1" applyAlignment="1" applyProtection="1">
      <alignment horizontal="center"/>
      <protection locked="0"/>
    </xf>
    <xf numFmtId="0" fontId="79" fillId="2" borderId="0" xfId="0" applyFont="1" applyFill="1" applyAlignment="1" applyProtection="1">
      <alignment horizontal="left" vertical="center"/>
      <protection hidden="1"/>
    </xf>
    <xf numFmtId="0" fontId="77" fillId="0" borderId="0" xfId="0" applyFont="1" applyAlignment="1" applyProtection="1">
      <alignment horizontal="center"/>
      <protection locked="0"/>
    </xf>
    <xf numFmtId="0" fontId="7" fillId="0" borderId="0" xfId="7"/>
    <xf numFmtId="0" fontId="7" fillId="0" borderId="0" xfId="7" applyAlignment="1" applyProtection="1">
      <alignment wrapText="1"/>
      <protection hidden="1"/>
    </xf>
    <xf numFmtId="0" fontId="7" fillId="0" borderId="0" xfId="7" applyProtection="1">
      <protection locked="0"/>
    </xf>
    <xf numFmtId="0" fontId="120" fillId="0" borderId="0" xfId="7" applyFont="1" applyAlignment="1">
      <alignment horizontal="center" vertical="center" wrapText="1"/>
    </xf>
    <xf numFmtId="0" fontId="9" fillId="0" borderId="0" xfId="7" applyFont="1" applyProtection="1">
      <protection locked="0"/>
    </xf>
    <xf numFmtId="0" fontId="118" fillId="0" borderId="13" xfId="7" applyFont="1" applyBorder="1" applyAlignment="1">
      <alignment horizontal="left" vertical="top" wrapText="1"/>
    </xf>
    <xf numFmtId="0" fontId="7" fillId="0" borderId="0" xfId="7" applyAlignment="1">
      <alignment horizontal="left" vertical="top"/>
    </xf>
    <xf numFmtId="0" fontId="118" fillId="0" borderId="13" xfId="7" applyFont="1" applyBorder="1" applyAlignment="1">
      <alignment horizontal="left" vertical="top"/>
    </xf>
    <xf numFmtId="0" fontId="118" fillId="0" borderId="0" xfId="7" applyFont="1" applyAlignment="1">
      <alignment vertical="center" wrapText="1"/>
    </xf>
    <xf numFmtId="0" fontId="118" fillId="0" borderId="0" xfId="7" applyFont="1" applyAlignment="1">
      <alignment horizontal="center" vertical="center" wrapText="1"/>
    </xf>
    <xf numFmtId="0" fontId="121" fillId="0" borderId="0" xfId="7" applyFont="1"/>
    <xf numFmtId="0" fontId="118" fillId="0" borderId="0" xfId="7" applyFont="1" applyAlignment="1" applyProtection="1">
      <alignment horizontal="center" vertical="center" wrapText="1"/>
      <protection locked="0"/>
    </xf>
    <xf numFmtId="1" fontId="118" fillId="0" borderId="0" xfId="7" quotePrefix="1" applyNumberFormat="1" applyFont="1" applyAlignment="1" applyProtection="1">
      <alignment horizontal="left"/>
      <protection locked="0"/>
    </xf>
    <xf numFmtId="0" fontId="118" fillId="0" borderId="0" xfId="7" applyFont="1" applyProtection="1">
      <protection locked="0"/>
    </xf>
    <xf numFmtId="1" fontId="119" fillId="0" borderId="0" xfId="7" quotePrefix="1" applyNumberFormat="1" applyFont="1" applyProtection="1">
      <protection locked="0"/>
    </xf>
    <xf numFmtId="0" fontId="121" fillId="0" borderId="0" xfId="7" applyFont="1" applyProtection="1">
      <protection locked="0"/>
    </xf>
    <xf numFmtId="2" fontId="119" fillId="0" borderId="0" xfId="7" quotePrefix="1" applyNumberFormat="1" applyFont="1" applyProtection="1">
      <protection locked="0"/>
    </xf>
    <xf numFmtId="0" fontId="7" fillId="0" borderId="0" xfId="7" applyAlignment="1">
      <alignment vertical="top" wrapText="1"/>
    </xf>
    <xf numFmtId="0" fontId="118" fillId="0" borderId="3" xfId="7" applyFont="1" applyBorder="1" applyAlignment="1">
      <alignment vertical="top"/>
    </xf>
    <xf numFmtId="0" fontId="118" fillId="0" borderId="13" xfId="7" applyFont="1" applyBorder="1" applyAlignment="1" applyProtection="1">
      <alignment vertical="top" wrapText="1"/>
      <protection locked="0"/>
    </xf>
    <xf numFmtId="0" fontId="118" fillId="0" borderId="13" xfId="7" applyFont="1" applyBorder="1" applyAlignment="1" applyProtection="1">
      <alignment vertical="top"/>
      <protection locked="0"/>
    </xf>
    <xf numFmtId="0" fontId="52" fillId="0" borderId="0" xfId="7" applyFont="1" applyAlignment="1">
      <alignment vertical="top"/>
    </xf>
    <xf numFmtId="0" fontId="118" fillId="0" borderId="0" xfId="7" applyFont="1" applyAlignment="1" applyProtection="1">
      <alignment horizontal="center" vertical="top" wrapText="1"/>
      <protection locked="0"/>
    </xf>
    <xf numFmtId="0" fontId="120" fillId="0" borderId="0" xfId="7" applyFont="1" applyAlignment="1">
      <alignment wrapText="1"/>
    </xf>
    <xf numFmtId="0" fontId="107" fillId="0" borderId="0" xfId="7" applyFont="1"/>
    <xf numFmtId="0" fontId="118" fillId="0" borderId="0" xfId="7" applyFont="1" applyAlignment="1">
      <alignment horizontal="center" vertical="top" wrapText="1"/>
    </xf>
    <xf numFmtId="0" fontId="118" fillId="0" borderId="0" xfId="7" applyFont="1" applyAlignment="1">
      <alignment vertical="top" wrapText="1"/>
    </xf>
    <xf numFmtId="0" fontId="118" fillId="0" borderId="0" xfId="7" applyFont="1" applyAlignment="1">
      <alignment horizontal="justify" vertical="center" wrapText="1"/>
    </xf>
    <xf numFmtId="0" fontId="67" fillId="0" borderId="0" xfId="7" applyFont="1" applyAlignment="1">
      <alignment vertical="center"/>
    </xf>
    <xf numFmtId="0" fontId="7" fillId="0" borderId="24" xfId="7" applyBorder="1"/>
    <xf numFmtId="0" fontId="7" fillId="0" borderId="26" xfId="7" applyBorder="1"/>
    <xf numFmtId="0" fontId="7" fillId="0" borderId="27" xfId="7" applyBorder="1"/>
    <xf numFmtId="0" fontId="7" fillId="0" borderId="26" xfId="7" applyBorder="1" applyAlignment="1">
      <alignment wrapText="1"/>
    </xf>
    <xf numFmtId="0" fontId="7" fillId="0" borderId="27" xfId="7" applyBorder="1" applyAlignment="1">
      <alignment wrapText="1"/>
    </xf>
    <xf numFmtId="0" fontId="124" fillId="0" borderId="27" xfId="7" applyFont="1" applyBorder="1" applyAlignment="1">
      <alignment horizontal="left" wrapText="1"/>
    </xf>
    <xf numFmtId="0" fontId="7" fillId="0" borderId="0" xfId="7" applyAlignment="1">
      <alignment wrapText="1"/>
    </xf>
    <xf numFmtId="0" fontId="124" fillId="0" borderId="26" xfId="7" applyFont="1" applyBorder="1" applyAlignment="1">
      <alignment wrapText="1"/>
    </xf>
    <xf numFmtId="180" fontId="124" fillId="0" borderId="27" xfId="7" applyNumberFormat="1" applyFont="1" applyBorder="1" applyAlignment="1">
      <alignment horizontal="left"/>
    </xf>
    <xf numFmtId="180" fontId="7" fillId="0" borderId="27" xfId="7" applyNumberFormat="1" applyBorder="1"/>
    <xf numFmtId="0" fontId="124" fillId="0" borderId="27" xfId="7" applyFont="1" applyBorder="1" applyAlignment="1">
      <alignment wrapText="1"/>
    </xf>
    <xf numFmtId="0" fontId="124" fillId="0" borderId="26" xfId="7" applyFont="1" applyBorder="1"/>
    <xf numFmtId="0" fontId="124" fillId="0" borderId="23" xfId="7" applyFont="1" applyBorder="1"/>
    <xf numFmtId="0" fontId="124" fillId="0" borderId="21" xfId="7" applyFont="1" applyBorder="1" applyAlignment="1">
      <alignment wrapText="1"/>
    </xf>
    <xf numFmtId="2" fontId="50" fillId="0" borderId="0" xfId="0" applyNumberFormat="1" applyFont="1"/>
    <xf numFmtId="0" fontId="50" fillId="0" borderId="1" xfId="0" applyFont="1" applyBorder="1"/>
    <xf numFmtId="0" fontId="50" fillId="0" borderId="1" xfId="0" applyFont="1" applyBorder="1" applyAlignment="1">
      <alignment horizontal="left"/>
    </xf>
    <xf numFmtId="2" fontId="50" fillId="0" borderId="1" xfId="0" applyNumberFormat="1" applyFont="1" applyBorder="1"/>
    <xf numFmtId="2" fontId="0" fillId="0" borderId="0" xfId="0" applyNumberFormat="1"/>
    <xf numFmtId="164" fontId="48" fillId="3" borderId="0" xfId="0" applyNumberFormat="1" applyFont="1" applyFill="1" applyAlignment="1" applyProtection="1">
      <alignment vertical="center" wrapText="1"/>
      <protection locked="0"/>
    </xf>
    <xf numFmtId="180" fontId="13" fillId="3" borderId="0" xfId="0" applyNumberFormat="1" applyFont="1" applyFill="1" applyAlignment="1" applyProtection="1">
      <alignment horizontal="left"/>
      <protection locked="0"/>
    </xf>
    <xf numFmtId="164" fontId="20" fillId="0" borderId="3" xfId="3" applyNumberFormat="1" applyFont="1" applyBorder="1" applyAlignment="1">
      <alignment horizontal="right" vertical="center"/>
    </xf>
    <xf numFmtId="0" fontId="25" fillId="12" borderId="0" xfId="0" applyFont="1" applyFill="1" applyAlignment="1" applyProtection="1">
      <alignment vertical="center"/>
      <protection locked="0"/>
    </xf>
    <xf numFmtId="164" fontId="79" fillId="2" borderId="3" xfId="0" applyNumberFormat="1" applyFont="1" applyFill="1" applyBorder="1" applyAlignment="1" applyProtection="1">
      <alignment horizontal="center"/>
      <protection hidden="1"/>
    </xf>
    <xf numFmtId="164" fontId="79" fillId="2" borderId="0" xfId="0" applyNumberFormat="1" applyFont="1" applyFill="1" applyAlignment="1" applyProtection="1">
      <alignment horizontal="right" vertical="center"/>
      <protection hidden="1"/>
    </xf>
    <xf numFmtId="164" fontId="13" fillId="3" borderId="0" xfId="0" applyNumberFormat="1" applyFont="1" applyFill="1" applyAlignment="1" applyProtection="1">
      <alignment horizontal="right"/>
      <protection hidden="1"/>
    </xf>
    <xf numFmtId="171" fontId="19" fillId="3" borderId="1" xfId="0" applyNumberFormat="1" applyFont="1" applyFill="1" applyBorder="1" applyAlignment="1" applyProtection="1">
      <alignment vertical="center"/>
      <protection locked="0"/>
    </xf>
    <xf numFmtId="2" fontId="19" fillId="3" borderId="0" xfId="0" applyNumberFormat="1" applyFont="1" applyFill="1" applyAlignment="1" applyProtection="1">
      <alignment horizontal="center" wrapText="1"/>
      <protection locked="0"/>
    </xf>
    <xf numFmtId="2" fontId="45" fillId="3" borderId="0" xfId="0" applyNumberFormat="1" applyFont="1" applyFill="1" applyAlignment="1" applyProtection="1">
      <alignment vertical="center"/>
      <protection locked="0"/>
    </xf>
    <xf numFmtId="164" fontId="57" fillId="0" borderId="0" xfId="0" applyNumberFormat="1" applyFont="1" applyAlignment="1" applyProtection="1">
      <alignment horizontal="right"/>
      <protection hidden="1"/>
    </xf>
    <xf numFmtId="0" fontId="47" fillId="3" borderId="0" xfId="0" applyFont="1" applyFill="1" applyAlignment="1" applyProtection="1">
      <alignment horizontal="center" wrapText="1"/>
      <protection locked="0"/>
    </xf>
    <xf numFmtId="2" fontId="47" fillId="3" borderId="0" xfId="0" applyNumberFormat="1" applyFont="1" applyFill="1" applyAlignment="1" applyProtection="1">
      <alignment horizontal="center" wrapText="1"/>
      <protection locked="0"/>
    </xf>
    <xf numFmtId="2" fontId="4" fillId="3" borderId="0" xfId="0" applyNumberFormat="1" applyFont="1" applyFill="1" applyAlignment="1" applyProtection="1">
      <alignment vertical="center"/>
      <protection locked="0"/>
    </xf>
    <xf numFmtId="171" fontId="19" fillId="3" borderId="0" xfId="0" applyNumberFormat="1" applyFont="1" applyFill="1" applyAlignment="1" applyProtection="1">
      <alignment vertical="center"/>
      <protection locked="0"/>
    </xf>
    <xf numFmtId="0" fontId="53" fillId="0" borderId="1" xfId="0" applyFont="1" applyBorder="1" applyAlignment="1">
      <alignment horizontal="center" vertical="center"/>
    </xf>
    <xf numFmtId="2" fontId="19" fillId="3" borderId="1" xfId="0" applyNumberFormat="1" applyFont="1" applyFill="1" applyBorder="1" applyAlignment="1" applyProtection="1">
      <alignment vertical="center"/>
      <protection locked="0"/>
    </xf>
    <xf numFmtId="2" fontId="47" fillId="12" borderId="0" xfId="0" applyNumberFormat="1" applyFont="1" applyFill="1" applyAlignment="1" applyProtection="1">
      <alignment vertical="center"/>
      <protection locked="0"/>
    </xf>
    <xf numFmtId="2" fontId="127" fillId="0" borderId="0" xfId="0" applyNumberFormat="1" applyFont="1" applyAlignment="1">
      <alignment vertical="center"/>
    </xf>
    <xf numFmtId="2" fontId="127" fillId="0" borderId="26" xfId="0" applyNumberFormat="1" applyFont="1" applyBorder="1" applyAlignment="1">
      <alignment vertical="center"/>
    </xf>
    <xf numFmtId="2" fontId="127" fillId="0" borderId="0" xfId="0" applyNumberFormat="1" applyFont="1" applyAlignment="1">
      <alignment horizontal="center" vertical="center"/>
    </xf>
    <xf numFmtId="2" fontId="127" fillId="0" borderId="27" xfId="0" applyNumberFormat="1" applyFont="1" applyBorder="1" applyAlignment="1">
      <alignment vertical="center"/>
    </xf>
    <xf numFmtId="2" fontId="127" fillId="12" borderId="0" xfId="0" applyNumberFormat="1" applyFont="1" applyFill="1" applyAlignment="1">
      <alignment vertical="center"/>
    </xf>
    <xf numFmtId="2" fontId="19" fillId="12" borderId="0" xfId="0" applyNumberFormat="1" applyFont="1" applyFill="1" applyAlignment="1" applyProtection="1">
      <alignment vertical="center"/>
      <protection locked="0"/>
    </xf>
    <xf numFmtId="2" fontId="19" fillId="12" borderId="0" xfId="0" applyNumberFormat="1" applyFont="1" applyFill="1" applyAlignment="1" applyProtection="1">
      <alignment horizontal="right" vertical="center"/>
      <protection hidden="1"/>
    </xf>
    <xf numFmtId="2" fontId="47" fillId="3" borderId="0" xfId="0" applyNumberFormat="1" applyFont="1" applyFill="1" applyAlignment="1" applyProtection="1">
      <alignment horizontal="center" vertical="center" wrapText="1"/>
      <protection locked="0"/>
    </xf>
    <xf numFmtId="2" fontId="19" fillId="0" borderId="0" xfId="0" applyNumberFormat="1" applyFont="1" applyAlignment="1" applyProtection="1">
      <alignment horizontal="right" vertical="center"/>
      <protection hidden="1"/>
    </xf>
    <xf numFmtId="2" fontId="47" fillId="0" borderId="0" xfId="0" applyNumberFormat="1" applyFont="1" applyAlignment="1" applyProtection="1">
      <alignment horizontal="right" vertical="center"/>
      <protection hidden="1"/>
    </xf>
    <xf numFmtId="2" fontId="19" fillId="3" borderId="0" xfId="0" applyNumberFormat="1" applyFont="1" applyFill="1" applyAlignment="1" applyProtection="1">
      <alignment vertical="center"/>
      <protection locked="0"/>
    </xf>
    <xf numFmtId="2" fontId="127" fillId="0" borderId="23" xfId="0" applyNumberFormat="1" applyFont="1" applyBorder="1" applyAlignment="1">
      <alignment vertical="center"/>
    </xf>
    <xf numFmtId="2" fontId="127" fillId="0" borderId="22" xfId="0" applyNumberFormat="1" applyFont="1" applyBorder="1" applyAlignment="1">
      <alignment vertical="center"/>
    </xf>
    <xf numFmtId="2" fontId="19" fillId="3" borderId="22" xfId="0" applyNumberFormat="1" applyFont="1" applyFill="1" applyBorder="1" applyAlignment="1" applyProtection="1">
      <alignment vertical="center"/>
      <protection locked="0"/>
    </xf>
    <xf numFmtId="2" fontId="19" fillId="0" borderId="22" xfId="0" applyNumberFormat="1" applyFont="1" applyBorder="1" applyAlignment="1" applyProtection="1">
      <alignment horizontal="right" vertical="center"/>
      <protection hidden="1"/>
    </xf>
    <xf numFmtId="2" fontId="19" fillId="3" borderId="22" xfId="0" applyNumberFormat="1" applyFont="1" applyFill="1" applyBorder="1" applyAlignment="1" applyProtection="1">
      <alignment horizontal="center" vertical="center" wrapText="1"/>
      <protection locked="0"/>
    </xf>
    <xf numFmtId="2" fontId="127" fillId="0" borderId="21" xfId="0" applyNumberFormat="1" applyFont="1" applyBorder="1" applyAlignment="1">
      <alignment vertical="center"/>
    </xf>
    <xf numFmtId="2" fontId="54" fillId="0" borderId="26" xfId="0" applyNumberFormat="1" applyFont="1" applyBorder="1" applyAlignment="1">
      <alignment vertical="center"/>
    </xf>
    <xf numFmtId="2" fontId="54" fillId="0" borderId="0" xfId="0" applyNumberFormat="1" applyFont="1" applyAlignment="1">
      <alignment horizontal="center" vertical="center"/>
    </xf>
    <xf numFmtId="2" fontId="54" fillId="0" borderId="27" xfId="0" applyNumberFormat="1" applyFont="1" applyBorder="1" applyAlignment="1">
      <alignment vertical="center"/>
    </xf>
    <xf numFmtId="2" fontId="54" fillId="0" borderId="0" xfId="0" applyNumberFormat="1" applyFont="1" applyAlignment="1">
      <alignment vertical="center"/>
    </xf>
    <xf numFmtId="14" fontId="7" fillId="0" borderId="1" xfId="0" applyNumberFormat="1" applyFont="1" applyBorder="1" applyAlignment="1">
      <alignment horizontal="center" vertical="center"/>
    </xf>
    <xf numFmtId="0" fontId="7" fillId="12" borderId="1" xfId="0" applyFont="1" applyFill="1" applyBorder="1" applyAlignment="1">
      <alignment vertical="center" wrapText="1"/>
    </xf>
    <xf numFmtId="0" fontId="7" fillId="13" borderId="1" xfId="0" applyFont="1" applyFill="1" applyBorder="1" applyAlignment="1">
      <alignment vertical="center"/>
    </xf>
    <xf numFmtId="1" fontId="57" fillId="0" borderId="0" xfId="0" applyNumberFormat="1" applyFont="1" applyProtection="1">
      <protection hidden="1"/>
    </xf>
    <xf numFmtId="0" fontId="18" fillId="3" borderId="1" xfId="0" applyFont="1" applyFill="1" applyBorder="1"/>
    <xf numFmtId="171" fontId="18" fillId="3" borderId="1" xfId="0" applyNumberFormat="1" applyFont="1" applyFill="1" applyBorder="1" applyAlignment="1">
      <alignment horizontal="center"/>
    </xf>
    <xf numFmtId="0" fontId="53" fillId="3" borderId="1" xfId="4" applyFont="1" applyFill="1" applyBorder="1" applyAlignment="1">
      <alignment horizontal="center" vertical="center"/>
    </xf>
    <xf numFmtId="0" fontId="33" fillId="3" borderId="1" xfId="1" applyFont="1" applyFill="1" applyBorder="1" applyAlignment="1">
      <alignment horizontal="left" vertical="center"/>
    </xf>
    <xf numFmtId="171" fontId="18" fillId="3" borderId="1" xfId="0" applyNumberFormat="1" applyFont="1" applyFill="1" applyBorder="1" applyAlignment="1">
      <alignment horizontal="center" vertical="center"/>
    </xf>
    <xf numFmtId="0" fontId="18" fillId="3" borderId="1" xfId="4" applyFont="1" applyFill="1" applyBorder="1" applyAlignment="1">
      <alignment horizontal="center" vertical="center"/>
    </xf>
    <xf numFmtId="0" fontId="6" fillId="0" borderId="0" xfId="0" applyFont="1"/>
    <xf numFmtId="0" fontId="125" fillId="12" borderId="25" xfId="7" applyFont="1" applyFill="1" applyBorder="1"/>
    <xf numFmtId="0" fontId="125" fillId="12" borderId="27" xfId="7" applyFont="1" applyFill="1" applyBorder="1"/>
    <xf numFmtId="0" fontId="126" fillId="12" borderId="27" xfId="7" applyFont="1" applyFill="1" applyBorder="1" applyAlignment="1">
      <alignment horizontal="left" wrapText="1"/>
    </xf>
    <xf numFmtId="1" fontId="79" fillId="3" borderId="0" xfId="0" applyNumberFormat="1" applyFont="1" applyFill="1" applyAlignment="1" applyProtection="1">
      <alignment horizontal="left"/>
      <protection locked="0"/>
    </xf>
    <xf numFmtId="174" fontId="19" fillId="3" borderId="1" xfId="0" applyNumberFormat="1" applyFont="1" applyFill="1" applyBorder="1" applyAlignment="1">
      <alignment vertical="center" wrapText="1"/>
    </xf>
    <xf numFmtId="0" fontId="79" fillId="2" borderId="10" xfId="0" applyFont="1" applyFill="1" applyBorder="1" applyAlignment="1" applyProtection="1">
      <alignment horizontal="center" vertical="center"/>
      <protection hidden="1"/>
    </xf>
    <xf numFmtId="0" fontId="79" fillId="3" borderId="1" xfId="0" applyFont="1" applyFill="1" applyBorder="1" applyAlignment="1" applyProtection="1">
      <alignment horizontal="center"/>
      <protection hidden="1"/>
    </xf>
    <xf numFmtId="0" fontId="55" fillId="3" borderId="0" xfId="0" applyFont="1" applyFill="1" applyAlignment="1" applyProtection="1">
      <alignment vertical="top" wrapText="1"/>
      <protection locked="0"/>
    </xf>
    <xf numFmtId="0" fontId="77" fillId="2" borderId="0" xfId="0" applyFont="1" applyFill="1" applyAlignment="1" applyProtection="1">
      <alignment vertical="center"/>
      <protection locked="0"/>
    </xf>
    <xf numFmtId="0" fontId="74" fillId="3" borderId="0" xfId="0" applyFont="1" applyFill="1" applyAlignment="1" applyProtection="1">
      <alignment vertical="center"/>
      <protection locked="0"/>
    </xf>
    <xf numFmtId="0" fontId="7" fillId="13" borderId="1" xfId="0" applyFont="1" applyFill="1" applyBorder="1" applyAlignment="1">
      <alignment horizontal="left" vertical="center"/>
    </xf>
    <xf numFmtId="0" fontId="7" fillId="0" borderId="1" xfId="0" applyFont="1" applyBorder="1" applyAlignment="1">
      <alignment horizontal="center" vertical="center"/>
    </xf>
    <xf numFmtId="164" fontId="9" fillId="0" borderId="1" xfId="0" applyNumberFormat="1" applyFont="1" applyBorder="1" applyAlignment="1" applyProtection="1">
      <alignment horizontal="right"/>
      <protection hidden="1"/>
    </xf>
    <xf numFmtId="164" fontId="65" fillId="0" borderId="1" xfId="0" quotePrefix="1" applyNumberFormat="1" applyFont="1" applyBorder="1" applyAlignment="1" applyProtection="1">
      <alignment horizontal="right"/>
      <protection hidden="1"/>
    </xf>
    <xf numFmtId="164" fontId="103" fillId="0" borderId="1" xfId="0" quotePrefix="1" applyNumberFormat="1" applyFont="1" applyBorder="1" applyAlignment="1" applyProtection="1">
      <alignment horizontal="right"/>
      <protection hidden="1"/>
    </xf>
    <xf numFmtId="165" fontId="13" fillId="3" borderId="0" xfId="0" applyNumberFormat="1" applyFont="1" applyFill="1" applyAlignment="1" applyProtection="1">
      <alignment vertical="center"/>
      <protection locked="0"/>
    </xf>
    <xf numFmtId="171" fontId="19" fillId="3" borderId="0" xfId="0" applyNumberFormat="1" applyFont="1" applyFill="1" applyAlignment="1" applyProtection="1">
      <alignment horizontal="center" vertical="center"/>
      <protection locked="0"/>
    </xf>
    <xf numFmtId="0" fontId="127" fillId="12" borderId="1" xfId="0" applyFont="1" applyFill="1" applyBorder="1" applyAlignment="1" applyProtection="1">
      <alignment horizontal="center" vertical="center" wrapText="1"/>
      <protection hidden="1"/>
    </xf>
    <xf numFmtId="0" fontId="127" fillId="12" borderId="1" xfId="0" applyFont="1" applyFill="1" applyBorder="1" applyAlignment="1" applyProtection="1">
      <alignment horizontal="center" vertical="center"/>
      <protection hidden="1"/>
    </xf>
    <xf numFmtId="2" fontId="127" fillId="12" borderId="1" xfId="0" applyNumberFormat="1" applyFont="1" applyFill="1" applyBorder="1" applyAlignment="1" applyProtection="1">
      <alignment horizontal="center" vertical="center"/>
      <protection hidden="1"/>
    </xf>
    <xf numFmtId="0" fontId="47" fillId="4" borderId="1" xfId="0" applyFont="1" applyFill="1" applyBorder="1" applyAlignment="1" applyProtection="1">
      <alignment horizontal="center" vertical="center" wrapText="1"/>
      <protection hidden="1"/>
    </xf>
    <xf numFmtId="0" fontId="47" fillId="4" borderId="1" xfId="0" applyFont="1" applyFill="1" applyBorder="1" applyAlignment="1" applyProtection="1">
      <alignment horizontal="center" vertical="center"/>
      <protection hidden="1"/>
    </xf>
    <xf numFmtId="2" fontId="47" fillId="4" borderId="1" xfId="0" applyNumberFormat="1" applyFont="1" applyFill="1" applyBorder="1" applyAlignment="1" applyProtection="1">
      <alignment horizontal="center" vertical="center"/>
      <protection hidden="1"/>
    </xf>
    <xf numFmtId="2" fontId="5" fillId="7" borderId="0" xfId="0" quotePrefix="1" applyNumberFormat="1" applyFont="1" applyFill="1" applyAlignment="1" applyProtection="1">
      <alignment horizontal="center" vertical="center"/>
      <protection hidden="1"/>
    </xf>
    <xf numFmtId="1" fontId="64" fillId="10" borderId="1" xfId="0" applyNumberFormat="1" applyFont="1" applyFill="1" applyBorder="1" applyProtection="1">
      <protection hidden="1"/>
    </xf>
    <xf numFmtId="0" fontId="64" fillId="10" borderId="0" xfId="0" applyFont="1" applyFill="1"/>
    <xf numFmtId="0" fontId="128" fillId="10" borderId="1" xfId="0" applyFont="1" applyFill="1" applyBorder="1"/>
    <xf numFmtId="0" fontId="7" fillId="6" borderId="1" xfId="0" applyFont="1" applyFill="1" applyBorder="1" applyAlignment="1">
      <alignment vertical="center"/>
    </xf>
    <xf numFmtId="0" fontId="7" fillId="6" borderId="1" xfId="0" applyFont="1" applyFill="1" applyBorder="1" applyAlignment="1">
      <alignment horizontal="left" vertical="center"/>
    </xf>
    <xf numFmtId="1" fontId="9" fillId="3" borderId="0" xfId="0" applyNumberFormat="1" applyFont="1" applyFill="1" applyAlignment="1" applyProtection="1">
      <alignment horizontal="center"/>
      <protection hidden="1"/>
    </xf>
    <xf numFmtId="1" fontId="68" fillId="0" borderId="0" xfId="0" applyNumberFormat="1" applyFont="1" applyAlignment="1" applyProtection="1">
      <alignment horizontal="center"/>
      <protection hidden="1"/>
    </xf>
    <xf numFmtId="1" fontId="7" fillId="15" borderId="13" xfId="0" applyNumberFormat="1" applyFont="1" applyFill="1" applyBorder="1" applyProtection="1">
      <protection hidden="1"/>
    </xf>
    <xf numFmtId="1" fontId="5" fillId="4" borderId="3" xfId="0" applyNumberFormat="1" applyFont="1" applyFill="1" applyBorder="1" applyAlignment="1" applyProtection="1">
      <alignment vertical="center"/>
      <protection hidden="1"/>
    </xf>
    <xf numFmtId="1" fontId="5" fillId="4" borderId="15" xfId="0" applyNumberFormat="1" applyFont="1" applyFill="1" applyBorder="1" applyAlignment="1" applyProtection="1">
      <alignment vertical="center"/>
      <protection hidden="1"/>
    </xf>
    <xf numFmtId="2" fontId="5" fillId="10" borderId="0" xfId="0" quotePrefix="1" applyNumberFormat="1" applyFont="1" applyFill="1" applyAlignment="1" applyProtection="1">
      <alignment horizontal="center" vertical="center"/>
      <protection hidden="1"/>
    </xf>
    <xf numFmtId="1" fontId="129" fillId="0" borderId="1" xfId="0" applyNumberFormat="1" applyFont="1" applyBorder="1" applyAlignment="1" applyProtection="1">
      <alignment horizontal="center"/>
      <protection hidden="1"/>
    </xf>
    <xf numFmtId="164" fontId="129" fillId="12" borderId="1" xfId="0" applyNumberFormat="1" applyFont="1" applyFill="1" applyBorder="1" applyAlignment="1" applyProtection="1">
      <alignment horizontal="center"/>
      <protection hidden="1"/>
    </xf>
    <xf numFmtId="164" fontId="64" fillId="12" borderId="1" xfId="0" applyNumberFormat="1" applyFont="1" applyFill="1" applyBorder="1" applyAlignment="1" applyProtection="1">
      <alignment horizontal="right"/>
      <protection hidden="1"/>
    </xf>
    <xf numFmtId="2" fontId="64" fillId="9" borderId="1" xfId="0" applyNumberFormat="1" applyFont="1" applyFill="1" applyBorder="1" applyAlignment="1" applyProtection="1">
      <alignment horizontal="right"/>
      <protection hidden="1"/>
    </xf>
    <xf numFmtId="164" fontId="130" fillId="4" borderId="1" xfId="0" applyNumberFormat="1" applyFont="1" applyFill="1" applyBorder="1" applyAlignment="1" applyProtection="1">
      <alignment horizontal="right"/>
      <protection hidden="1"/>
    </xf>
    <xf numFmtId="164" fontId="129" fillId="14" borderId="1" xfId="0" applyNumberFormat="1" applyFont="1" applyFill="1" applyBorder="1" applyAlignment="1" applyProtection="1">
      <alignment horizontal="center"/>
      <protection hidden="1"/>
    </xf>
    <xf numFmtId="164" fontId="64" fillId="14" borderId="1" xfId="0" applyNumberFormat="1" applyFont="1" applyFill="1" applyBorder="1" applyAlignment="1" applyProtection="1">
      <alignment horizontal="right"/>
      <protection hidden="1"/>
    </xf>
    <xf numFmtId="164" fontId="130" fillId="0" borderId="1" xfId="0" applyNumberFormat="1" applyFont="1" applyBorder="1" applyAlignment="1" applyProtection="1">
      <alignment horizontal="right"/>
      <protection hidden="1"/>
    </xf>
    <xf numFmtId="164" fontId="130" fillId="0" borderId="0" xfId="0" applyNumberFormat="1" applyFont="1" applyAlignment="1" applyProtection="1">
      <alignment horizontal="right"/>
      <protection hidden="1"/>
    </xf>
    <xf numFmtId="1" fontId="64" fillId="0" borderId="0" xfId="0" applyNumberFormat="1" applyFont="1" applyProtection="1">
      <protection hidden="1"/>
    </xf>
    <xf numFmtId="164" fontId="130" fillId="0" borderId="10" xfId="0" applyNumberFormat="1" applyFont="1" applyBorder="1" applyAlignment="1" applyProtection="1">
      <alignment horizontal="right"/>
      <protection hidden="1"/>
    </xf>
    <xf numFmtId="1" fontId="131" fillId="0" borderId="12" xfId="0" applyNumberFormat="1" applyFont="1" applyBorder="1" applyAlignment="1" applyProtection="1">
      <alignment horizontal="left"/>
      <protection hidden="1"/>
    </xf>
    <xf numFmtId="1" fontId="131" fillId="0" borderId="1" xfId="0" applyNumberFormat="1" applyFont="1" applyBorder="1" applyAlignment="1" applyProtection="1">
      <alignment horizontal="left"/>
      <protection hidden="1"/>
    </xf>
    <xf numFmtId="1" fontId="64" fillId="0" borderId="1" xfId="0" applyNumberFormat="1" applyFont="1" applyBorder="1" applyProtection="1">
      <protection hidden="1"/>
    </xf>
    <xf numFmtId="164" fontId="64" fillId="0" borderId="0" xfId="0" applyNumberFormat="1" applyFont="1" applyProtection="1">
      <protection hidden="1"/>
    </xf>
    <xf numFmtId="1" fontId="131" fillId="0" borderId="0" xfId="0" applyNumberFormat="1" applyFont="1" applyAlignment="1" applyProtection="1">
      <alignment horizontal="left"/>
      <protection hidden="1"/>
    </xf>
    <xf numFmtId="1" fontId="131" fillId="10" borderId="0" xfId="0" applyNumberFormat="1" applyFont="1" applyFill="1" applyAlignment="1" applyProtection="1">
      <alignment horizontal="left"/>
      <protection hidden="1"/>
    </xf>
    <xf numFmtId="164" fontId="130" fillId="0" borderId="1" xfId="0" quotePrefix="1" applyNumberFormat="1" applyFont="1" applyBorder="1" applyAlignment="1" applyProtection="1">
      <alignment horizontal="right"/>
      <protection hidden="1"/>
    </xf>
    <xf numFmtId="1" fontId="131" fillId="10" borderId="1" xfId="0" applyNumberFormat="1" applyFont="1" applyFill="1" applyBorder="1" applyAlignment="1" applyProtection="1">
      <alignment horizontal="left"/>
      <protection hidden="1"/>
    </xf>
    <xf numFmtId="1" fontId="131" fillId="3" borderId="1" xfId="0" applyNumberFormat="1" applyFont="1" applyFill="1" applyBorder="1" applyAlignment="1" applyProtection="1">
      <alignment horizontal="left"/>
      <protection hidden="1"/>
    </xf>
    <xf numFmtId="1" fontId="129" fillId="0" borderId="1" xfId="0" quotePrefix="1" applyNumberFormat="1" applyFont="1" applyBorder="1" applyAlignment="1" applyProtection="1">
      <alignment horizontal="center"/>
      <protection hidden="1"/>
    </xf>
    <xf numFmtId="1" fontId="129" fillId="12" borderId="1" xfId="0" quotePrefix="1" applyNumberFormat="1" applyFont="1" applyFill="1" applyBorder="1" applyAlignment="1" applyProtection="1">
      <alignment horizontal="center"/>
      <protection hidden="1"/>
    </xf>
    <xf numFmtId="1" fontId="131" fillId="12" borderId="1" xfId="0" quotePrefix="1" applyNumberFormat="1" applyFont="1" applyFill="1" applyBorder="1" applyAlignment="1" applyProtection="1">
      <alignment horizontal="center"/>
      <protection hidden="1"/>
    </xf>
    <xf numFmtId="2" fontId="131" fillId="9" borderId="1" xfId="0" quotePrefix="1" applyNumberFormat="1" applyFont="1" applyFill="1" applyBorder="1" applyAlignment="1" applyProtection="1">
      <alignment horizontal="center"/>
      <protection hidden="1"/>
    </xf>
    <xf numFmtId="2" fontId="131" fillId="4" borderId="1" xfId="0" quotePrefix="1" applyNumberFormat="1" applyFont="1" applyFill="1" applyBorder="1" applyAlignment="1" applyProtection="1">
      <alignment horizontal="center"/>
      <protection hidden="1"/>
    </xf>
    <xf numFmtId="2" fontId="131" fillId="14" borderId="1" xfId="0" quotePrefix="1" applyNumberFormat="1" applyFont="1" applyFill="1" applyBorder="1" applyAlignment="1" applyProtection="1">
      <alignment horizontal="center"/>
      <protection hidden="1"/>
    </xf>
    <xf numFmtId="1" fontId="131" fillId="14" borderId="1" xfId="0" quotePrefix="1" applyNumberFormat="1" applyFont="1" applyFill="1" applyBorder="1" applyAlignment="1" applyProtection="1">
      <alignment horizontal="center"/>
      <protection hidden="1"/>
    </xf>
    <xf numFmtId="1" fontId="131" fillId="4" borderId="1" xfId="0" quotePrefix="1" applyNumberFormat="1" applyFont="1" applyFill="1" applyBorder="1" applyAlignment="1" applyProtection="1">
      <alignment horizontal="center"/>
      <protection hidden="1"/>
    </xf>
    <xf numFmtId="1" fontId="131" fillId="0" borderId="1" xfId="0" applyNumberFormat="1" applyFont="1" applyBorder="1" applyProtection="1">
      <protection hidden="1"/>
    </xf>
    <xf numFmtId="1" fontId="64" fillId="3" borderId="0" xfId="0" applyNumberFormat="1" applyFont="1" applyFill="1" applyProtection="1">
      <protection hidden="1"/>
    </xf>
    <xf numFmtId="1" fontId="131" fillId="3" borderId="12" xfId="0" applyNumberFormat="1" applyFont="1" applyFill="1" applyBorder="1" applyAlignment="1" applyProtection="1">
      <alignment horizontal="left"/>
      <protection hidden="1"/>
    </xf>
    <xf numFmtId="1" fontId="4" fillId="4" borderId="3" xfId="0" applyNumberFormat="1" applyFont="1" applyFill="1" applyBorder="1" applyAlignment="1" applyProtection="1">
      <alignment horizontal="center"/>
      <protection hidden="1"/>
    </xf>
    <xf numFmtId="1" fontId="131" fillId="0" borderId="13" xfId="0" applyNumberFormat="1" applyFont="1" applyBorder="1" applyAlignment="1" applyProtection="1">
      <alignment horizontal="left"/>
      <protection hidden="1"/>
    </xf>
    <xf numFmtId="1" fontId="32" fillId="0" borderId="1" xfId="0" applyNumberFormat="1" applyFont="1" applyBorder="1" applyProtection="1">
      <protection hidden="1"/>
    </xf>
    <xf numFmtId="1" fontId="64" fillId="4" borderId="0" xfId="0" applyNumberFormat="1" applyFont="1" applyFill="1" applyProtection="1">
      <protection hidden="1"/>
    </xf>
    <xf numFmtId="0" fontId="50" fillId="4" borderId="0" xfId="5" applyFont="1" applyFill="1"/>
    <xf numFmtId="1" fontId="50" fillId="4" borderId="0" xfId="0" applyNumberFormat="1" applyFont="1" applyFill="1" applyProtection="1">
      <protection hidden="1"/>
    </xf>
    <xf numFmtId="1" fontId="50" fillId="0" borderId="0" xfId="0" applyNumberFormat="1" applyFont="1" applyProtection="1">
      <protection hidden="1"/>
    </xf>
    <xf numFmtId="1" fontId="50" fillId="10" borderId="0" xfId="0" applyNumberFormat="1" applyFont="1" applyFill="1" applyProtection="1">
      <protection hidden="1"/>
    </xf>
    <xf numFmtId="0" fontId="50" fillId="0" borderId="0" xfId="5" applyFont="1"/>
    <xf numFmtId="1" fontId="50" fillId="3" borderId="0" xfId="0" applyNumberFormat="1" applyFont="1" applyFill="1" applyProtection="1">
      <protection hidden="1"/>
    </xf>
    <xf numFmtId="1" fontId="130" fillId="3" borderId="0" xfId="0" applyNumberFormat="1" applyFont="1" applyFill="1" applyProtection="1">
      <protection hidden="1"/>
    </xf>
    <xf numFmtId="1" fontId="130" fillId="12" borderId="0" xfId="0" applyNumberFormat="1" applyFont="1" applyFill="1" applyProtection="1">
      <protection hidden="1"/>
    </xf>
    <xf numFmtId="1" fontId="64" fillId="12" borderId="0" xfId="0" applyNumberFormat="1" applyFont="1" applyFill="1" applyProtection="1">
      <protection hidden="1"/>
    </xf>
    <xf numFmtId="2" fontId="64" fillId="9" borderId="0" xfId="0" applyNumberFormat="1" applyFont="1" applyFill="1" applyProtection="1">
      <protection hidden="1"/>
    </xf>
    <xf numFmtId="1" fontId="64" fillId="14" borderId="0" xfId="0" applyNumberFormat="1" applyFont="1" applyFill="1" applyProtection="1">
      <protection hidden="1"/>
    </xf>
    <xf numFmtId="1" fontId="130" fillId="10" borderId="0" xfId="0" applyNumberFormat="1" applyFont="1" applyFill="1" applyProtection="1">
      <protection hidden="1"/>
    </xf>
    <xf numFmtId="2" fontId="64" fillId="10" borderId="0" xfId="0" applyNumberFormat="1" applyFont="1" applyFill="1" applyProtection="1">
      <protection hidden="1"/>
    </xf>
    <xf numFmtId="1" fontId="64" fillId="10" borderId="0" xfId="0" applyNumberFormat="1" applyFont="1" applyFill="1" applyProtection="1">
      <protection hidden="1"/>
    </xf>
    <xf numFmtId="2" fontId="131" fillId="7" borderId="0" xfId="0" quotePrefix="1" applyNumberFormat="1" applyFont="1" applyFill="1" applyAlignment="1" applyProtection="1">
      <alignment horizontal="center" vertical="center"/>
      <protection hidden="1"/>
    </xf>
    <xf numFmtId="1" fontId="133" fillId="0" borderId="1" xfId="0" applyNumberFormat="1" applyFont="1" applyBorder="1" applyAlignment="1" applyProtection="1">
      <alignment horizontal="center"/>
      <protection hidden="1"/>
    </xf>
    <xf numFmtId="1" fontId="15" fillId="0" borderId="1" xfId="0" applyNumberFormat="1" applyFont="1" applyBorder="1" applyAlignment="1" applyProtection="1">
      <alignment horizontal="center"/>
      <protection hidden="1"/>
    </xf>
    <xf numFmtId="1" fontId="7" fillId="4" borderId="0" xfId="0" applyNumberFormat="1" applyFont="1" applyFill="1" applyProtection="1">
      <protection hidden="1"/>
    </xf>
    <xf numFmtId="1" fontId="7" fillId="14" borderId="0" xfId="0" applyNumberFormat="1" applyFont="1" applyFill="1" applyProtection="1">
      <protection hidden="1"/>
    </xf>
    <xf numFmtId="1" fontId="9" fillId="10" borderId="0" xfId="0" applyNumberFormat="1" applyFont="1" applyFill="1" applyProtection="1">
      <protection hidden="1"/>
    </xf>
    <xf numFmtId="1" fontId="7" fillId="10" borderId="0" xfId="0" applyNumberFormat="1" applyFont="1" applyFill="1" applyProtection="1">
      <protection hidden="1"/>
    </xf>
    <xf numFmtId="0" fontId="0" fillId="0" borderId="1" xfId="0" applyBorder="1" applyAlignment="1">
      <alignment horizontal="center" vertical="center"/>
    </xf>
    <xf numFmtId="0" fontId="109" fillId="0" borderId="1" xfId="0" applyFont="1" applyBorder="1" applyAlignment="1">
      <alignment horizontal="center"/>
    </xf>
    <xf numFmtId="0" fontId="0" fillId="0" borderId="2" xfId="0" applyBorder="1" applyAlignment="1">
      <alignment horizontal="center"/>
    </xf>
    <xf numFmtId="0" fontId="0" fillId="0" borderId="2" xfId="0" applyBorder="1"/>
    <xf numFmtId="2" fontId="0" fillId="4" borderId="1" xfId="0" applyNumberFormat="1" applyFill="1" applyBorder="1"/>
    <xf numFmtId="0" fontId="33" fillId="4" borderId="1" xfId="1" applyFont="1" applyFill="1" applyBorder="1" applyAlignment="1">
      <alignment horizontal="left" vertical="center"/>
    </xf>
    <xf numFmtId="0" fontId="18" fillId="4" borderId="1" xfId="0" applyFont="1" applyFill="1" applyBorder="1"/>
    <xf numFmtId="0" fontId="53" fillId="4" borderId="1" xfId="0" applyFont="1" applyFill="1" applyBorder="1" applyAlignment="1">
      <alignment horizontal="center"/>
    </xf>
    <xf numFmtId="2" fontId="18" fillId="4" borderId="1" xfId="0" applyNumberFormat="1" applyFont="1" applyFill="1" applyBorder="1" applyAlignment="1">
      <alignment horizontal="center"/>
    </xf>
    <xf numFmtId="171" fontId="0" fillId="4" borderId="1" xfId="0" applyNumberFormat="1" applyFill="1" applyBorder="1"/>
    <xf numFmtId="184" fontId="113" fillId="3" borderId="0" xfId="0" applyNumberFormat="1" applyFont="1" applyFill="1" applyAlignment="1" applyProtection="1">
      <alignment horizontal="center"/>
      <protection locked="0"/>
    </xf>
    <xf numFmtId="192" fontId="113" fillId="3" borderId="0" xfId="0" applyNumberFormat="1" applyFont="1" applyFill="1" applyAlignment="1" applyProtection="1">
      <alignment horizontal="center"/>
      <protection locked="0"/>
    </xf>
    <xf numFmtId="186" fontId="113" fillId="3" borderId="0" xfId="0" applyNumberFormat="1" applyFont="1" applyFill="1" applyAlignment="1" applyProtection="1">
      <alignment horizontal="center"/>
      <protection locked="0"/>
    </xf>
    <xf numFmtId="201" fontId="113" fillId="3" borderId="1" xfId="0" applyNumberFormat="1" applyFont="1" applyFill="1" applyBorder="1" applyProtection="1">
      <protection locked="0"/>
    </xf>
    <xf numFmtId="165" fontId="19" fillId="3" borderId="0" xfId="0" applyNumberFormat="1" applyFont="1" applyFill="1" applyAlignment="1">
      <alignment horizontal="center" wrapText="1"/>
    </xf>
    <xf numFmtId="201" fontId="19" fillId="3" borderId="0" xfId="0" applyNumberFormat="1" applyFont="1" applyFill="1" applyAlignment="1">
      <alignment horizontal="center" vertical="center" wrapText="1"/>
    </xf>
    <xf numFmtId="202" fontId="113" fillId="3" borderId="1" xfId="0" applyNumberFormat="1" applyFont="1" applyFill="1" applyBorder="1" applyProtection="1">
      <protection locked="0"/>
    </xf>
    <xf numFmtId="202" fontId="19" fillId="3" borderId="0" xfId="0" applyNumberFormat="1" applyFont="1" applyFill="1" applyAlignment="1">
      <alignment horizontal="center" vertical="center" wrapText="1"/>
    </xf>
    <xf numFmtId="0" fontId="0" fillId="0" borderId="1" xfId="0" applyBorder="1" applyAlignment="1">
      <alignment horizontal="center" vertical="top"/>
    </xf>
    <xf numFmtId="0" fontId="19" fillId="3" borderId="0" xfId="0" applyFont="1" applyFill="1" applyAlignment="1">
      <alignment horizontal="center" vertical="top" wrapText="1"/>
    </xf>
    <xf numFmtId="1" fontId="49" fillId="3" borderId="19" xfId="0" applyNumberFormat="1" applyFont="1" applyFill="1" applyBorder="1" applyAlignment="1">
      <alignment horizontal="left" wrapText="1"/>
    </xf>
    <xf numFmtId="1" fontId="49" fillId="3" borderId="20" xfId="0" applyNumberFormat="1" applyFont="1" applyFill="1" applyBorder="1" applyAlignment="1">
      <alignment horizontal="left" wrapText="1"/>
    </xf>
    <xf numFmtId="1" fontId="49" fillId="3" borderId="18" xfId="0" applyNumberFormat="1" applyFont="1" applyFill="1" applyBorder="1" applyAlignment="1">
      <alignment horizontal="left" wrapText="1"/>
    </xf>
    <xf numFmtId="1" fontId="14" fillId="3" borderId="19" xfId="0" applyNumberFormat="1" applyFont="1" applyFill="1" applyBorder="1" applyAlignment="1">
      <alignment horizontal="left" wrapText="1"/>
    </xf>
    <xf numFmtId="1" fontId="14" fillId="3" borderId="20" xfId="0" applyNumberFormat="1" applyFont="1" applyFill="1" applyBorder="1" applyAlignment="1">
      <alignment horizontal="left" wrapText="1"/>
    </xf>
    <xf numFmtId="1" fontId="14" fillId="3" borderId="18" xfId="0" applyNumberFormat="1" applyFont="1" applyFill="1" applyBorder="1" applyAlignment="1">
      <alignment horizontal="left" wrapText="1"/>
    </xf>
    <xf numFmtId="0" fontId="118" fillId="0" borderId="3" xfId="7" applyFont="1" applyBorder="1" applyAlignment="1">
      <alignment horizontal="left" vertical="top" wrapText="1"/>
    </xf>
    <xf numFmtId="0" fontId="114" fillId="0" borderId="0" xfId="7" applyFont="1" applyAlignment="1">
      <alignment horizontal="center"/>
    </xf>
    <xf numFmtId="0" fontId="0" fillId="0" borderId="0" xfId="0" applyAlignment="1">
      <alignment vertical="top"/>
    </xf>
    <xf numFmtId="190" fontId="112" fillId="3" borderId="0" xfId="3" applyNumberFormat="1" applyFont="1" applyFill="1" applyAlignment="1" applyProtection="1">
      <alignment horizontal="center" wrapText="1"/>
      <protection hidden="1"/>
    </xf>
    <xf numFmtId="0" fontId="33" fillId="3" borderId="0" xfId="0" applyFont="1" applyFill="1"/>
    <xf numFmtId="165" fontId="4" fillId="3" borderId="0" xfId="0" applyNumberFormat="1" applyFont="1" applyFill="1" applyProtection="1">
      <protection locked="0"/>
    </xf>
    <xf numFmtId="190" fontId="112" fillId="3" borderId="1" xfId="3" applyNumberFormat="1" applyFont="1" applyFill="1" applyBorder="1" applyAlignment="1" applyProtection="1">
      <alignment horizontal="center" wrapText="1"/>
      <protection hidden="1"/>
    </xf>
    <xf numFmtId="1" fontId="67" fillId="3" borderId="1" xfId="0" applyNumberFormat="1" applyFont="1" applyFill="1" applyBorder="1" applyAlignment="1">
      <alignment horizontal="center"/>
    </xf>
    <xf numFmtId="164" fontId="98" fillId="3" borderId="1" xfId="0" applyNumberFormat="1" applyFont="1" applyFill="1" applyBorder="1" applyAlignment="1">
      <alignment horizontal="right"/>
    </xf>
    <xf numFmtId="1" fontId="67" fillId="3" borderId="0" xfId="0" applyNumberFormat="1" applyFont="1" applyFill="1" applyAlignment="1">
      <alignment horizontal="center"/>
    </xf>
    <xf numFmtId="164" fontId="40" fillId="3" borderId="0" xfId="0" applyNumberFormat="1" applyFont="1" applyFill="1" applyAlignment="1">
      <alignment horizontal="right"/>
    </xf>
    <xf numFmtId="164" fontId="32" fillId="0" borderId="1" xfId="0" applyNumberFormat="1" applyFont="1" applyBorder="1" applyProtection="1">
      <protection hidden="1"/>
    </xf>
    <xf numFmtId="1" fontId="32" fillId="0" borderId="11" xfId="0" applyNumberFormat="1" applyFont="1" applyBorder="1" applyProtection="1">
      <protection hidden="1"/>
    </xf>
    <xf numFmtId="1" fontId="32" fillId="0" borderId="0" xfId="0" applyNumberFormat="1" applyFont="1" applyProtection="1">
      <protection hidden="1"/>
    </xf>
    <xf numFmtId="0" fontId="22" fillId="4" borderId="1" xfId="0" applyFont="1" applyFill="1" applyBorder="1" applyAlignment="1">
      <alignment horizontal="center"/>
    </xf>
    <xf numFmtId="0" fontId="21" fillId="4" borderId="1" xfId="0" applyFont="1" applyFill="1" applyBorder="1" applyAlignment="1">
      <alignment horizontal="left"/>
    </xf>
    <xf numFmtId="0" fontId="134" fillId="0" borderId="0" xfId="0" applyFont="1" applyProtection="1">
      <protection hidden="1"/>
    </xf>
    <xf numFmtId="1" fontId="135" fillId="0" borderId="0" xfId="0" applyNumberFormat="1" applyFont="1" applyProtection="1">
      <protection hidden="1"/>
    </xf>
    <xf numFmtId="0" fontId="7" fillId="3" borderId="1" xfId="0" applyFont="1" applyFill="1" applyBorder="1" applyAlignment="1">
      <alignment horizontal="left" vertical="center"/>
    </xf>
    <xf numFmtId="0" fontId="0" fillId="3" borderId="2" xfId="0" applyFill="1" applyBorder="1" applyAlignment="1">
      <alignment horizontal="left"/>
    </xf>
    <xf numFmtId="0" fontId="32" fillId="3" borderId="1" xfId="0" applyFont="1" applyFill="1" applyBorder="1" applyAlignment="1">
      <alignment horizontal="left" vertical="center"/>
    </xf>
    <xf numFmtId="0" fontId="3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xf>
    <xf numFmtId="0" fontId="7" fillId="3" borderId="1" xfId="0" applyFont="1" applyFill="1" applyBorder="1" applyAlignment="1">
      <alignment horizontal="left"/>
    </xf>
    <xf numFmtId="0" fontId="7"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vertical="top" wrapText="1"/>
    </xf>
    <xf numFmtId="0" fontId="0" fillId="12" borderId="2" xfId="0" applyFill="1" applyBorder="1"/>
    <xf numFmtId="0" fontId="0" fillId="12" borderId="1" xfId="0" applyFill="1" applyBorder="1" applyAlignment="1">
      <alignment vertical="top"/>
    </xf>
    <xf numFmtId="0" fontId="0" fillId="12" borderId="1" xfId="0" applyFill="1" applyBorder="1" applyAlignment="1">
      <alignment vertical="top" wrapText="1"/>
    </xf>
    <xf numFmtId="0" fontId="7" fillId="3" borderId="1" xfId="0" applyFont="1" applyFill="1" applyBorder="1" applyAlignment="1">
      <alignment horizontal="left" vertical="center" wrapText="1"/>
    </xf>
    <xf numFmtId="0" fontId="7" fillId="12" borderId="1" xfId="0" applyFont="1" applyFill="1" applyBorder="1" applyAlignment="1">
      <alignment vertical="center"/>
    </xf>
    <xf numFmtId="164" fontId="19" fillId="16" borderId="0" xfId="0" applyNumberFormat="1" applyFont="1" applyFill="1" applyAlignment="1" applyProtection="1">
      <alignment vertical="center"/>
      <protection locked="0"/>
    </xf>
    <xf numFmtId="0" fontId="13" fillId="16" borderId="0" xfId="0" applyFont="1" applyFill="1" applyAlignment="1" applyProtection="1">
      <alignment vertical="center"/>
      <protection locked="0"/>
    </xf>
    <xf numFmtId="180" fontId="4" fillId="13" borderId="0" xfId="0" quotePrefix="1" applyNumberFormat="1" applyFont="1" applyFill="1" applyAlignment="1" applyProtection="1">
      <alignment horizontal="left" vertical="center"/>
      <protection locked="0"/>
    </xf>
    <xf numFmtId="0" fontId="118" fillId="0" borderId="15" xfId="7" applyFont="1" applyBorder="1" applyAlignment="1">
      <alignment vertical="top" wrapText="1"/>
    </xf>
    <xf numFmtId="0" fontId="136" fillId="12" borderId="0" xfId="0" applyFont="1" applyFill="1" applyAlignment="1" applyProtection="1">
      <alignment horizontal="left" vertical="center"/>
      <protection locked="0"/>
    </xf>
    <xf numFmtId="164" fontId="47" fillId="17" borderId="1" xfId="0" applyNumberFormat="1" applyFont="1" applyFill="1" applyBorder="1" applyAlignment="1" applyProtection="1">
      <alignment horizontal="center" vertical="center"/>
      <protection locked="0"/>
    </xf>
    <xf numFmtId="0" fontId="45" fillId="17" borderId="0" xfId="0" applyFont="1" applyFill="1" applyAlignment="1" applyProtection="1">
      <alignment vertical="center"/>
      <protection locked="0"/>
    </xf>
    <xf numFmtId="1" fontId="45" fillId="17" borderId="0" xfId="0" quotePrefix="1" applyNumberFormat="1" applyFont="1" applyFill="1" applyAlignment="1" applyProtection="1">
      <alignment horizontal="left" vertical="center"/>
      <protection locked="0"/>
    </xf>
    <xf numFmtId="1" fontId="8" fillId="0" borderId="0" xfId="0" applyNumberFormat="1" applyFont="1" applyAlignment="1" applyProtection="1">
      <alignment horizontal="left"/>
      <protection hidden="1"/>
    </xf>
    <xf numFmtId="1" fontId="21" fillId="0" borderId="1" xfId="0" applyNumberFormat="1" applyFont="1" applyBorder="1" applyProtection="1">
      <protection hidden="1"/>
    </xf>
    <xf numFmtId="0" fontId="137" fillId="7" borderId="0" xfId="0" applyFont="1" applyFill="1"/>
    <xf numFmtId="0" fontId="32" fillId="0" borderId="1" xfId="0" applyFont="1" applyBorder="1" applyAlignment="1">
      <alignment horizontal="center" vertical="center"/>
    </xf>
    <xf numFmtId="0" fontId="0" fillId="0" borderId="1" xfId="0" applyBorder="1" applyAlignment="1">
      <alignment horizontal="center" vertical="center"/>
    </xf>
    <xf numFmtId="1" fontId="9" fillId="3" borderId="3" xfId="0" applyNumberFormat="1" applyFont="1" applyFill="1" applyBorder="1" applyAlignment="1" applyProtection="1">
      <alignment horizontal="center"/>
      <protection hidden="1"/>
    </xf>
    <xf numFmtId="1" fontId="9" fillId="3" borderId="15" xfId="0" applyNumberFormat="1" applyFont="1" applyFill="1" applyBorder="1" applyAlignment="1" applyProtection="1">
      <alignment horizontal="center"/>
      <protection hidden="1"/>
    </xf>
    <xf numFmtId="1" fontId="9" fillId="3" borderId="13" xfId="0" applyNumberFormat="1" applyFont="1" applyFill="1" applyBorder="1" applyAlignment="1" applyProtection="1">
      <alignment horizontal="center"/>
      <protection hidden="1"/>
    </xf>
    <xf numFmtId="1" fontId="132" fillId="7" borderId="5" xfId="0" quotePrefix="1" applyNumberFormat="1" applyFont="1" applyFill="1" applyBorder="1" applyAlignment="1" applyProtection="1">
      <alignment horizontal="center" vertical="center"/>
      <protection hidden="1"/>
    </xf>
    <xf numFmtId="1" fontId="132" fillId="7" borderId="10" xfId="0" quotePrefix="1" applyNumberFormat="1" applyFont="1" applyFill="1" applyBorder="1" applyAlignment="1" applyProtection="1">
      <alignment horizontal="center" vertical="center"/>
      <protection hidden="1"/>
    </xf>
    <xf numFmtId="1" fontId="132" fillId="7" borderId="7" xfId="0" quotePrefix="1" applyNumberFormat="1" applyFont="1" applyFill="1" applyBorder="1" applyAlignment="1" applyProtection="1">
      <alignment horizontal="center" vertical="center"/>
      <protection hidden="1"/>
    </xf>
    <xf numFmtId="1" fontId="132" fillId="8" borderId="5" xfId="0" quotePrefix="1" applyNumberFormat="1" applyFont="1" applyFill="1" applyBorder="1" applyAlignment="1" applyProtection="1">
      <alignment horizontal="center" vertical="center"/>
      <protection hidden="1"/>
    </xf>
    <xf numFmtId="1" fontId="132" fillId="8" borderId="10" xfId="0" quotePrefix="1" applyNumberFormat="1" applyFont="1" applyFill="1" applyBorder="1" applyAlignment="1" applyProtection="1">
      <alignment horizontal="center" vertical="center"/>
      <protection hidden="1"/>
    </xf>
    <xf numFmtId="1" fontId="132" fillId="8" borderId="7" xfId="0" quotePrefix="1" applyNumberFormat="1" applyFont="1" applyFill="1" applyBorder="1" applyAlignment="1" applyProtection="1">
      <alignment horizontal="center" vertical="center"/>
      <protection hidden="1"/>
    </xf>
    <xf numFmtId="1" fontId="43" fillId="8" borderId="5" xfId="0" quotePrefix="1" applyNumberFormat="1" applyFont="1" applyFill="1" applyBorder="1" applyAlignment="1" applyProtection="1">
      <alignment horizontal="center" vertical="center"/>
      <protection hidden="1"/>
    </xf>
    <xf numFmtId="1" fontId="43" fillId="8" borderId="10" xfId="0" quotePrefix="1" applyNumberFormat="1" applyFont="1" applyFill="1" applyBorder="1" applyAlignment="1" applyProtection="1">
      <alignment horizontal="center" vertical="center"/>
      <protection hidden="1"/>
    </xf>
    <xf numFmtId="1" fontId="43" fillId="8" borderId="7" xfId="0" quotePrefix="1" applyNumberFormat="1" applyFont="1" applyFill="1" applyBorder="1" applyAlignment="1" applyProtection="1">
      <alignment horizontal="center" vertical="center"/>
      <protection hidden="1"/>
    </xf>
    <xf numFmtId="1" fontId="43" fillId="7" borderId="5" xfId="0" quotePrefix="1" applyNumberFormat="1" applyFont="1" applyFill="1" applyBorder="1" applyAlignment="1" applyProtection="1">
      <alignment horizontal="center" vertical="center"/>
      <protection hidden="1"/>
    </xf>
    <xf numFmtId="1" fontId="43" fillId="7" borderId="10" xfId="0" quotePrefix="1" applyNumberFormat="1" applyFont="1" applyFill="1" applyBorder="1" applyAlignment="1" applyProtection="1">
      <alignment horizontal="center" vertical="center"/>
      <protection hidden="1"/>
    </xf>
    <xf numFmtId="1" fontId="43" fillId="7" borderId="7" xfId="0" quotePrefix="1" applyNumberFormat="1" applyFont="1" applyFill="1" applyBorder="1" applyAlignment="1" applyProtection="1">
      <alignment horizontal="center" vertical="center"/>
      <protection hidden="1"/>
    </xf>
    <xf numFmtId="164" fontId="132" fillId="8" borderId="5" xfId="0" applyNumberFormat="1" applyFont="1" applyFill="1" applyBorder="1" applyAlignment="1" applyProtection="1">
      <alignment horizontal="center" vertical="center"/>
      <protection hidden="1"/>
    </xf>
    <xf numFmtId="164" fontId="132" fillId="8" borderId="10" xfId="0" applyNumberFormat="1" applyFont="1" applyFill="1" applyBorder="1" applyAlignment="1" applyProtection="1">
      <alignment horizontal="center" vertical="center"/>
      <protection hidden="1"/>
    </xf>
    <xf numFmtId="164" fontId="132" fillId="8" borderId="7" xfId="0" applyNumberFormat="1" applyFont="1" applyFill="1" applyBorder="1" applyAlignment="1" applyProtection="1">
      <alignment horizontal="center" vertical="center"/>
      <protection hidden="1"/>
    </xf>
    <xf numFmtId="1" fontId="68" fillId="0" borderId="1" xfId="0" applyNumberFormat="1" applyFont="1" applyBorder="1" applyAlignment="1" applyProtection="1">
      <alignment horizontal="center"/>
      <protection hidden="1"/>
    </xf>
    <xf numFmtId="1" fontId="5" fillId="4" borderId="7" xfId="0" applyNumberFormat="1" applyFont="1" applyFill="1" applyBorder="1" applyAlignment="1" applyProtection="1">
      <alignment horizontal="center" vertical="center"/>
      <protection hidden="1"/>
    </xf>
    <xf numFmtId="1" fontId="7" fillId="15" borderId="3" xfId="0" applyNumberFormat="1" applyFont="1" applyFill="1" applyBorder="1" applyAlignment="1" applyProtection="1">
      <alignment horizontal="center"/>
      <protection hidden="1"/>
    </xf>
    <xf numFmtId="1" fontId="7" fillId="15" borderId="15" xfId="0" applyNumberFormat="1" applyFont="1" applyFill="1" applyBorder="1" applyAlignment="1" applyProtection="1">
      <alignment horizontal="center"/>
      <protection hidden="1"/>
    </xf>
    <xf numFmtId="1" fontId="7" fillId="15" borderId="13" xfId="0" applyNumberFormat="1" applyFont="1" applyFill="1" applyBorder="1" applyAlignment="1" applyProtection="1">
      <alignment horizontal="center"/>
      <protection hidden="1"/>
    </xf>
    <xf numFmtId="1" fontId="43" fillId="8" borderId="1" xfId="0" quotePrefix="1" applyNumberFormat="1" applyFont="1" applyFill="1" applyBorder="1" applyAlignment="1" applyProtection="1">
      <alignment horizontal="center" vertical="center"/>
      <protection hidden="1"/>
    </xf>
    <xf numFmtId="1" fontId="43" fillId="7" borderId="1" xfId="0" quotePrefix="1" applyNumberFormat="1" applyFont="1" applyFill="1" applyBorder="1" applyAlignment="1" applyProtection="1">
      <alignment horizontal="center" vertical="center"/>
      <protection hidden="1"/>
    </xf>
    <xf numFmtId="164" fontId="132" fillId="8" borderId="5" xfId="0" quotePrefix="1" applyNumberFormat="1" applyFont="1" applyFill="1" applyBorder="1" applyAlignment="1" applyProtection="1">
      <alignment horizontal="center" vertical="center"/>
      <protection hidden="1"/>
    </xf>
    <xf numFmtId="1" fontId="43" fillId="12" borderId="5" xfId="0" quotePrefix="1" applyNumberFormat="1" applyFont="1" applyFill="1" applyBorder="1" applyAlignment="1" applyProtection="1">
      <alignment horizontal="center" vertical="center"/>
      <protection hidden="1"/>
    </xf>
    <xf numFmtId="1" fontId="43" fillId="12" borderId="10" xfId="0" quotePrefix="1" applyNumberFormat="1" applyFont="1" applyFill="1" applyBorder="1" applyAlignment="1" applyProtection="1">
      <alignment horizontal="center" vertical="center"/>
      <protection hidden="1"/>
    </xf>
    <xf numFmtId="1" fontId="43" fillId="12" borderId="7" xfId="0" quotePrefix="1" applyNumberFormat="1" applyFont="1" applyFill="1" applyBorder="1" applyAlignment="1" applyProtection="1">
      <alignment horizontal="center" vertical="center"/>
      <protection hidden="1"/>
    </xf>
    <xf numFmtId="0" fontId="24" fillId="3" borderId="0" xfId="0" applyFont="1" applyFill="1" applyAlignment="1" applyProtection="1">
      <alignment horizontal="center" vertical="center"/>
      <protection hidden="1"/>
    </xf>
    <xf numFmtId="0" fontId="2" fillId="14" borderId="0" xfId="0" applyFont="1" applyFill="1" applyAlignment="1" applyProtection="1">
      <alignment horizontal="left" vertical="center"/>
      <protection locked="0"/>
    </xf>
    <xf numFmtId="0" fontId="60" fillId="14" borderId="0" xfId="0" applyFont="1" applyFill="1" applyAlignment="1" applyProtection="1">
      <alignment horizontal="left" vertical="center"/>
      <protection locked="0"/>
    </xf>
    <xf numFmtId="0" fontId="1" fillId="14" borderId="0" xfId="0" applyFont="1" applyFill="1" applyAlignment="1" applyProtection="1">
      <alignment horizontal="left" vertical="center"/>
      <protection locked="0"/>
    </xf>
    <xf numFmtId="164" fontId="45" fillId="17" borderId="0" xfId="0" applyNumberFormat="1" applyFont="1" applyFill="1" applyAlignment="1" applyProtection="1">
      <alignment horizontal="left" vertical="center"/>
      <protection hidden="1"/>
    </xf>
    <xf numFmtId="0" fontId="19" fillId="3" borderId="8" xfId="0" applyFont="1" applyFill="1" applyBorder="1" applyAlignment="1" applyProtection="1">
      <alignment horizontal="center" vertical="center" wrapText="1"/>
      <protection hidden="1"/>
    </xf>
    <xf numFmtId="0" fontId="19" fillId="3" borderId="6" xfId="0" applyFont="1" applyFill="1" applyBorder="1" applyAlignment="1" applyProtection="1">
      <alignment horizontal="center" vertical="center" wrapText="1"/>
      <protection hidden="1"/>
    </xf>
    <xf numFmtId="0" fontId="19" fillId="3" borderId="4" xfId="0" applyFont="1" applyFill="1" applyBorder="1" applyAlignment="1" applyProtection="1">
      <alignment horizontal="center" vertical="center" wrapText="1"/>
      <protection hidden="1"/>
    </xf>
    <xf numFmtId="0" fontId="19" fillId="3" borderId="9" xfId="0" applyFont="1" applyFill="1" applyBorder="1" applyAlignment="1" applyProtection="1">
      <alignment horizontal="center" vertical="center" wrapText="1"/>
      <protection hidden="1"/>
    </xf>
    <xf numFmtId="0" fontId="19" fillId="3" borderId="1" xfId="0" applyFont="1" applyFill="1" applyBorder="1" applyAlignment="1" applyProtection="1">
      <alignment horizontal="center" vertical="center" wrapText="1"/>
      <protection hidden="1"/>
    </xf>
    <xf numFmtId="0" fontId="30" fillId="3" borderId="1" xfId="0" quotePrefix="1" applyFont="1" applyFill="1" applyBorder="1" applyAlignment="1" applyProtection="1">
      <alignment horizontal="center" vertical="center"/>
      <protection hidden="1"/>
    </xf>
    <xf numFmtId="0" fontId="19" fillId="3" borderId="5" xfId="0" applyFont="1" applyFill="1" applyBorder="1" applyAlignment="1" applyProtection="1">
      <alignment horizontal="center" vertical="center" wrapText="1"/>
      <protection hidden="1"/>
    </xf>
    <xf numFmtId="0" fontId="19" fillId="3" borderId="10" xfId="0" applyFont="1" applyFill="1" applyBorder="1" applyAlignment="1" applyProtection="1">
      <alignment horizontal="center" vertical="center" wrapText="1"/>
      <protection hidden="1"/>
    </xf>
    <xf numFmtId="171" fontId="19" fillId="4" borderId="8" xfId="0" applyNumberFormat="1" applyFont="1" applyFill="1" applyBorder="1" applyAlignment="1" applyProtection="1">
      <alignment horizontal="center" vertical="center" wrapText="1"/>
      <protection hidden="1"/>
    </xf>
    <xf numFmtId="171" fontId="19" fillId="4" borderId="6" xfId="0" applyNumberFormat="1" applyFont="1" applyFill="1" applyBorder="1" applyAlignment="1" applyProtection="1">
      <alignment horizontal="center" vertical="center" wrapText="1"/>
      <protection hidden="1"/>
    </xf>
    <xf numFmtId="171" fontId="19" fillId="4" borderId="4" xfId="0" applyNumberFormat="1" applyFont="1" applyFill="1" applyBorder="1" applyAlignment="1" applyProtection="1">
      <alignment horizontal="center" vertical="center" wrapText="1"/>
      <protection hidden="1"/>
    </xf>
    <xf numFmtId="171" fontId="19" fillId="4" borderId="9" xfId="0" applyNumberFormat="1" applyFont="1" applyFill="1" applyBorder="1" applyAlignment="1" applyProtection="1">
      <alignment horizontal="center" vertical="center" wrapText="1"/>
      <protection hidden="1"/>
    </xf>
    <xf numFmtId="164" fontId="47" fillId="13" borderId="8" xfId="0" applyNumberFormat="1" applyFont="1" applyFill="1" applyBorder="1" applyAlignment="1" applyProtection="1">
      <alignment horizontal="center" vertical="center"/>
      <protection locked="0"/>
    </xf>
    <xf numFmtId="164" fontId="47" fillId="13" borderId="6" xfId="0" applyNumberFormat="1" applyFont="1" applyFill="1" applyBorder="1" applyAlignment="1" applyProtection="1">
      <alignment horizontal="center" vertical="center"/>
      <protection locked="0"/>
    </xf>
    <xf numFmtId="164" fontId="47" fillId="13" borderId="4" xfId="0" applyNumberFormat="1" applyFont="1" applyFill="1" applyBorder="1" applyAlignment="1" applyProtection="1">
      <alignment horizontal="center" vertical="center"/>
      <protection locked="0"/>
    </xf>
    <xf numFmtId="164" fontId="47" fillId="13" borderId="9" xfId="0" applyNumberFormat="1" applyFont="1" applyFill="1" applyBorder="1" applyAlignment="1" applyProtection="1">
      <alignment horizontal="center" vertical="center"/>
      <protection locked="0"/>
    </xf>
    <xf numFmtId="0" fontId="19" fillId="3" borderId="5" xfId="0" applyFont="1" applyFill="1" applyBorder="1" applyAlignment="1" applyProtection="1">
      <alignment horizontal="center" vertical="center"/>
      <protection hidden="1"/>
    </xf>
    <xf numFmtId="0" fontId="19" fillId="3" borderId="10" xfId="0" applyFont="1" applyFill="1" applyBorder="1" applyAlignment="1" applyProtection="1">
      <alignment horizontal="center" vertical="center"/>
      <protection hidden="1"/>
    </xf>
    <xf numFmtId="0" fontId="13" fillId="14" borderId="0" xfId="0" applyFont="1" applyFill="1" applyAlignment="1" applyProtection="1">
      <alignment horizontal="left" vertical="center"/>
      <protection locked="0"/>
    </xf>
    <xf numFmtId="0" fontId="19" fillId="3" borderId="8" xfId="0" applyFont="1" applyFill="1" applyBorder="1" applyAlignment="1" applyProtection="1">
      <alignment horizontal="center" vertical="top" wrapText="1"/>
      <protection locked="0"/>
    </xf>
    <xf numFmtId="0" fontId="19" fillId="3" borderId="11" xfId="0" applyFont="1" applyFill="1" applyBorder="1" applyAlignment="1" applyProtection="1">
      <alignment horizontal="center" vertical="top" wrapText="1"/>
      <protection locked="0"/>
    </xf>
    <xf numFmtId="0" fontId="19" fillId="3" borderId="4" xfId="0" applyFont="1" applyFill="1" applyBorder="1" applyAlignment="1" applyProtection="1">
      <alignment horizontal="center" vertical="top" wrapText="1"/>
      <protection locked="0"/>
    </xf>
    <xf numFmtId="0" fontId="19" fillId="3" borderId="2" xfId="0" applyFont="1" applyFill="1" applyBorder="1" applyAlignment="1" applyProtection="1">
      <alignment horizontal="center" vertical="top" wrapText="1"/>
      <protection locked="0"/>
    </xf>
    <xf numFmtId="0" fontId="19" fillId="3" borderId="7" xfId="0" applyFont="1" applyFill="1" applyBorder="1" applyAlignment="1" applyProtection="1">
      <alignment horizontal="center" vertical="center" wrapText="1"/>
      <protection hidden="1"/>
    </xf>
    <xf numFmtId="0" fontId="19" fillId="3" borderId="3" xfId="0" applyFont="1" applyFill="1" applyBorder="1" applyAlignment="1" applyProtection="1">
      <alignment horizontal="center" vertical="center" wrapText="1"/>
      <protection hidden="1"/>
    </xf>
    <xf numFmtId="0" fontId="19" fillId="3" borderId="15" xfId="0" applyFont="1" applyFill="1" applyBorder="1" applyAlignment="1" applyProtection="1">
      <alignment horizontal="center" vertical="center" wrapText="1"/>
      <protection hidden="1"/>
    </xf>
    <xf numFmtId="0" fontId="19" fillId="3" borderId="13" xfId="0" applyFont="1" applyFill="1" applyBorder="1" applyAlignment="1" applyProtection="1">
      <alignment horizontal="center" vertical="center" wrapText="1"/>
      <protection hidden="1"/>
    </xf>
    <xf numFmtId="0" fontId="19" fillId="3" borderId="7" xfId="0" applyFont="1" applyFill="1" applyBorder="1" applyAlignment="1" applyProtection="1">
      <alignment horizontal="center" vertical="center"/>
      <protection hidden="1"/>
    </xf>
    <xf numFmtId="0" fontId="19" fillId="3" borderId="1" xfId="0" applyFont="1" applyFill="1" applyBorder="1" applyAlignment="1" applyProtection="1">
      <alignment horizontal="center" vertical="center"/>
      <protection hidden="1"/>
    </xf>
    <xf numFmtId="171" fontId="47" fillId="13" borderId="8" xfId="0" applyNumberFormat="1" applyFont="1" applyFill="1" applyBorder="1" applyAlignment="1" applyProtection="1">
      <alignment horizontal="center" vertical="center"/>
      <protection locked="0"/>
    </xf>
    <xf numFmtId="171" fontId="47" fillId="13" borderId="6" xfId="0" applyNumberFormat="1" applyFont="1" applyFill="1" applyBorder="1" applyAlignment="1" applyProtection="1">
      <alignment horizontal="center" vertical="center"/>
      <protection locked="0"/>
    </xf>
    <xf numFmtId="171" fontId="47" fillId="13" borderId="4" xfId="0" applyNumberFormat="1" applyFont="1" applyFill="1" applyBorder="1" applyAlignment="1" applyProtection="1">
      <alignment horizontal="center" vertical="center"/>
      <protection locked="0"/>
    </xf>
    <xf numFmtId="171" fontId="47" fillId="13" borderId="9" xfId="0" applyNumberFormat="1" applyFont="1" applyFill="1" applyBorder="1" applyAlignment="1" applyProtection="1">
      <alignment horizontal="center" vertical="center"/>
      <protection locked="0"/>
    </xf>
    <xf numFmtId="171" fontId="19" fillId="4" borderId="8" xfId="0" applyNumberFormat="1" applyFont="1" applyFill="1" applyBorder="1" applyAlignment="1" applyProtection="1">
      <alignment horizontal="center" vertical="center"/>
      <protection hidden="1"/>
    </xf>
    <xf numFmtId="171" fontId="19" fillId="4" borderId="6" xfId="0" applyNumberFormat="1" applyFont="1" applyFill="1" applyBorder="1" applyAlignment="1" applyProtection="1">
      <alignment horizontal="center" vertical="center"/>
      <protection hidden="1"/>
    </xf>
    <xf numFmtId="171" fontId="19" fillId="4" borderId="4" xfId="0" applyNumberFormat="1" applyFont="1" applyFill="1" applyBorder="1" applyAlignment="1" applyProtection="1">
      <alignment horizontal="center" vertical="center"/>
      <protection hidden="1"/>
    </xf>
    <xf numFmtId="171" fontId="19" fillId="4" borderId="9" xfId="0" applyNumberFormat="1" applyFont="1" applyFill="1" applyBorder="1" applyAlignment="1" applyProtection="1">
      <alignment horizontal="center" vertical="center"/>
      <protection hidden="1"/>
    </xf>
    <xf numFmtId="2" fontId="13" fillId="3" borderId="0" xfId="0" applyNumberFormat="1" applyFont="1" applyFill="1" applyAlignment="1" applyProtection="1">
      <alignment horizontal="center" vertical="center" wrapText="1"/>
      <protection locked="0"/>
    </xf>
    <xf numFmtId="0" fontId="19" fillId="3" borderId="6" xfId="0" applyFont="1" applyFill="1" applyBorder="1" applyAlignment="1" applyProtection="1">
      <alignment horizontal="center" vertical="top" wrapText="1"/>
      <protection locked="0"/>
    </xf>
    <xf numFmtId="0" fontId="19" fillId="3" borderId="9" xfId="0" applyFont="1" applyFill="1" applyBorder="1" applyAlignment="1" applyProtection="1">
      <alignment horizontal="center" vertical="top" wrapText="1"/>
      <protection locked="0"/>
    </xf>
    <xf numFmtId="0" fontId="28" fillId="3" borderId="1" xfId="0" applyFont="1" applyFill="1" applyBorder="1" applyAlignment="1" applyProtection="1">
      <alignment horizontal="center" vertical="top" wrapText="1"/>
      <protection locked="0"/>
    </xf>
    <xf numFmtId="171" fontId="28" fillId="3" borderId="1" xfId="0" applyNumberFormat="1" applyFont="1" applyFill="1" applyBorder="1" applyAlignment="1" applyProtection="1">
      <alignment horizontal="center" vertical="center"/>
      <protection locked="0"/>
    </xf>
    <xf numFmtId="164" fontId="19" fillId="3" borderId="1" xfId="0" applyNumberFormat="1" applyFont="1" applyFill="1" applyBorder="1" applyAlignment="1" applyProtection="1">
      <alignment horizontal="center" vertical="center" wrapText="1"/>
      <protection hidden="1"/>
    </xf>
    <xf numFmtId="175" fontId="28" fillId="3" borderId="1" xfId="0" applyNumberFormat="1" applyFont="1" applyFill="1" applyBorder="1" applyAlignment="1" applyProtection="1">
      <alignment horizontal="center" vertical="center" wrapText="1"/>
      <protection locked="0"/>
    </xf>
    <xf numFmtId="0" fontId="19" fillId="3" borderId="1" xfId="0" applyFont="1" applyFill="1" applyBorder="1" applyAlignment="1" applyProtection="1">
      <alignment horizontal="center" vertical="top" wrapText="1"/>
      <protection hidden="1"/>
    </xf>
    <xf numFmtId="164" fontId="19" fillId="3" borderId="1" xfId="0" applyNumberFormat="1" applyFont="1" applyFill="1" applyBorder="1" applyAlignment="1" applyProtection="1">
      <alignment horizontal="center" vertical="top" wrapText="1"/>
      <protection locked="0"/>
    </xf>
    <xf numFmtId="164" fontId="13" fillId="3" borderId="0" xfId="0" applyNumberFormat="1" applyFont="1" applyFill="1" applyAlignment="1" applyProtection="1">
      <alignment horizontal="left" vertical="center" wrapText="1"/>
      <protection locked="0"/>
    </xf>
    <xf numFmtId="0" fontId="79" fillId="3" borderId="5" xfId="0" applyFont="1" applyFill="1" applyBorder="1" applyAlignment="1" applyProtection="1">
      <alignment horizontal="center" vertical="center"/>
      <protection hidden="1"/>
    </xf>
    <xf numFmtId="0" fontId="79" fillId="3" borderId="10" xfId="0" applyFont="1" applyFill="1" applyBorder="1" applyAlignment="1" applyProtection="1">
      <alignment horizontal="center" vertical="center"/>
      <protection hidden="1"/>
    </xf>
    <xf numFmtId="0" fontId="78" fillId="3" borderId="2" xfId="0" applyFont="1" applyFill="1" applyBorder="1" applyAlignment="1" applyProtection="1">
      <alignment horizontal="left"/>
      <protection hidden="1"/>
    </xf>
    <xf numFmtId="0" fontId="78" fillId="3" borderId="0" xfId="0" applyFont="1" applyFill="1" applyAlignment="1" applyProtection="1">
      <alignment horizontal="left"/>
      <protection hidden="1"/>
    </xf>
    <xf numFmtId="0" fontId="32" fillId="3" borderId="5" xfId="0" applyFont="1" applyFill="1" applyBorder="1" applyAlignment="1" applyProtection="1">
      <alignment horizontal="center" vertical="center"/>
      <protection hidden="1"/>
    </xf>
    <xf numFmtId="0" fontId="32" fillId="3" borderId="10" xfId="0" applyFont="1" applyFill="1" applyBorder="1" applyAlignment="1" applyProtection="1">
      <alignment horizontal="center" vertical="center"/>
      <protection hidden="1"/>
    </xf>
    <xf numFmtId="0" fontId="32" fillId="3" borderId="5" xfId="0" applyFont="1" applyFill="1" applyBorder="1" applyAlignment="1" applyProtection="1">
      <alignment horizontal="center" vertical="center" wrapText="1"/>
      <protection hidden="1"/>
    </xf>
    <xf numFmtId="0" fontId="32" fillId="3" borderId="10"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wrapText="1"/>
      <protection hidden="1"/>
    </xf>
    <xf numFmtId="164" fontId="32" fillId="3" borderId="8" xfId="0" applyNumberFormat="1" applyFont="1" applyFill="1" applyBorder="1" applyAlignment="1" applyProtection="1">
      <alignment horizontal="center" vertical="center"/>
      <protection locked="0"/>
    </xf>
    <xf numFmtId="164" fontId="32" fillId="3" borderId="6" xfId="0" applyNumberFormat="1" applyFont="1" applyFill="1" applyBorder="1" applyAlignment="1" applyProtection="1">
      <alignment horizontal="center" vertical="center"/>
      <protection locked="0"/>
    </xf>
    <xf numFmtId="164" fontId="32" fillId="3" borderId="4" xfId="0" applyNumberFormat="1" applyFont="1" applyFill="1" applyBorder="1" applyAlignment="1" applyProtection="1">
      <alignment horizontal="center" vertical="center"/>
      <protection locked="0"/>
    </xf>
    <xf numFmtId="164" fontId="32" fillId="3" borderId="9" xfId="0" applyNumberFormat="1" applyFont="1" applyFill="1" applyBorder="1" applyAlignment="1" applyProtection="1">
      <alignment horizontal="center" vertical="center"/>
      <protection locked="0"/>
    </xf>
    <xf numFmtId="0" fontId="82" fillId="3" borderId="1" xfId="0" quotePrefix="1" applyFont="1" applyFill="1" applyBorder="1" applyAlignment="1" applyProtection="1">
      <alignment horizontal="center" vertical="center"/>
      <protection hidden="1"/>
    </xf>
    <xf numFmtId="0" fontId="32" fillId="3" borderId="7" xfId="0" applyFont="1" applyFill="1" applyBorder="1" applyAlignment="1" applyProtection="1">
      <alignment horizontal="center" vertical="center"/>
      <protection hidden="1"/>
    </xf>
    <xf numFmtId="0" fontId="32" fillId="3" borderId="8" xfId="0" applyFont="1" applyFill="1" applyBorder="1" applyAlignment="1" applyProtection="1">
      <alignment horizontal="center" vertical="center" wrapText="1"/>
      <protection hidden="1"/>
    </xf>
    <xf numFmtId="0" fontId="32" fillId="3" borderId="6" xfId="0" applyFont="1" applyFill="1" applyBorder="1" applyAlignment="1" applyProtection="1">
      <alignment horizontal="center" vertical="center" wrapText="1"/>
      <protection hidden="1"/>
    </xf>
    <xf numFmtId="0" fontId="32" fillId="3" borderId="4" xfId="0" applyFont="1" applyFill="1" applyBorder="1" applyAlignment="1" applyProtection="1">
      <alignment horizontal="center" vertical="center" wrapText="1"/>
      <protection hidden="1"/>
    </xf>
    <xf numFmtId="0" fontId="32" fillId="3" borderId="9" xfId="0" applyFont="1" applyFill="1" applyBorder="1" applyAlignment="1" applyProtection="1">
      <alignment horizontal="center" vertical="center" wrapText="1"/>
      <protection hidden="1"/>
    </xf>
    <xf numFmtId="0" fontId="32" fillId="3" borderId="7" xfId="0" applyFont="1" applyFill="1" applyBorder="1" applyAlignment="1" applyProtection="1">
      <alignment horizontal="center" vertical="center" wrapText="1"/>
      <protection hidden="1"/>
    </xf>
    <xf numFmtId="0" fontId="32" fillId="3" borderId="1" xfId="0" applyFont="1" applyFill="1" applyBorder="1" applyAlignment="1" applyProtection="1">
      <alignment horizontal="center" vertical="center"/>
      <protection hidden="1"/>
    </xf>
    <xf numFmtId="0" fontId="78" fillId="3" borderId="2" xfId="0" applyFont="1" applyFill="1" applyBorder="1" applyAlignment="1" applyProtection="1">
      <alignment horizontal="left" wrapText="1"/>
      <protection hidden="1"/>
    </xf>
    <xf numFmtId="0" fontId="74" fillId="3" borderId="0" xfId="0" applyFont="1" applyFill="1" applyAlignment="1" applyProtection="1">
      <alignment horizontal="center" vertical="center"/>
      <protection hidden="1"/>
    </xf>
    <xf numFmtId="0" fontId="100" fillId="3" borderId="0" xfId="0" applyFont="1" applyFill="1" applyAlignment="1" applyProtection="1">
      <alignment horizontal="center" vertical="center"/>
      <protection locked="0"/>
    </xf>
    <xf numFmtId="2" fontId="32" fillId="3" borderId="8" xfId="0" applyNumberFormat="1" applyFont="1" applyFill="1" applyBorder="1" applyAlignment="1" applyProtection="1">
      <alignment horizontal="center" vertical="center"/>
      <protection locked="0"/>
    </xf>
    <xf numFmtId="2" fontId="32" fillId="3" borderId="6" xfId="0" applyNumberFormat="1" applyFont="1" applyFill="1" applyBorder="1" applyAlignment="1" applyProtection="1">
      <alignment horizontal="center" vertical="center"/>
      <protection locked="0"/>
    </xf>
    <xf numFmtId="2" fontId="32" fillId="3" borderId="4" xfId="0" applyNumberFormat="1" applyFont="1" applyFill="1" applyBorder="1" applyAlignment="1" applyProtection="1">
      <alignment horizontal="center" vertical="center"/>
      <protection locked="0"/>
    </xf>
    <xf numFmtId="2" fontId="32" fillId="3" borderId="9" xfId="0" applyNumberFormat="1" applyFont="1" applyFill="1" applyBorder="1" applyAlignment="1" applyProtection="1">
      <alignment horizontal="center" vertical="center"/>
      <protection locked="0"/>
    </xf>
    <xf numFmtId="0" fontId="79" fillId="3" borderId="8" xfId="0" applyFont="1" applyFill="1" applyBorder="1" applyAlignment="1" applyProtection="1">
      <alignment horizontal="center" vertical="center" wrapText="1"/>
      <protection hidden="1"/>
    </xf>
    <xf numFmtId="0" fontId="79" fillId="3" borderId="11" xfId="0" applyFont="1" applyFill="1" applyBorder="1" applyAlignment="1" applyProtection="1">
      <alignment horizontal="center" vertical="center" wrapText="1"/>
      <protection hidden="1"/>
    </xf>
    <xf numFmtId="0" fontId="79" fillId="3" borderId="6" xfId="0" applyFont="1" applyFill="1" applyBorder="1" applyAlignment="1" applyProtection="1">
      <alignment horizontal="center" vertical="center" wrapText="1"/>
      <protection hidden="1"/>
    </xf>
    <xf numFmtId="0" fontId="79" fillId="3" borderId="4" xfId="0" applyFont="1" applyFill="1" applyBorder="1" applyAlignment="1" applyProtection="1">
      <alignment horizontal="center" vertical="center" wrapText="1"/>
      <protection hidden="1"/>
    </xf>
    <xf numFmtId="0" fontId="79" fillId="3" borderId="2" xfId="0" applyFont="1" applyFill="1" applyBorder="1" applyAlignment="1" applyProtection="1">
      <alignment horizontal="center" vertical="center" wrapText="1"/>
      <protection hidden="1"/>
    </xf>
    <xf numFmtId="0" fontId="79" fillId="3" borderId="9" xfId="0" applyFont="1" applyFill="1" applyBorder="1" applyAlignment="1" applyProtection="1">
      <alignment horizontal="center" vertical="center" wrapText="1"/>
      <protection hidden="1"/>
    </xf>
    <xf numFmtId="0" fontId="80" fillId="3" borderId="0" xfId="0" applyFont="1" applyFill="1" applyAlignment="1" applyProtection="1">
      <alignment horizontal="center" wrapText="1"/>
      <protection hidden="1"/>
    </xf>
    <xf numFmtId="0" fontId="80" fillId="3" borderId="0" xfId="0" applyFont="1" applyFill="1" applyAlignment="1" applyProtection="1">
      <alignment horizontal="left" vertical="center" wrapText="1"/>
      <protection hidden="1"/>
    </xf>
    <xf numFmtId="0" fontId="79" fillId="3" borderId="1" xfId="0" applyFont="1" applyFill="1" applyBorder="1" applyAlignment="1" applyProtection="1">
      <alignment horizontal="center" vertical="center" wrapText="1"/>
      <protection hidden="1"/>
    </xf>
    <xf numFmtId="1" fontId="32" fillId="3" borderId="1" xfId="0" applyNumberFormat="1" applyFont="1" applyFill="1" applyBorder="1" applyAlignment="1" applyProtection="1">
      <alignment horizontal="center" vertical="center"/>
      <protection locked="0"/>
    </xf>
    <xf numFmtId="0" fontId="79" fillId="3" borderId="12" xfId="0" applyFont="1" applyFill="1" applyBorder="1" applyAlignment="1" applyProtection="1">
      <alignment horizontal="center" vertical="center"/>
      <protection locked="0"/>
    </xf>
    <xf numFmtId="0" fontId="79" fillId="3" borderId="0" xfId="0" applyFont="1" applyFill="1" applyAlignment="1" applyProtection="1">
      <alignment horizontal="center" vertical="center"/>
      <protection locked="0"/>
    </xf>
    <xf numFmtId="0" fontId="55" fillId="0" borderId="1" xfId="0" applyFont="1" applyBorder="1" applyAlignment="1">
      <alignment horizontal="center" vertical="center"/>
    </xf>
    <xf numFmtId="164" fontId="79" fillId="3" borderId="5" xfId="0" applyNumberFormat="1" applyFont="1" applyFill="1" applyBorder="1" applyAlignment="1" applyProtection="1">
      <alignment horizontal="center" vertical="center" wrapText="1"/>
      <protection locked="0"/>
    </xf>
    <xf numFmtId="164" fontId="79" fillId="3" borderId="10" xfId="0" applyNumberFormat="1" applyFont="1" applyFill="1" applyBorder="1" applyAlignment="1" applyProtection="1">
      <alignment horizontal="center" vertical="center" wrapText="1"/>
      <protection locked="0"/>
    </xf>
    <xf numFmtId="164" fontId="79" fillId="3" borderId="7" xfId="0" applyNumberFormat="1" applyFont="1" applyFill="1" applyBorder="1" applyAlignment="1" applyProtection="1">
      <alignment horizontal="center" vertical="center" wrapText="1"/>
      <protection locked="0"/>
    </xf>
    <xf numFmtId="0" fontId="53" fillId="0" borderId="1" xfId="0" applyFont="1" applyBorder="1" applyAlignment="1">
      <alignment horizontal="center" vertical="center"/>
    </xf>
    <xf numFmtId="0" fontId="53" fillId="7" borderId="3" xfId="0" applyFont="1" applyFill="1" applyBorder="1" applyAlignment="1">
      <alignment horizontal="center" vertical="center"/>
    </xf>
    <xf numFmtId="0" fontId="53" fillId="7" borderId="13" xfId="0" applyFont="1" applyFill="1" applyBorder="1" applyAlignment="1">
      <alignment horizontal="center" vertical="center"/>
    </xf>
    <xf numFmtId="0" fontId="51" fillId="0" borderId="0" xfId="0" applyFont="1" applyAlignment="1">
      <alignment horizontal="center"/>
    </xf>
    <xf numFmtId="0" fontId="53" fillId="0" borderId="0" xfId="0" applyFont="1" applyAlignment="1">
      <alignment horizontal="center" vertical="center"/>
    </xf>
    <xf numFmtId="0" fontId="58" fillId="4" borderId="0" xfId="0" applyFont="1" applyFill="1" applyAlignment="1">
      <alignment horizontal="center"/>
    </xf>
    <xf numFmtId="0" fontId="50" fillId="0" borderId="1" xfId="0" applyFont="1" applyBorder="1" applyAlignment="1">
      <alignment horizontal="left"/>
    </xf>
    <xf numFmtId="171" fontId="50" fillId="0" borderId="1" xfId="0" applyNumberFormat="1" applyFont="1" applyBorder="1" applyAlignment="1">
      <alignment horizontal="left"/>
    </xf>
    <xf numFmtId="0" fontId="50" fillId="0" borderId="1" xfId="0" applyFont="1" applyBorder="1" applyAlignment="1">
      <alignment horizontal="center"/>
    </xf>
    <xf numFmtId="0" fontId="46" fillId="3" borderId="3" xfId="0" applyFont="1" applyFill="1" applyBorder="1" applyAlignment="1" applyProtection="1">
      <alignment horizontal="center" vertical="center"/>
      <protection hidden="1"/>
    </xf>
    <xf numFmtId="0" fontId="46" fillId="3" borderId="15" xfId="0" applyFont="1" applyFill="1" applyBorder="1" applyAlignment="1" applyProtection="1">
      <alignment horizontal="center" vertical="center"/>
      <protection hidden="1"/>
    </xf>
    <xf numFmtId="0" fontId="46" fillId="3" borderId="13" xfId="0" applyFont="1" applyFill="1" applyBorder="1" applyAlignment="1" applyProtection="1">
      <alignment horizontal="center" vertical="center"/>
      <protection hidden="1"/>
    </xf>
    <xf numFmtId="2" fontId="19" fillId="3" borderId="8" xfId="0" applyNumberFormat="1" applyFont="1" applyFill="1" applyBorder="1" applyAlignment="1" applyProtection="1">
      <alignment horizontal="center" vertical="center" wrapText="1"/>
      <protection hidden="1"/>
    </xf>
    <xf numFmtId="2" fontId="19" fillId="3" borderId="6" xfId="0" applyNumberFormat="1" applyFont="1" applyFill="1" applyBorder="1" applyAlignment="1" applyProtection="1">
      <alignment horizontal="center" vertical="center" wrapText="1"/>
      <protection hidden="1"/>
    </xf>
    <xf numFmtId="2" fontId="19" fillId="3" borderId="4" xfId="0" applyNumberFormat="1" applyFont="1" applyFill="1" applyBorder="1" applyAlignment="1" applyProtection="1">
      <alignment horizontal="center" vertical="center" wrapText="1"/>
      <protection hidden="1"/>
    </xf>
    <xf numFmtId="2" fontId="19" fillId="3" borderId="9" xfId="0" applyNumberFormat="1" applyFont="1" applyFill="1" applyBorder="1" applyAlignment="1" applyProtection="1">
      <alignment horizontal="center" vertical="center" wrapText="1"/>
      <protection hidden="1"/>
    </xf>
    <xf numFmtId="0" fontId="46" fillId="3" borderId="1" xfId="0" applyFont="1" applyFill="1" applyBorder="1" applyAlignment="1" applyProtection="1">
      <alignment horizontal="center" vertical="center"/>
      <protection hidden="1"/>
    </xf>
    <xf numFmtId="0" fontId="68" fillId="0" borderId="8" xfId="0" applyFont="1" applyBorder="1" applyAlignment="1">
      <alignment horizontal="center" vertical="center"/>
    </xf>
    <xf numFmtId="0" fontId="68" fillId="0" borderId="11" xfId="0" applyFont="1" applyBorder="1" applyAlignment="1">
      <alignment horizontal="center" vertical="center"/>
    </xf>
    <xf numFmtId="0" fontId="68" fillId="0" borderId="6" xfId="0" applyFont="1" applyBorder="1" applyAlignment="1">
      <alignment horizontal="center" vertical="center"/>
    </xf>
    <xf numFmtId="0" fontId="68" fillId="0" borderId="4" xfId="0" applyFont="1" applyBorder="1" applyAlignment="1">
      <alignment horizontal="center" vertical="center"/>
    </xf>
    <xf numFmtId="0" fontId="68" fillId="0" borderId="2" xfId="0" applyFont="1" applyBorder="1" applyAlignment="1">
      <alignment horizontal="center" vertical="center"/>
    </xf>
    <xf numFmtId="0" fontId="68" fillId="0" borderId="9" xfId="0" applyFont="1" applyBorder="1" applyAlignment="1">
      <alignment horizontal="center" vertical="center"/>
    </xf>
    <xf numFmtId="2" fontId="54" fillId="4" borderId="0" xfId="0" applyNumberFormat="1" applyFont="1" applyFill="1" applyAlignment="1">
      <alignment horizontal="center" vertical="center"/>
    </xf>
    <xf numFmtId="2" fontId="54" fillId="0" borderId="24" xfId="0" applyNumberFormat="1" applyFont="1" applyBorder="1" applyAlignment="1">
      <alignment horizontal="center" vertical="center"/>
    </xf>
    <xf numFmtId="2" fontId="54" fillId="0" borderId="28" xfId="0" applyNumberFormat="1" applyFont="1" applyBorder="1" applyAlignment="1">
      <alignment horizontal="center" vertical="center"/>
    </xf>
    <xf numFmtId="2" fontId="54" fillId="0" borderId="25" xfId="0" applyNumberFormat="1" applyFont="1" applyBorder="1" applyAlignment="1">
      <alignment horizontal="center" vertical="center"/>
    </xf>
    <xf numFmtId="2" fontId="54" fillId="0" borderId="23" xfId="0" applyNumberFormat="1" applyFont="1" applyBorder="1" applyAlignment="1">
      <alignment horizontal="center" vertical="center"/>
    </xf>
    <xf numFmtId="2" fontId="54" fillId="0" borderId="22" xfId="0" applyNumberFormat="1" applyFont="1" applyBorder="1" applyAlignment="1">
      <alignment horizontal="center" vertical="center"/>
    </xf>
    <xf numFmtId="2" fontId="54" fillId="0" borderId="21" xfId="0" applyNumberFormat="1" applyFont="1" applyBorder="1" applyAlignment="1">
      <alignment horizontal="center" vertical="center"/>
    </xf>
    <xf numFmtId="2" fontId="54" fillId="0" borderId="0" xfId="0" applyNumberFormat="1" applyFont="1" applyAlignment="1">
      <alignment horizontal="center" vertical="center"/>
    </xf>
    <xf numFmtId="2" fontId="127" fillId="0" borderId="0" xfId="0" applyNumberFormat="1" applyFont="1" applyAlignment="1">
      <alignment horizontal="center" vertical="center"/>
    </xf>
    <xf numFmtId="2" fontId="127" fillId="0" borderId="0" xfId="0" applyNumberFormat="1" applyFont="1" applyAlignment="1">
      <alignment horizontal="center" vertical="center" wrapText="1"/>
    </xf>
    <xf numFmtId="0" fontId="55" fillId="3" borderId="0" xfId="0" applyFont="1" applyFill="1" applyAlignment="1" applyProtection="1">
      <alignment horizontal="left" vertical="top" wrapText="1"/>
      <protection locked="0"/>
    </xf>
    <xf numFmtId="0" fontId="79" fillId="2" borderId="0" xfId="0" applyFont="1" applyFill="1" applyAlignment="1" applyProtection="1">
      <alignment horizontal="center"/>
      <protection hidden="1"/>
    </xf>
    <xf numFmtId="0" fontId="88" fillId="2" borderId="0" xfId="0" applyFont="1" applyFill="1" applyAlignment="1" applyProtection="1">
      <alignment horizontal="left"/>
      <protection locked="0"/>
    </xf>
    <xf numFmtId="0" fontId="79" fillId="2" borderId="1" xfId="0" applyFont="1" applyFill="1" applyBorder="1" applyAlignment="1" applyProtection="1">
      <alignment horizontal="center" vertical="center"/>
      <protection hidden="1"/>
    </xf>
    <xf numFmtId="0" fontId="79" fillId="2" borderId="1" xfId="0" applyFont="1" applyFill="1" applyBorder="1" applyAlignment="1" applyProtection="1">
      <alignment horizontal="center" vertical="center" wrapText="1"/>
      <protection hidden="1"/>
    </xf>
    <xf numFmtId="0" fontId="74" fillId="3" borderId="0" xfId="0" applyFont="1" applyFill="1" applyAlignment="1" applyProtection="1">
      <alignment horizontal="center" vertical="center"/>
      <protection locked="0"/>
    </xf>
    <xf numFmtId="0" fontId="79" fillId="0" borderId="3" xfId="0" applyFont="1" applyBorder="1" applyAlignment="1" applyProtection="1">
      <alignment horizontal="center" vertical="center" wrapText="1"/>
      <protection hidden="1"/>
    </xf>
    <xf numFmtId="0" fontId="79" fillId="0" borderId="13" xfId="0" applyFont="1" applyBorder="1" applyAlignment="1" applyProtection="1">
      <alignment horizontal="center" vertical="center" wrapText="1"/>
      <protection hidden="1"/>
    </xf>
    <xf numFmtId="0" fontId="79" fillId="0" borderId="5" xfId="0" applyFont="1" applyBorder="1" applyAlignment="1" applyProtection="1">
      <alignment horizontal="center" vertical="center" wrapText="1"/>
      <protection hidden="1"/>
    </xf>
    <xf numFmtId="0" fontId="79" fillId="0" borderId="10" xfId="0" applyFont="1" applyBorder="1" applyAlignment="1" applyProtection="1">
      <alignment horizontal="center" vertical="center" wrapText="1"/>
      <protection hidden="1"/>
    </xf>
    <xf numFmtId="0" fontId="79" fillId="0" borderId="7" xfId="0" applyFont="1" applyBorder="1" applyAlignment="1" applyProtection="1">
      <alignment horizontal="center" vertical="center" wrapText="1"/>
      <protection hidden="1"/>
    </xf>
    <xf numFmtId="0" fontId="79" fillId="2" borderId="8" xfId="0" applyFont="1" applyFill="1" applyBorder="1" applyAlignment="1" applyProtection="1">
      <alignment horizontal="center" vertical="center" wrapText="1"/>
      <protection hidden="1"/>
    </xf>
    <xf numFmtId="0" fontId="79" fillId="2" borderId="11" xfId="0" applyFont="1" applyFill="1" applyBorder="1" applyAlignment="1" applyProtection="1">
      <alignment horizontal="center" vertical="center"/>
      <protection hidden="1"/>
    </xf>
    <xf numFmtId="0" fontId="79" fillId="2" borderId="6" xfId="0" applyFont="1" applyFill="1" applyBorder="1" applyAlignment="1" applyProtection="1">
      <alignment horizontal="center" vertical="center"/>
      <protection hidden="1"/>
    </xf>
    <xf numFmtId="0" fontId="79" fillId="2" borderId="12" xfId="0" applyFont="1" applyFill="1" applyBorder="1" applyAlignment="1" applyProtection="1">
      <alignment horizontal="center" vertical="center"/>
      <protection hidden="1"/>
    </xf>
    <xf numFmtId="0" fontId="79" fillId="2" borderId="0" xfId="0" applyFont="1" applyFill="1" applyAlignment="1" applyProtection="1">
      <alignment horizontal="center" vertical="center"/>
      <protection hidden="1"/>
    </xf>
    <xf numFmtId="0" fontId="79" fillId="2" borderId="14" xfId="0" applyFont="1" applyFill="1" applyBorder="1" applyAlignment="1" applyProtection="1">
      <alignment horizontal="center" vertical="center"/>
      <protection hidden="1"/>
    </xf>
    <xf numFmtId="0" fontId="79" fillId="2" borderId="4" xfId="0" applyFont="1" applyFill="1" applyBorder="1" applyAlignment="1" applyProtection="1">
      <alignment horizontal="center" vertical="center"/>
      <protection hidden="1"/>
    </xf>
    <xf numFmtId="0" fontId="79" fillId="2" borderId="2" xfId="0" applyFont="1" applyFill="1" applyBorder="1" applyAlignment="1" applyProtection="1">
      <alignment horizontal="center" vertical="center"/>
      <protection hidden="1"/>
    </xf>
    <xf numFmtId="0" fontId="79" fillId="2" borderId="9" xfId="0" applyFont="1" applyFill="1" applyBorder="1" applyAlignment="1" applyProtection="1">
      <alignment horizontal="center" vertical="center"/>
      <protection hidden="1"/>
    </xf>
    <xf numFmtId="0" fontId="79" fillId="2" borderId="7" xfId="0" applyFont="1" applyFill="1" applyBorder="1" applyAlignment="1" applyProtection="1">
      <alignment horizontal="center" vertical="center"/>
      <protection hidden="1"/>
    </xf>
    <xf numFmtId="0" fontId="79" fillId="2" borderId="1" xfId="0" applyFont="1" applyFill="1" applyBorder="1" applyAlignment="1" applyProtection="1">
      <alignment horizontal="center"/>
      <protection hidden="1"/>
    </xf>
    <xf numFmtId="0" fontId="79" fillId="3" borderId="1" xfId="0" applyFont="1" applyFill="1" applyBorder="1" applyAlignment="1" applyProtection="1">
      <alignment horizontal="center"/>
      <protection hidden="1"/>
    </xf>
    <xf numFmtId="166" fontId="89" fillId="2" borderId="1" xfId="0" quotePrefix="1" applyNumberFormat="1" applyFont="1" applyFill="1" applyBorder="1" applyAlignment="1" applyProtection="1">
      <alignment horizontal="center" vertical="center"/>
      <protection hidden="1"/>
    </xf>
    <xf numFmtId="0" fontId="79" fillId="2" borderId="4" xfId="0" applyFont="1" applyFill="1" applyBorder="1" applyAlignment="1" applyProtection="1">
      <alignment horizontal="center"/>
      <protection hidden="1"/>
    </xf>
    <xf numFmtId="0" fontId="79" fillId="2" borderId="2" xfId="0" applyFont="1" applyFill="1" applyBorder="1" applyAlignment="1" applyProtection="1">
      <alignment horizontal="center"/>
      <protection hidden="1"/>
    </xf>
    <xf numFmtId="0" fontId="79" fillId="2" borderId="9" xfId="0" applyFont="1" applyFill="1" applyBorder="1" applyAlignment="1" applyProtection="1">
      <alignment horizontal="center"/>
      <protection hidden="1"/>
    </xf>
    <xf numFmtId="0" fontId="79" fillId="2" borderId="5" xfId="0" applyFont="1" applyFill="1" applyBorder="1" applyAlignment="1" applyProtection="1">
      <alignment horizontal="center" vertical="center" wrapText="1"/>
      <protection hidden="1"/>
    </xf>
    <xf numFmtId="0" fontId="79" fillId="2" borderId="10" xfId="0" applyFont="1" applyFill="1" applyBorder="1" applyAlignment="1" applyProtection="1">
      <alignment horizontal="center" vertical="center" wrapText="1"/>
      <protection hidden="1"/>
    </xf>
    <xf numFmtId="0" fontId="79" fillId="2" borderId="10" xfId="0" applyFont="1" applyFill="1" applyBorder="1" applyAlignment="1" applyProtection="1">
      <alignment horizontal="center" vertical="center"/>
      <protection hidden="1"/>
    </xf>
    <xf numFmtId="180" fontId="79" fillId="2" borderId="0" xfId="0" applyNumberFormat="1" applyFont="1" applyFill="1" applyAlignment="1" applyProtection="1">
      <alignment horizontal="left"/>
      <protection locked="0"/>
    </xf>
    <xf numFmtId="0" fontId="77" fillId="2" borderId="0" xfId="0" applyFont="1" applyFill="1" applyAlignment="1" applyProtection="1">
      <alignment horizontal="center" vertical="center"/>
      <protection locked="0"/>
    </xf>
    <xf numFmtId="0" fontId="79" fillId="2" borderId="8" xfId="0" applyFont="1" applyFill="1" applyBorder="1" applyAlignment="1" applyProtection="1">
      <alignment horizontal="center" vertical="top" wrapText="1"/>
      <protection hidden="1"/>
    </xf>
    <xf numFmtId="0" fontId="79" fillId="2" borderId="11" xfId="0" applyFont="1" applyFill="1" applyBorder="1" applyAlignment="1" applyProtection="1">
      <alignment horizontal="center" vertical="top" wrapText="1"/>
      <protection hidden="1"/>
    </xf>
    <xf numFmtId="0" fontId="79" fillId="2" borderId="6" xfId="0" applyFont="1" applyFill="1" applyBorder="1" applyAlignment="1" applyProtection="1">
      <alignment horizontal="center" vertical="top" wrapText="1"/>
      <protection hidden="1"/>
    </xf>
    <xf numFmtId="0" fontId="79" fillId="2" borderId="12" xfId="0" applyFont="1" applyFill="1" applyBorder="1" applyAlignment="1" applyProtection="1">
      <alignment horizontal="center" vertical="top" wrapText="1"/>
      <protection hidden="1"/>
    </xf>
    <xf numFmtId="0" fontId="79" fillId="2" borderId="0" xfId="0" applyFont="1" applyFill="1" applyAlignment="1" applyProtection="1">
      <alignment horizontal="center" vertical="top" wrapText="1"/>
      <protection hidden="1"/>
    </xf>
    <xf numFmtId="0" fontId="79" fillId="2" borderId="14" xfId="0" applyFont="1" applyFill="1" applyBorder="1" applyAlignment="1" applyProtection="1">
      <alignment horizontal="center" vertical="top" wrapText="1"/>
      <protection hidden="1"/>
    </xf>
    <xf numFmtId="164" fontId="79" fillId="2" borderId="3" xfId="0" applyNumberFormat="1" applyFont="1" applyFill="1" applyBorder="1" applyAlignment="1" applyProtection="1">
      <alignment horizontal="center"/>
      <protection hidden="1"/>
    </xf>
    <xf numFmtId="164" fontId="79" fillId="2" borderId="15" xfId="0" applyNumberFormat="1" applyFont="1" applyFill="1" applyBorder="1" applyAlignment="1" applyProtection="1">
      <alignment horizontal="center"/>
      <protection hidden="1"/>
    </xf>
    <xf numFmtId="164" fontId="79" fillId="2" borderId="13" xfId="0" applyNumberFormat="1" applyFont="1" applyFill="1" applyBorder="1" applyAlignment="1" applyProtection="1">
      <alignment horizontal="center"/>
      <protection hidden="1"/>
    </xf>
    <xf numFmtId="0" fontId="79" fillId="2" borderId="0" xfId="0" applyFont="1" applyFill="1" applyAlignment="1" applyProtection="1">
      <alignment horizontal="left"/>
      <protection hidden="1"/>
    </xf>
    <xf numFmtId="0" fontId="79" fillId="2" borderId="8" xfId="0" applyFont="1" applyFill="1" applyBorder="1" applyAlignment="1" applyProtection="1">
      <alignment horizontal="center" vertical="center"/>
      <protection hidden="1"/>
    </xf>
    <xf numFmtId="0" fontId="79" fillId="2" borderId="3" xfId="0" applyFont="1" applyFill="1" applyBorder="1" applyAlignment="1" applyProtection="1">
      <alignment horizontal="center"/>
      <protection hidden="1"/>
    </xf>
    <xf numFmtId="0" fontId="79" fillId="2" borderId="15" xfId="0" applyFont="1" applyFill="1" applyBorder="1" applyAlignment="1" applyProtection="1">
      <alignment horizontal="center"/>
      <protection hidden="1"/>
    </xf>
    <xf numFmtId="0" fontId="79" fillId="2" borderId="13" xfId="0" applyFont="1" applyFill="1" applyBorder="1" applyAlignment="1" applyProtection="1">
      <alignment horizontal="center"/>
      <protection hidden="1"/>
    </xf>
    <xf numFmtId="171" fontId="79" fillId="2" borderId="3" xfId="0" applyNumberFormat="1" applyFont="1" applyFill="1" applyBorder="1" applyAlignment="1" applyProtection="1">
      <alignment horizontal="center"/>
      <protection hidden="1"/>
    </xf>
    <xf numFmtId="171" fontId="79" fillId="2" borderId="15" xfId="0" applyNumberFormat="1" applyFont="1" applyFill="1" applyBorder="1" applyAlignment="1" applyProtection="1">
      <alignment horizontal="center"/>
      <protection hidden="1"/>
    </xf>
    <xf numFmtId="171" fontId="79" fillId="2" borderId="13" xfId="0" applyNumberFormat="1" applyFont="1" applyFill="1" applyBorder="1" applyAlignment="1" applyProtection="1">
      <alignment horizontal="center"/>
      <protection hidden="1"/>
    </xf>
    <xf numFmtId="1" fontId="14" fillId="3" borderId="0" xfId="0" applyNumberFormat="1" applyFont="1" applyFill="1" applyAlignment="1">
      <alignment horizontal="left" wrapText="1"/>
    </xf>
    <xf numFmtId="164" fontId="19" fillId="3" borderId="0" xfId="0" applyNumberFormat="1" applyFont="1" applyFill="1" applyAlignment="1">
      <alignment horizontal="center" vertical="top" wrapText="1"/>
    </xf>
    <xf numFmtId="0" fontId="19" fillId="3" borderId="0" xfId="0" applyFont="1" applyFill="1" applyAlignment="1">
      <alignment horizontal="center" vertical="top" wrapText="1"/>
    </xf>
    <xf numFmtId="1" fontId="45" fillId="3" borderId="0" xfId="0" applyNumberFormat="1" applyFont="1" applyFill="1" applyAlignment="1">
      <alignment horizontal="center"/>
    </xf>
    <xf numFmtId="1" fontId="49" fillId="3" borderId="19" xfId="0" applyNumberFormat="1" applyFont="1" applyFill="1" applyBorder="1" applyAlignment="1">
      <alignment horizontal="left" wrapText="1"/>
    </xf>
    <xf numFmtId="1" fontId="49" fillId="3" borderId="20" xfId="0" applyNumberFormat="1" applyFont="1" applyFill="1" applyBorder="1" applyAlignment="1">
      <alignment horizontal="left" wrapText="1"/>
    </xf>
    <xf numFmtId="1" fontId="49" fillId="3" borderId="18" xfId="0" applyNumberFormat="1" applyFont="1" applyFill="1" applyBorder="1" applyAlignment="1">
      <alignment horizontal="left" wrapText="1"/>
    </xf>
    <xf numFmtId="1" fontId="14" fillId="3" borderId="19" xfId="0" applyNumberFormat="1" applyFont="1" applyFill="1" applyBorder="1" applyAlignment="1">
      <alignment horizontal="left" wrapText="1"/>
    </xf>
    <xf numFmtId="1" fontId="14" fillId="3" borderId="20" xfId="0" applyNumberFormat="1" applyFont="1" applyFill="1" applyBorder="1" applyAlignment="1">
      <alignment horizontal="left" wrapText="1"/>
    </xf>
    <xf numFmtId="1" fontId="14" fillId="3" borderId="18" xfId="0" applyNumberFormat="1" applyFont="1" applyFill="1" applyBorder="1" applyAlignment="1">
      <alignment horizontal="left" wrapText="1"/>
    </xf>
    <xf numFmtId="0" fontId="33" fillId="3" borderId="0" xfId="0" applyFont="1" applyFill="1" applyAlignment="1">
      <alignment horizontal="right"/>
    </xf>
    <xf numFmtId="1" fontId="24" fillId="3" borderId="0" xfId="0" applyNumberFormat="1" applyFont="1" applyFill="1" applyAlignment="1">
      <alignment horizontal="center"/>
    </xf>
    <xf numFmtId="1" fontId="34" fillId="3" borderId="0" xfId="0" applyNumberFormat="1" applyFont="1" applyFill="1" applyAlignment="1">
      <alignment horizontal="center"/>
    </xf>
    <xf numFmtId="164" fontId="70" fillId="3" borderId="5" xfId="0" applyNumberFormat="1" applyFont="1" applyFill="1" applyBorder="1" applyAlignment="1" applyProtection="1">
      <alignment horizontal="center" vertical="center"/>
      <protection hidden="1"/>
    </xf>
    <xf numFmtId="0" fontId="70" fillId="3" borderId="10" xfId="0" applyFont="1" applyFill="1" applyBorder="1" applyAlignment="1" applyProtection="1">
      <alignment horizontal="center" vertical="center"/>
      <protection hidden="1"/>
    </xf>
    <xf numFmtId="0" fontId="70" fillId="3" borderId="7" xfId="0" applyFont="1" applyFill="1" applyBorder="1" applyAlignment="1" applyProtection="1">
      <alignment horizontal="center" vertical="center"/>
      <protection hidden="1"/>
    </xf>
    <xf numFmtId="0" fontId="70" fillId="3" borderId="1" xfId="0" applyFont="1" applyFill="1" applyBorder="1" applyAlignment="1" applyProtection="1">
      <alignment horizontal="center" vertical="center"/>
      <protection hidden="1"/>
    </xf>
    <xf numFmtId="0" fontId="28" fillId="3" borderId="3" xfId="0" applyFont="1" applyFill="1" applyBorder="1" applyAlignment="1" applyProtection="1">
      <alignment horizontal="center" vertical="top"/>
      <protection locked="0"/>
    </xf>
    <xf numFmtId="0" fontId="28" fillId="3" borderId="15" xfId="0" applyFont="1" applyFill="1" applyBorder="1" applyAlignment="1" applyProtection="1">
      <alignment horizontal="center" vertical="top"/>
      <protection locked="0"/>
    </xf>
    <xf numFmtId="0" fontId="28" fillId="3" borderId="13" xfId="0" applyFont="1" applyFill="1" applyBorder="1" applyAlignment="1" applyProtection="1">
      <alignment horizontal="center" vertical="top"/>
      <protection locked="0"/>
    </xf>
    <xf numFmtId="166" fontId="29" fillId="3" borderId="1" xfId="0" quotePrefix="1" applyNumberFormat="1" applyFont="1" applyFill="1" applyBorder="1" applyAlignment="1" applyProtection="1">
      <alignment horizontal="center" vertical="center"/>
      <protection hidden="1"/>
    </xf>
    <xf numFmtId="0" fontId="13" fillId="3" borderId="10" xfId="0" applyFont="1" applyFill="1" applyBorder="1" applyAlignment="1" applyProtection="1">
      <alignment horizontal="center" vertical="center" wrapText="1"/>
      <protection hidden="1"/>
    </xf>
    <xf numFmtId="0" fontId="13" fillId="3" borderId="0" xfId="0" applyFont="1" applyFill="1" applyAlignment="1" applyProtection="1">
      <alignment horizontal="center"/>
      <protection hidden="1"/>
    </xf>
    <xf numFmtId="0" fontId="13" fillId="3" borderId="1" xfId="0" applyFont="1" applyFill="1" applyBorder="1" applyAlignment="1" applyProtection="1">
      <alignment horizontal="center"/>
      <protection hidden="1"/>
    </xf>
    <xf numFmtId="0" fontId="13" fillId="3" borderId="0" xfId="0" applyFont="1" applyFill="1" applyAlignment="1" applyProtection="1">
      <alignment horizontal="left" vertical="top" wrapText="1"/>
      <protection locked="0"/>
    </xf>
    <xf numFmtId="0" fontId="28" fillId="3" borderId="0" xfId="0" applyFont="1" applyFill="1" applyAlignment="1" applyProtection="1">
      <alignment horizontal="left"/>
      <protection locked="0"/>
    </xf>
    <xf numFmtId="0" fontId="4" fillId="3" borderId="1" xfId="0" applyFont="1" applyFill="1" applyBorder="1" applyAlignment="1" applyProtection="1">
      <alignment horizontal="center" vertical="top" wrapText="1"/>
      <protection hidden="1"/>
    </xf>
    <xf numFmtId="0" fontId="4" fillId="3" borderId="5"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center" vertical="top"/>
      <protection hidden="1"/>
    </xf>
    <xf numFmtId="0" fontId="24" fillId="3" borderId="0" xfId="0" applyFont="1" applyFill="1" applyAlignment="1" applyProtection="1">
      <alignment horizontal="center" vertical="center"/>
      <protection locked="0"/>
    </xf>
    <xf numFmtId="0" fontId="39" fillId="3" borderId="0" xfId="0" applyFont="1" applyFill="1" applyAlignment="1" applyProtection="1">
      <alignment horizontal="center" vertical="center"/>
      <protection locked="0"/>
    </xf>
    <xf numFmtId="0" fontId="4" fillId="3" borderId="4" xfId="0" applyFont="1" applyFill="1" applyBorder="1" applyAlignment="1" applyProtection="1">
      <alignment horizontal="center"/>
      <protection hidden="1"/>
    </xf>
    <xf numFmtId="0" fontId="13" fillId="3" borderId="2" xfId="0" applyFont="1" applyFill="1" applyBorder="1" applyAlignment="1" applyProtection="1">
      <alignment horizontal="center"/>
      <protection hidden="1"/>
    </xf>
    <xf numFmtId="0" fontId="13" fillId="3" borderId="9" xfId="0" applyFont="1" applyFill="1" applyBorder="1" applyAlignment="1" applyProtection="1">
      <alignment horizontal="center"/>
      <protection hidden="1"/>
    </xf>
    <xf numFmtId="0" fontId="13" fillId="3" borderId="0" xfId="0" applyFont="1" applyFill="1" applyAlignment="1" applyProtection="1">
      <alignment horizontal="left"/>
      <protection hidden="1"/>
    </xf>
    <xf numFmtId="0" fontId="4" fillId="3" borderId="5" xfId="0" applyFont="1" applyFill="1" applyBorder="1" applyAlignment="1" applyProtection="1">
      <alignment horizontal="center" vertical="top"/>
      <protection hidden="1"/>
    </xf>
    <xf numFmtId="0" fontId="13" fillId="3" borderId="1" xfId="0" applyFont="1" applyFill="1" applyBorder="1" applyAlignment="1" applyProtection="1">
      <alignment horizontal="center" vertical="top" wrapText="1"/>
      <protection hidden="1"/>
    </xf>
    <xf numFmtId="0" fontId="13" fillId="3" borderId="5" xfId="0" applyFont="1" applyFill="1" applyBorder="1" applyAlignment="1" applyProtection="1">
      <alignment horizontal="center" vertical="top" wrapText="1"/>
      <protection hidden="1"/>
    </xf>
    <xf numFmtId="0" fontId="4" fillId="3" borderId="8" xfId="0" applyFont="1" applyFill="1" applyBorder="1" applyAlignment="1" applyProtection="1">
      <alignment horizontal="center" vertical="top" wrapText="1"/>
      <protection hidden="1"/>
    </xf>
    <xf numFmtId="0" fontId="13" fillId="3" borderId="11" xfId="0" applyFont="1" applyFill="1" applyBorder="1" applyAlignment="1" applyProtection="1">
      <alignment horizontal="center" vertical="top" wrapText="1"/>
      <protection hidden="1"/>
    </xf>
    <xf numFmtId="0" fontId="13" fillId="3" borderId="6" xfId="0" applyFont="1" applyFill="1" applyBorder="1" applyAlignment="1" applyProtection="1">
      <alignment horizontal="center" vertical="top" wrapText="1"/>
      <protection hidden="1"/>
    </xf>
    <xf numFmtId="0" fontId="13" fillId="3" borderId="12" xfId="0" applyFont="1" applyFill="1" applyBorder="1" applyAlignment="1" applyProtection="1">
      <alignment horizontal="center" vertical="top" wrapText="1"/>
      <protection hidden="1"/>
    </xf>
    <xf numFmtId="0" fontId="13" fillId="3" borderId="0" xfId="0" applyFont="1" applyFill="1" applyAlignment="1" applyProtection="1">
      <alignment horizontal="center" vertical="top" wrapText="1"/>
      <protection hidden="1"/>
    </xf>
    <xf numFmtId="0" fontId="13" fillId="3" borderId="14" xfId="0" applyFont="1" applyFill="1" applyBorder="1" applyAlignment="1" applyProtection="1">
      <alignment horizontal="center" vertical="top" wrapText="1"/>
      <protection hidden="1"/>
    </xf>
    <xf numFmtId="164" fontId="13" fillId="3" borderId="3" xfId="0" applyNumberFormat="1" applyFont="1" applyFill="1" applyBorder="1" applyAlignment="1" applyProtection="1">
      <alignment horizontal="center"/>
      <protection hidden="1"/>
    </xf>
    <xf numFmtId="164" fontId="13" fillId="3" borderId="15" xfId="0" applyNumberFormat="1" applyFont="1" applyFill="1" applyBorder="1" applyAlignment="1" applyProtection="1">
      <alignment horizontal="center"/>
      <protection hidden="1"/>
    </xf>
    <xf numFmtId="164" fontId="13" fillId="3" borderId="13" xfId="0" applyNumberFormat="1" applyFont="1" applyFill="1" applyBorder="1" applyAlignment="1" applyProtection="1">
      <alignment horizontal="center"/>
      <protection hidden="1"/>
    </xf>
    <xf numFmtId="0" fontId="13" fillId="3" borderId="8" xfId="0" applyFont="1" applyFill="1" applyBorder="1" applyAlignment="1" applyProtection="1">
      <alignment horizontal="center" vertical="top"/>
      <protection hidden="1"/>
    </xf>
    <xf numFmtId="0" fontId="13" fillId="3" borderId="11" xfId="0" applyFont="1" applyFill="1" applyBorder="1" applyAlignment="1" applyProtection="1">
      <alignment horizontal="center" vertical="top"/>
      <protection hidden="1"/>
    </xf>
    <xf numFmtId="0" fontId="13" fillId="3" borderId="6" xfId="0" applyFont="1" applyFill="1" applyBorder="1" applyAlignment="1" applyProtection="1">
      <alignment horizontal="center" vertical="top"/>
      <protection hidden="1"/>
    </xf>
    <xf numFmtId="0" fontId="13" fillId="3" borderId="12" xfId="0" applyFont="1" applyFill="1" applyBorder="1" applyAlignment="1" applyProtection="1">
      <alignment horizontal="center" vertical="top"/>
      <protection hidden="1"/>
    </xf>
    <xf numFmtId="0" fontId="13" fillId="3" borderId="0" xfId="0" applyFont="1" applyFill="1" applyAlignment="1" applyProtection="1">
      <alignment horizontal="center" vertical="top"/>
      <protection hidden="1"/>
    </xf>
    <xf numFmtId="0" fontId="13" fillId="3" borderId="14" xfId="0" applyFont="1" applyFill="1" applyBorder="1" applyAlignment="1" applyProtection="1">
      <alignment horizontal="center" vertical="top"/>
      <protection hidden="1"/>
    </xf>
    <xf numFmtId="0" fontId="4" fillId="3" borderId="3" xfId="0" applyFont="1" applyFill="1" applyBorder="1" applyAlignment="1" applyProtection="1">
      <alignment horizontal="center"/>
      <protection hidden="1"/>
    </xf>
    <xf numFmtId="0" fontId="13" fillId="3" borderId="15" xfId="0" applyFont="1" applyFill="1" applyBorder="1" applyAlignment="1" applyProtection="1">
      <alignment horizontal="center"/>
      <protection hidden="1"/>
    </xf>
    <xf numFmtId="0" fontId="13" fillId="3" borderId="13" xfId="0" applyFont="1" applyFill="1" applyBorder="1" applyAlignment="1" applyProtection="1">
      <alignment horizontal="center"/>
      <protection hidden="1"/>
    </xf>
    <xf numFmtId="171" fontId="13" fillId="3" borderId="3" xfId="0" applyNumberFormat="1" applyFont="1" applyFill="1" applyBorder="1" applyAlignment="1" applyProtection="1">
      <alignment horizontal="center"/>
      <protection hidden="1"/>
    </xf>
    <xf numFmtId="171" fontId="13" fillId="3" borderId="15" xfId="0" applyNumberFormat="1" applyFont="1" applyFill="1" applyBorder="1" applyAlignment="1" applyProtection="1">
      <alignment horizontal="center"/>
      <protection hidden="1"/>
    </xf>
    <xf numFmtId="171" fontId="13" fillId="3" borderId="13" xfId="0" applyNumberFormat="1" applyFont="1" applyFill="1" applyBorder="1" applyAlignment="1" applyProtection="1">
      <alignment horizontal="center"/>
      <protection hidden="1"/>
    </xf>
    <xf numFmtId="0" fontId="13" fillId="3" borderId="10" xfId="0" applyFont="1" applyFill="1" applyBorder="1" applyAlignment="1" applyProtection="1">
      <alignment horizontal="center" vertical="center"/>
      <protection hidden="1"/>
    </xf>
    <xf numFmtId="0" fontId="4" fillId="3" borderId="7" xfId="0" applyFont="1" applyFill="1" applyBorder="1" applyAlignment="1" applyProtection="1">
      <alignment horizontal="center" vertical="center"/>
      <protection hidden="1"/>
    </xf>
    <xf numFmtId="0" fontId="13" fillId="3" borderId="7" xfId="0" applyFont="1" applyFill="1" applyBorder="1" applyAlignment="1" applyProtection="1">
      <alignment horizontal="center" vertical="center"/>
      <protection hidden="1"/>
    </xf>
    <xf numFmtId="0" fontId="13" fillId="3" borderId="3" xfId="0" applyFont="1" applyFill="1" applyBorder="1" applyAlignment="1" applyProtection="1">
      <alignment horizontal="center"/>
      <protection hidden="1"/>
    </xf>
    <xf numFmtId="0" fontId="13" fillId="3" borderId="4" xfId="0" applyFont="1" applyFill="1" applyBorder="1" applyAlignment="1" applyProtection="1">
      <alignment horizontal="center"/>
      <protection hidden="1"/>
    </xf>
    <xf numFmtId="164" fontId="28" fillId="3" borderId="3" xfId="0" applyNumberFormat="1" applyFont="1" applyFill="1" applyBorder="1" applyAlignment="1" applyProtection="1">
      <alignment horizontal="center" vertical="center" wrapText="1"/>
      <protection locked="0"/>
    </xf>
    <xf numFmtId="0" fontId="13" fillId="3" borderId="8" xfId="0" applyFont="1" applyFill="1" applyBorder="1" applyAlignment="1" applyProtection="1">
      <alignment horizontal="center" vertical="top" wrapText="1"/>
      <protection hidden="1"/>
    </xf>
    <xf numFmtId="0" fontId="13" fillId="3" borderId="4" xfId="0" applyFont="1" applyFill="1" applyBorder="1" applyAlignment="1" applyProtection="1">
      <alignment horizontal="center" vertical="top" wrapText="1"/>
      <protection hidden="1"/>
    </xf>
    <xf numFmtId="0" fontId="13" fillId="3" borderId="9" xfId="0" applyFont="1" applyFill="1" applyBorder="1" applyAlignment="1" applyProtection="1">
      <alignment horizontal="center" vertical="top" wrapText="1"/>
      <protection hidden="1"/>
    </xf>
    <xf numFmtId="0" fontId="4" fillId="3" borderId="3" xfId="0" applyFont="1" applyFill="1" applyBorder="1" applyAlignment="1" applyProtection="1">
      <alignment horizontal="center" vertical="top" wrapText="1"/>
      <protection hidden="1"/>
    </xf>
    <xf numFmtId="0" fontId="4" fillId="3" borderId="13" xfId="0" applyFont="1" applyFill="1" applyBorder="1" applyAlignment="1" applyProtection="1">
      <alignment horizontal="center" vertical="top" wrapText="1"/>
      <protection hidden="1"/>
    </xf>
    <xf numFmtId="171" fontId="71" fillId="3" borderId="6" xfId="0" applyNumberFormat="1" applyFont="1" applyFill="1" applyBorder="1" applyAlignment="1" applyProtection="1">
      <alignment horizontal="center" vertical="center"/>
      <protection locked="0"/>
    </xf>
    <xf numFmtId="171" fontId="71" fillId="3" borderId="9" xfId="0" applyNumberFormat="1" applyFont="1" applyFill="1" applyBorder="1" applyAlignment="1" applyProtection="1">
      <alignment horizontal="center" vertical="center"/>
      <protection locked="0"/>
    </xf>
    <xf numFmtId="0" fontId="28" fillId="3" borderId="0" xfId="0" applyFont="1" applyFill="1" applyAlignment="1" applyProtection="1">
      <alignment horizontal="center" vertical="center"/>
      <protection hidden="1"/>
    </xf>
    <xf numFmtId="171" fontId="13" fillId="3" borderId="0" xfId="0" applyNumberFormat="1" applyFont="1" applyFill="1" applyAlignment="1" applyProtection="1">
      <alignment horizontal="center"/>
      <protection hidden="1"/>
    </xf>
    <xf numFmtId="0" fontId="117" fillId="0" borderId="0" xfId="7" applyFont="1" applyAlignment="1">
      <alignment horizontal="left" vertical="center" wrapText="1"/>
    </xf>
    <xf numFmtId="0" fontId="118" fillId="0" borderId="0" xfId="7" applyFont="1" applyAlignment="1">
      <alignment horizontal="left" vertical="center" wrapText="1"/>
    </xf>
    <xf numFmtId="180" fontId="118" fillId="0" borderId="0" xfId="7" applyNumberFormat="1" applyFont="1" applyAlignment="1">
      <alignment horizontal="left" vertical="top" wrapText="1"/>
    </xf>
    <xf numFmtId="0" fontId="118" fillId="0" borderId="0" xfId="7" applyFont="1" applyAlignment="1">
      <alignment horizontal="left" vertical="top" wrapText="1"/>
    </xf>
    <xf numFmtId="0" fontId="118" fillId="4" borderId="0" xfId="7" applyFont="1" applyFill="1" applyAlignment="1">
      <alignment horizontal="justify" vertical="center" wrapText="1"/>
    </xf>
    <xf numFmtId="180" fontId="118" fillId="0" borderId="0" xfId="7" applyNumberFormat="1" applyFont="1" applyAlignment="1">
      <alignment horizontal="left" vertical="center" wrapText="1"/>
    </xf>
    <xf numFmtId="0" fontId="118" fillId="0" borderId="3" xfId="7" applyFont="1" applyBorder="1" applyAlignment="1">
      <alignment horizontal="left" vertical="top" wrapText="1"/>
    </xf>
    <xf numFmtId="0" fontId="118" fillId="0" borderId="15" xfId="7" applyFont="1" applyBorder="1" applyAlignment="1">
      <alignment horizontal="left" vertical="top" wrapText="1"/>
    </xf>
    <xf numFmtId="0" fontId="119" fillId="0" borderId="0" xfId="7" applyFont="1" applyAlignment="1" applyProtection="1">
      <alignment horizontal="left"/>
      <protection locked="0"/>
    </xf>
    <xf numFmtId="0" fontId="121" fillId="0" borderId="0" xfId="7" applyFont="1" applyAlignment="1" applyProtection="1">
      <alignment horizontal="left" vertical="center" wrapText="1"/>
      <protection locked="0"/>
    </xf>
    <xf numFmtId="0" fontId="118" fillId="0" borderId="0" xfId="7" applyFont="1" applyAlignment="1" applyProtection="1">
      <alignment horizontal="left" vertical="top" wrapText="1"/>
      <protection locked="0"/>
    </xf>
    <xf numFmtId="0" fontId="118" fillId="0" borderId="0" xfId="7" applyFont="1" applyAlignment="1" applyProtection="1">
      <alignment horizontal="justify" vertical="top" wrapText="1"/>
      <protection locked="0"/>
    </xf>
    <xf numFmtId="200" fontId="119" fillId="0" borderId="0" xfId="7" quotePrefix="1" applyNumberFormat="1" applyFont="1" applyAlignment="1" applyProtection="1">
      <alignment horizontal="left" vertical="center"/>
      <protection locked="0"/>
    </xf>
    <xf numFmtId="200" fontId="119" fillId="0" borderId="0" xfId="7" applyNumberFormat="1" applyFont="1" applyAlignment="1" applyProtection="1">
      <alignment horizontal="left" vertical="center"/>
      <protection locked="0"/>
    </xf>
    <xf numFmtId="0" fontId="114" fillId="0" borderId="0" xfId="7" applyFont="1" applyAlignment="1">
      <alignment horizontal="center"/>
    </xf>
    <xf numFmtId="0" fontId="119" fillId="0" borderId="0" xfId="7" quotePrefix="1" applyFont="1" applyAlignment="1" applyProtection="1">
      <alignment horizontal="left"/>
      <protection locked="0"/>
    </xf>
    <xf numFmtId="0" fontId="121" fillId="0" borderId="0" xfId="7" quotePrefix="1" applyFont="1" applyAlignment="1" applyProtection="1">
      <alignment horizontal="left" vertical="center" wrapText="1"/>
      <protection locked="0"/>
    </xf>
    <xf numFmtId="11" fontId="119" fillId="0" borderId="0" xfId="7" quotePrefix="1" applyNumberFormat="1" applyFont="1" applyAlignment="1" applyProtection="1">
      <alignment horizontal="left"/>
      <protection locked="0"/>
    </xf>
    <xf numFmtId="0" fontId="118" fillId="0" borderId="0" xfId="7" applyFont="1" applyAlignment="1" applyProtection="1">
      <alignment horizontal="left" vertical="center" wrapText="1"/>
      <protection locked="0"/>
    </xf>
    <xf numFmtId="0" fontId="123" fillId="0" borderId="0" xfId="7" applyFont="1" applyAlignment="1" applyProtection="1">
      <alignment horizontal="center" vertical="center"/>
      <protection locked="0"/>
    </xf>
    <xf numFmtId="180" fontId="119" fillId="0" borderId="0" xfId="7" quotePrefix="1" applyNumberFormat="1" applyFont="1" applyAlignment="1" applyProtection="1">
      <alignment horizontal="center" vertical="center"/>
      <protection locked="0"/>
    </xf>
    <xf numFmtId="180" fontId="119" fillId="0" borderId="0" xfId="7" applyNumberFormat="1" applyFont="1" applyAlignment="1" applyProtection="1">
      <alignment horizontal="center" vertical="center"/>
      <protection locked="0"/>
    </xf>
    <xf numFmtId="0" fontId="118" fillId="0" borderId="0" xfId="7" applyFont="1" applyAlignment="1">
      <alignment horizontal="center"/>
    </xf>
    <xf numFmtId="0" fontId="122" fillId="0" borderId="0" xfId="7" applyFont="1" applyAlignment="1">
      <alignment horizontal="right" vertical="center"/>
    </xf>
    <xf numFmtId="0" fontId="115" fillId="0" borderId="0" xfId="7" applyFont="1" applyAlignment="1">
      <alignment horizontal="center"/>
    </xf>
    <xf numFmtId="0" fontId="138" fillId="18" borderId="4" xfId="0" applyFont="1" applyFill="1" applyBorder="1" applyAlignment="1" applyProtection="1">
      <alignment horizontal="center" vertical="center" wrapText="1"/>
      <protection locked="0"/>
    </xf>
    <xf numFmtId="0" fontId="138" fillId="18" borderId="1" xfId="0" applyFont="1" applyFill="1" applyBorder="1" applyAlignment="1" applyProtection="1">
      <alignment horizontal="center" vertical="center" wrapText="1"/>
      <protection locked="0"/>
    </xf>
  </cellXfs>
  <cellStyles count="8">
    <cellStyle name="Normal" xfId="0" builtinId="0"/>
    <cellStyle name="Normal 2" xfId="4" xr:uid="{00000000-0005-0000-0000-000001000000}"/>
    <cellStyle name="Normal 2 3" xfId="7" xr:uid="{00000000-0005-0000-0000-000002000000}"/>
    <cellStyle name="Normal 3" xfId="5" xr:uid="{00000000-0005-0000-0000-000003000000}"/>
    <cellStyle name="Normal 4" xfId="6" xr:uid="{00000000-0005-0000-0000-000004000000}"/>
    <cellStyle name="Normal_Daftar kelistrikan (ecg)" xfId="1" xr:uid="{00000000-0005-0000-0000-000005000000}"/>
    <cellStyle name="Normal_Sheet1" xfId="2" xr:uid="{00000000-0005-0000-0000-000006000000}"/>
    <cellStyle name="Normal_THERMOHYGRO 2010" xfId="3" xr:uid="{00000000-0005-0000-0000-000007000000}"/>
  </cellStyles>
  <dxfs count="0"/>
  <tableStyles count="0" defaultTableStyle="TableStyleMedium9" defaultPivotStyle="PivotStyleLight16"/>
  <colors>
    <mruColors>
      <color rgb="FF00FF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11</xdr:col>
      <xdr:colOff>219075</xdr:colOff>
      <xdr:row>5</xdr:row>
      <xdr:rowOff>13150</xdr:rowOff>
    </xdr:from>
    <xdr:to>
      <xdr:col>14</xdr:col>
      <xdr:colOff>434340</xdr:colOff>
      <xdr:row>13</xdr:row>
      <xdr:rowOff>100965</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898975"/>
          <a:ext cx="2724150" cy="171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209550</xdr:colOff>
      <xdr:row>5</xdr:row>
      <xdr:rowOff>0</xdr:rowOff>
    </xdr:from>
    <xdr:to>
      <xdr:col>16</xdr:col>
      <xdr:colOff>631175</xdr:colOff>
      <xdr:row>8</xdr:row>
      <xdr:rowOff>53340</xdr:rowOff>
    </xdr:to>
    <xdr:pic>
      <xdr:nvPicPr>
        <xdr:cNvPr id="5" name="Picture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15750" y="885825"/>
          <a:ext cx="1480805"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228600</xdr:colOff>
      <xdr:row>9</xdr:row>
      <xdr:rowOff>0</xdr:rowOff>
    </xdr:from>
    <xdr:to>
      <xdr:col>19</xdr:col>
      <xdr:colOff>38100</xdr:colOff>
      <xdr:row>12</xdr:row>
      <xdr:rowOff>129540</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34800" y="1704975"/>
          <a:ext cx="28860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1375844</xdr:colOff>
      <xdr:row>70</xdr:row>
      <xdr:rowOff>184166</xdr:rowOff>
    </xdr:from>
    <xdr:to>
      <xdr:col>0</xdr:col>
      <xdr:colOff>1785419</xdr:colOff>
      <xdr:row>72</xdr:row>
      <xdr:rowOff>32191</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1375844" y="8703749"/>
          <a:ext cx="409575" cy="250192"/>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200</a:t>
          </a:r>
        </a:p>
      </xdr:txBody>
    </xdr:sp>
    <xdr:clientData/>
  </xdr:twoCellAnchor>
  <xdr:twoCellAnchor>
    <xdr:from>
      <xdr:col>0</xdr:col>
      <xdr:colOff>1375844</xdr:colOff>
      <xdr:row>69</xdr:row>
      <xdr:rowOff>199347</xdr:rowOff>
    </xdr:from>
    <xdr:to>
      <xdr:col>0</xdr:col>
      <xdr:colOff>1785419</xdr:colOff>
      <xdr:row>71</xdr:row>
      <xdr:rowOff>47371</xdr:rowOff>
    </xdr:to>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1375844" y="8517847"/>
          <a:ext cx="409575" cy="250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150</a:t>
          </a:r>
        </a:p>
      </xdr:txBody>
    </xdr:sp>
    <xdr:clientData/>
  </xdr:twoCellAnchor>
  <xdr:twoCellAnchor>
    <xdr:from>
      <xdr:col>0</xdr:col>
      <xdr:colOff>1365261</xdr:colOff>
      <xdr:row>69</xdr:row>
      <xdr:rowOff>2860</xdr:rowOff>
    </xdr:from>
    <xdr:to>
      <xdr:col>0</xdr:col>
      <xdr:colOff>1774836</xdr:colOff>
      <xdr:row>70</xdr:row>
      <xdr:rowOff>51967</xdr:rowOff>
    </xdr:to>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1365261" y="8321360"/>
          <a:ext cx="409575" cy="25019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100</a:t>
          </a:r>
        </a:p>
      </xdr:txBody>
    </xdr:sp>
    <xdr:clientData/>
  </xdr:twoCellAnchor>
  <xdr:twoCellAnchor>
    <xdr:from>
      <xdr:col>0</xdr:col>
      <xdr:colOff>1407593</xdr:colOff>
      <xdr:row>68</xdr:row>
      <xdr:rowOff>7457</xdr:rowOff>
    </xdr:from>
    <xdr:to>
      <xdr:col>0</xdr:col>
      <xdr:colOff>1817168</xdr:colOff>
      <xdr:row>69</xdr:row>
      <xdr:rowOff>56565</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407593" y="8124874"/>
          <a:ext cx="409575" cy="250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50</a:t>
          </a:r>
        </a:p>
      </xdr:txBody>
    </xdr:sp>
    <xdr:clientData/>
  </xdr:twoCellAnchor>
  <xdr:twoCellAnchor>
    <xdr:from>
      <xdr:col>0</xdr:col>
      <xdr:colOff>1449925</xdr:colOff>
      <xdr:row>66</xdr:row>
      <xdr:rowOff>191972</xdr:rowOff>
    </xdr:from>
    <xdr:to>
      <xdr:col>0</xdr:col>
      <xdr:colOff>1859500</xdr:colOff>
      <xdr:row>68</xdr:row>
      <xdr:rowOff>39996</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449925" y="7907222"/>
          <a:ext cx="409575" cy="250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0</a:t>
          </a:r>
        </a:p>
      </xdr:txBody>
    </xdr:sp>
    <xdr:clientData/>
  </xdr:twoCellAnchor>
  <xdr:twoCellAnchor>
    <xdr:from>
      <xdr:col>0</xdr:col>
      <xdr:colOff>179925</xdr:colOff>
      <xdr:row>66</xdr:row>
      <xdr:rowOff>191980</xdr:rowOff>
    </xdr:from>
    <xdr:to>
      <xdr:col>0</xdr:col>
      <xdr:colOff>642415</xdr:colOff>
      <xdr:row>74</xdr:row>
      <xdr:rowOff>10585</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179925" y="8002480"/>
          <a:ext cx="462490" cy="1196555"/>
          <a:chOff x="-52915" y="9639300"/>
          <a:chExt cx="462490" cy="1095984"/>
        </a:xfrm>
      </xdr:grpSpPr>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42332" y="10525734"/>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150</a:t>
            </a:r>
          </a:p>
        </xdr:txBody>
      </xdr:sp>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42332" y="10351952"/>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120</a:t>
            </a:r>
          </a:p>
        </xdr:txBody>
      </xdr:sp>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52915" y="10177923"/>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100</a:t>
            </a:r>
          </a:p>
        </xdr:txBody>
      </xdr:sp>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31749" y="9995463"/>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70</a:t>
            </a:r>
          </a:p>
        </xdr:txBody>
      </xdr:sp>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31749" y="9821597"/>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50</a:t>
            </a:r>
          </a:p>
        </xdr:txBody>
      </xdr:sp>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0" y="9639300"/>
            <a:ext cx="409575" cy="209550"/>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0</a:t>
            </a:r>
          </a:p>
        </xdr:txBody>
      </xdr:sp>
    </xdr:grpSp>
    <xdr:clientData/>
  </xdr:twoCellAnchor>
  <xdr:twoCellAnchor>
    <xdr:from>
      <xdr:col>0</xdr:col>
      <xdr:colOff>1375877</xdr:colOff>
      <xdr:row>71</xdr:row>
      <xdr:rowOff>195992</xdr:rowOff>
    </xdr:from>
    <xdr:to>
      <xdr:col>0</xdr:col>
      <xdr:colOff>1785452</xdr:colOff>
      <xdr:row>73</xdr:row>
      <xdr:rowOff>0</xdr:rowOff>
    </xdr:to>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1375877" y="8916659"/>
          <a:ext cx="409575" cy="206174"/>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250</a:t>
          </a:r>
        </a:p>
      </xdr:txBody>
    </xdr:sp>
    <xdr:clientData/>
  </xdr:twoCellAnchor>
  <xdr:twoCellAnchor>
    <xdr:from>
      <xdr:col>0</xdr:col>
      <xdr:colOff>148167</xdr:colOff>
      <xdr:row>64</xdr:row>
      <xdr:rowOff>116419</xdr:rowOff>
    </xdr:from>
    <xdr:to>
      <xdr:col>0</xdr:col>
      <xdr:colOff>751418</xdr:colOff>
      <xdr:row>67</xdr:row>
      <xdr:rowOff>44777</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148167" y="7874002"/>
          <a:ext cx="603251" cy="288192"/>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Anak</a:t>
          </a:r>
        </a:p>
      </xdr:txBody>
    </xdr:sp>
    <xdr:clientData/>
  </xdr:twoCellAnchor>
  <xdr:twoCellAnchor>
    <xdr:from>
      <xdr:col>0</xdr:col>
      <xdr:colOff>1270011</xdr:colOff>
      <xdr:row>64</xdr:row>
      <xdr:rowOff>105837</xdr:rowOff>
    </xdr:from>
    <xdr:to>
      <xdr:col>0</xdr:col>
      <xdr:colOff>1873262</xdr:colOff>
      <xdr:row>67</xdr:row>
      <xdr:rowOff>34195</xdr:rowOff>
    </xdr:to>
    <xdr:sp macro="" textlink="">
      <xdr:nvSpPr>
        <xdr:cNvPr id="53" name="TextBox 52">
          <a:extLst>
            <a:ext uri="{FF2B5EF4-FFF2-40B4-BE49-F238E27FC236}">
              <a16:creationId xmlns:a16="http://schemas.microsoft.com/office/drawing/2014/main" id="{00000000-0008-0000-0100-000035000000}"/>
            </a:ext>
          </a:extLst>
        </xdr:cNvPr>
        <xdr:cNvSpPr txBox="1"/>
      </xdr:nvSpPr>
      <xdr:spPr>
        <a:xfrm>
          <a:off x="1270011" y="7662337"/>
          <a:ext cx="603251" cy="288191"/>
        </a:xfrm>
        <a:prstGeom prst="rect">
          <a:avLst/>
        </a:prstGeom>
        <a:solidFill>
          <a:schemeClr val="lt1">
            <a:alpha val="0"/>
          </a:schemeClr>
        </a:solidFill>
        <a:ln w="9525" cmpd="sng">
          <a:solidFill>
            <a:schemeClr val="bg1">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id-ID" sz="1000">
              <a:latin typeface="+mn-lt"/>
            </a:rPr>
            <a:t>Dewasa</a:t>
          </a:r>
        </a:p>
      </xdr:txBody>
    </xdr:sp>
    <xdr:clientData/>
  </xdr:twoCellAnchor>
  <xdr:twoCellAnchor>
    <xdr:from>
      <xdr:col>0</xdr:col>
      <xdr:colOff>952501</xdr:colOff>
      <xdr:row>64</xdr:row>
      <xdr:rowOff>148167</xdr:rowOff>
    </xdr:from>
    <xdr:to>
      <xdr:col>0</xdr:col>
      <xdr:colOff>963077</xdr:colOff>
      <xdr:row>74</xdr:row>
      <xdr:rowOff>10586</xdr:rowOff>
    </xdr:to>
    <xdr:cxnSp macro="">
      <xdr:nvCxnSpPr>
        <xdr:cNvPr id="68" name="Straight Connector 67">
          <a:extLst>
            <a:ext uri="{FF2B5EF4-FFF2-40B4-BE49-F238E27FC236}">
              <a16:creationId xmlns:a16="http://schemas.microsoft.com/office/drawing/2014/main" id="{00000000-0008-0000-0100-000044000000}"/>
            </a:ext>
          </a:extLst>
        </xdr:cNvPr>
        <xdr:cNvCxnSpPr/>
      </xdr:nvCxnSpPr>
      <xdr:spPr>
        <a:xfrm>
          <a:off x="952501" y="7704667"/>
          <a:ext cx="10576" cy="142875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59</xdr:col>
      <xdr:colOff>112059</xdr:colOff>
      <xdr:row>8</xdr:row>
      <xdr:rowOff>56024</xdr:rowOff>
    </xdr:from>
    <xdr:to>
      <xdr:col>62</xdr:col>
      <xdr:colOff>364753</xdr:colOff>
      <xdr:row>10</xdr:row>
      <xdr:rowOff>429741</xdr:rowOff>
    </xdr:to>
    <xdr:pic>
      <xdr:nvPicPr>
        <xdr:cNvPr id="4" name="Picture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50625" y="1148598"/>
          <a:ext cx="288607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49</xdr:col>
      <xdr:colOff>95249</xdr:colOff>
      <xdr:row>38</xdr:row>
      <xdr:rowOff>84045</xdr:rowOff>
    </xdr:from>
    <xdr:to>
      <xdr:col>51</xdr:col>
      <xdr:colOff>527073</xdr:colOff>
      <xdr:row>41</xdr:row>
      <xdr:rowOff>104855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8606" y="9010331"/>
          <a:ext cx="1656468" cy="864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E101"/>
  <sheetViews>
    <sheetView topLeftCell="A28" workbookViewId="0">
      <selection activeCell="C34" sqref="C34"/>
    </sheetView>
  </sheetViews>
  <sheetFormatPr defaultRowHeight="13.2" x14ac:dyDescent="0.25"/>
  <cols>
    <col min="1" max="1" width="9.21875" style="685"/>
    <col min="2" max="2" width="24.21875" style="685" customWidth="1"/>
    <col min="3" max="3" width="38.21875" style="1076" customWidth="1"/>
    <col min="4" max="4" width="66.77734375" style="806" customWidth="1"/>
    <col min="5" max="5" width="18.77734375" style="555" customWidth="1"/>
  </cols>
  <sheetData>
    <row r="1" spans="1:5" x14ac:dyDescent="0.25">
      <c r="A1" s="1029"/>
      <c r="B1" s="1029"/>
      <c r="C1" s="1072"/>
      <c r="D1" s="1081"/>
      <c r="E1" s="1030"/>
    </row>
    <row r="2" spans="1:5" x14ac:dyDescent="0.25">
      <c r="A2" s="1097" t="s">
        <v>3</v>
      </c>
      <c r="B2" s="1097" t="s">
        <v>349</v>
      </c>
      <c r="C2" s="1097" t="s">
        <v>350</v>
      </c>
      <c r="D2" s="1097"/>
      <c r="E2" s="1098" t="s">
        <v>362</v>
      </c>
    </row>
    <row r="3" spans="1:5" x14ac:dyDescent="0.25">
      <c r="A3" s="1097"/>
      <c r="B3" s="1097"/>
      <c r="C3" s="1073" t="s">
        <v>351</v>
      </c>
      <c r="D3" s="689" t="s">
        <v>352</v>
      </c>
      <c r="E3" s="1098"/>
    </row>
    <row r="4" spans="1:5" x14ac:dyDescent="0.25">
      <c r="A4" s="684">
        <v>1</v>
      </c>
      <c r="B4" s="655">
        <v>44229</v>
      </c>
      <c r="C4" s="1071" t="s">
        <v>35</v>
      </c>
      <c r="D4" s="696" t="s">
        <v>355</v>
      </c>
      <c r="E4" s="695" t="s">
        <v>363</v>
      </c>
    </row>
    <row r="5" spans="1:5" x14ac:dyDescent="0.25">
      <c r="A5" s="684">
        <v>2</v>
      </c>
      <c r="B5" s="656" t="s">
        <v>357</v>
      </c>
      <c r="C5" s="1073" t="s">
        <v>134</v>
      </c>
      <c r="D5" s="687" t="s">
        <v>358</v>
      </c>
      <c r="E5" s="692" t="s">
        <v>364</v>
      </c>
    </row>
    <row r="6" spans="1:5" x14ac:dyDescent="0.25">
      <c r="A6" s="684">
        <v>3</v>
      </c>
      <c r="B6" s="656" t="s">
        <v>360</v>
      </c>
      <c r="C6" s="1073" t="s">
        <v>134</v>
      </c>
      <c r="D6" s="687" t="s">
        <v>361</v>
      </c>
      <c r="E6" s="692" t="s">
        <v>364</v>
      </c>
    </row>
    <row r="7" spans="1:5" x14ac:dyDescent="0.25">
      <c r="A7" s="684">
        <v>4</v>
      </c>
      <c r="B7" s="656">
        <v>44320</v>
      </c>
      <c r="C7" s="1073" t="s">
        <v>366</v>
      </c>
      <c r="D7" s="687" t="s">
        <v>367</v>
      </c>
      <c r="E7" s="695" t="s">
        <v>368</v>
      </c>
    </row>
    <row r="8" spans="1:5" ht="36" customHeight="1" x14ac:dyDescent="0.25">
      <c r="A8" s="684">
        <v>5</v>
      </c>
      <c r="B8" s="656" t="s">
        <v>379</v>
      </c>
      <c r="C8" s="1074" t="s">
        <v>380</v>
      </c>
      <c r="D8" s="687" t="s">
        <v>381</v>
      </c>
      <c r="E8" s="694" t="s">
        <v>382</v>
      </c>
    </row>
    <row r="9" spans="1:5" ht="39" customHeight="1" x14ac:dyDescent="0.25">
      <c r="A9" s="684">
        <v>6</v>
      </c>
      <c r="B9" s="656" t="s">
        <v>383</v>
      </c>
      <c r="C9" s="1074" t="s">
        <v>384</v>
      </c>
      <c r="D9" s="687" t="s">
        <v>385</v>
      </c>
      <c r="E9" s="691" t="s">
        <v>364</v>
      </c>
    </row>
    <row r="10" spans="1:5" x14ac:dyDescent="0.25">
      <c r="A10" s="684">
        <v>7</v>
      </c>
      <c r="B10" s="656" t="s">
        <v>388</v>
      </c>
      <c r="C10" s="1073" t="s">
        <v>134</v>
      </c>
      <c r="D10" s="687" t="s">
        <v>135</v>
      </c>
      <c r="E10" s="693" t="s">
        <v>382</v>
      </c>
    </row>
    <row r="11" spans="1:5" ht="27" customHeight="1" x14ac:dyDescent="0.25">
      <c r="A11" s="684">
        <v>8</v>
      </c>
      <c r="B11" s="656" t="s">
        <v>389</v>
      </c>
      <c r="C11" s="1074" t="s">
        <v>394</v>
      </c>
      <c r="D11" s="687" t="s">
        <v>390</v>
      </c>
      <c r="E11" s="693" t="s">
        <v>382</v>
      </c>
    </row>
    <row r="12" spans="1:5" s="686" customFormat="1" ht="26.4" x14ac:dyDescent="0.25">
      <c r="A12" s="1027">
        <v>9</v>
      </c>
      <c r="B12" s="1027" t="s">
        <v>395</v>
      </c>
      <c r="C12" s="1075" t="s">
        <v>396</v>
      </c>
      <c r="D12" s="697" t="s">
        <v>397</v>
      </c>
      <c r="E12" s="691" t="s">
        <v>364</v>
      </c>
    </row>
    <row r="13" spans="1:5" ht="26.4" x14ac:dyDescent="0.25">
      <c r="A13" s="685">
        <v>10</v>
      </c>
      <c r="B13" s="656" t="s">
        <v>406</v>
      </c>
      <c r="C13" s="1074" t="s">
        <v>407</v>
      </c>
      <c r="D13" s="690" t="s">
        <v>408</v>
      </c>
      <c r="E13" s="688" t="s">
        <v>364</v>
      </c>
    </row>
    <row r="14" spans="1:5" x14ac:dyDescent="0.25">
      <c r="A14" s="685">
        <v>11</v>
      </c>
      <c r="B14" s="685" t="s">
        <v>418</v>
      </c>
      <c r="C14" s="1076" t="s">
        <v>419</v>
      </c>
      <c r="D14" s="806" t="s">
        <v>420</v>
      </c>
      <c r="E14" s="688" t="s">
        <v>364</v>
      </c>
    </row>
    <row r="15" spans="1:5" x14ac:dyDescent="0.25">
      <c r="A15" s="685">
        <v>12</v>
      </c>
      <c r="B15" s="685" t="s">
        <v>418</v>
      </c>
      <c r="D15" s="806" t="s">
        <v>423</v>
      </c>
      <c r="E15" s="693" t="s">
        <v>382</v>
      </c>
    </row>
    <row r="16" spans="1:5" ht="20.25" customHeight="1" x14ac:dyDescent="0.25">
      <c r="A16" s="685">
        <v>13</v>
      </c>
      <c r="B16" s="685" t="s">
        <v>426</v>
      </c>
      <c r="D16" s="806" t="s">
        <v>424</v>
      </c>
      <c r="E16" s="693" t="s">
        <v>382</v>
      </c>
    </row>
    <row r="17" spans="1:5" x14ac:dyDescent="0.25">
      <c r="A17" s="685">
        <v>14</v>
      </c>
      <c r="B17" s="685" t="s">
        <v>426</v>
      </c>
      <c r="D17" s="806" t="s">
        <v>427</v>
      </c>
      <c r="E17" s="693" t="s">
        <v>428</v>
      </c>
    </row>
    <row r="18" spans="1:5" x14ac:dyDescent="0.25">
      <c r="A18" s="685">
        <v>15</v>
      </c>
      <c r="B18" s="825" t="s">
        <v>447</v>
      </c>
      <c r="D18" s="826" t="s">
        <v>446</v>
      </c>
      <c r="E18" s="827" t="s">
        <v>382</v>
      </c>
    </row>
    <row r="19" spans="1:5" x14ac:dyDescent="0.25">
      <c r="A19" s="685">
        <v>16</v>
      </c>
      <c r="B19" s="825" t="s">
        <v>450</v>
      </c>
      <c r="C19" s="1077" t="s">
        <v>449</v>
      </c>
      <c r="D19" s="826" t="s">
        <v>452</v>
      </c>
      <c r="E19" s="688" t="s">
        <v>364</v>
      </c>
    </row>
    <row r="20" spans="1:5" x14ac:dyDescent="0.25">
      <c r="A20" s="685">
        <v>17</v>
      </c>
      <c r="B20" s="825" t="s">
        <v>450</v>
      </c>
      <c r="C20" s="1076" t="s">
        <v>451</v>
      </c>
      <c r="D20" s="826" t="s">
        <v>576</v>
      </c>
      <c r="E20" s="688" t="s">
        <v>364</v>
      </c>
    </row>
    <row r="21" spans="1:5" x14ac:dyDescent="0.25">
      <c r="A21" s="685">
        <v>18</v>
      </c>
      <c r="B21" s="825" t="s">
        <v>458</v>
      </c>
      <c r="C21" s="1077" t="s">
        <v>456</v>
      </c>
      <c r="D21" s="826" t="s">
        <v>457</v>
      </c>
      <c r="E21" s="688" t="s">
        <v>364</v>
      </c>
    </row>
    <row r="22" spans="1:5" ht="92.4" x14ac:dyDescent="0.25">
      <c r="A22" s="1027">
        <v>19</v>
      </c>
      <c r="B22" s="925" t="s">
        <v>519</v>
      </c>
      <c r="C22" s="1071" t="s">
        <v>134</v>
      </c>
      <c r="D22" s="926" t="s">
        <v>518</v>
      </c>
      <c r="E22" s="927" t="s">
        <v>364</v>
      </c>
    </row>
    <row r="23" spans="1:5" x14ac:dyDescent="0.25">
      <c r="A23" s="685">
        <v>20</v>
      </c>
      <c r="B23" s="825" t="s">
        <v>527</v>
      </c>
      <c r="C23" s="1076" t="s">
        <v>134</v>
      </c>
      <c r="D23" s="826" t="s">
        <v>528</v>
      </c>
      <c r="E23" s="927" t="s">
        <v>364</v>
      </c>
    </row>
    <row r="24" spans="1:5" x14ac:dyDescent="0.25">
      <c r="A24" s="685">
        <v>21</v>
      </c>
      <c r="B24" s="825" t="s">
        <v>527</v>
      </c>
      <c r="C24" s="1076" t="s">
        <v>134</v>
      </c>
      <c r="D24" s="826" t="s">
        <v>538</v>
      </c>
      <c r="E24" s="927" t="s">
        <v>364</v>
      </c>
    </row>
    <row r="25" spans="1:5" x14ac:dyDescent="0.25">
      <c r="A25" s="685">
        <v>22</v>
      </c>
      <c r="B25" s="825" t="s">
        <v>539</v>
      </c>
      <c r="C25" s="1076" t="s">
        <v>542</v>
      </c>
      <c r="D25" s="826" t="s">
        <v>538</v>
      </c>
      <c r="E25" s="927" t="s">
        <v>364</v>
      </c>
    </row>
    <row r="26" spans="1:5" s="686" customFormat="1" ht="26.4" x14ac:dyDescent="0.25">
      <c r="A26" s="684">
        <v>23</v>
      </c>
      <c r="B26" s="656" t="s">
        <v>539</v>
      </c>
      <c r="C26" s="1071" t="s">
        <v>541</v>
      </c>
      <c r="D26" s="690" t="s">
        <v>540</v>
      </c>
      <c r="E26" s="946" t="s">
        <v>364</v>
      </c>
    </row>
    <row r="27" spans="1:5" s="686" customFormat="1" x14ac:dyDescent="0.25">
      <c r="A27" s="684"/>
      <c r="B27" s="656" t="s">
        <v>547</v>
      </c>
      <c r="C27" s="1071" t="s">
        <v>553</v>
      </c>
      <c r="D27" s="690" t="s">
        <v>555</v>
      </c>
      <c r="E27" s="964" t="s">
        <v>554</v>
      </c>
    </row>
    <row r="28" spans="1:5" x14ac:dyDescent="0.25">
      <c r="A28" s="685">
        <v>24</v>
      </c>
      <c r="B28" s="825" t="s">
        <v>547</v>
      </c>
      <c r="D28" s="826" t="s">
        <v>548</v>
      </c>
      <c r="E28" s="963" t="s">
        <v>549</v>
      </c>
    </row>
    <row r="29" spans="1:5" ht="26.4" x14ac:dyDescent="0.25">
      <c r="A29" s="685">
        <v>25</v>
      </c>
      <c r="B29" s="825" t="s">
        <v>547</v>
      </c>
      <c r="C29" s="1078" t="s">
        <v>552</v>
      </c>
      <c r="D29" s="826" t="s">
        <v>551</v>
      </c>
      <c r="E29" s="963" t="s">
        <v>550</v>
      </c>
    </row>
    <row r="30" spans="1:5" x14ac:dyDescent="0.25">
      <c r="A30" s="685">
        <v>26</v>
      </c>
      <c r="B30" s="825" t="s">
        <v>560</v>
      </c>
      <c r="C30" s="1076" t="s">
        <v>134</v>
      </c>
      <c r="D30" s="826" t="s">
        <v>561</v>
      </c>
      <c r="E30" s="927" t="s">
        <v>364</v>
      </c>
    </row>
    <row r="31" spans="1:5" x14ac:dyDescent="0.25">
      <c r="A31" s="685">
        <v>27</v>
      </c>
      <c r="B31" s="825" t="s">
        <v>560</v>
      </c>
      <c r="C31" s="1076" t="s">
        <v>563</v>
      </c>
      <c r="D31" s="826" t="s">
        <v>562</v>
      </c>
      <c r="E31" s="927" t="s">
        <v>364</v>
      </c>
    </row>
    <row r="32" spans="1:5" ht="26.4" x14ac:dyDescent="0.25">
      <c r="A32" s="1045">
        <v>28</v>
      </c>
      <c r="B32" s="1045" t="s">
        <v>565</v>
      </c>
      <c r="C32" s="1079" t="s">
        <v>567</v>
      </c>
      <c r="D32" s="1082" t="s">
        <v>566</v>
      </c>
      <c r="E32" s="927" t="s">
        <v>364</v>
      </c>
    </row>
    <row r="33" spans="1:5" s="1055" customFormat="1" ht="39.6" x14ac:dyDescent="0.25">
      <c r="A33" s="1045">
        <v>29</v>
      </c>
      <c r="B33" s="1045" t="s">
        <v>568</v>
      </c>
      <c r="C33" s="1080" t="s">
        <v>570</v>
      </c>
      <c r="D33" s="1083" t="s">
        <v>569</v>
      </c>
      <c r="E33" s="927" t="s">
        <v>364</v>
      </c>
    </row>
    <row r="34" spans="1:5" s="686" customFormat="1" ht="26.4" x14ac:dyDescent="0.25">
      <c r="A34" s="1027">
        <v>30</v>
      </c>
      <c r="B34" s="947" t="s">
        <v>572</v>
      </c>
      <c r="C34" s="1084" t="s">
        <v>478</v>
      </c>
      <c r="D34" s="926" t="s">
        <v>573</v>
      </c>
      <c r="E34" s="927" t="s">
        <v>364</v>
      </c>
    </row>
    <row r="35" spans="1:5" s="686" customFormat="1" ht="39.6" x14ac:dyDescent="0.25">
      <c r="A35" s="1027">
        <v>31</v>
      </c>
      <c r="B35" s="947" t="s">
        <v>572</v>
      </c>
      <c r="C35" s="1084" t="s">
        <v>574</v>
      </c>
      <c r="D35" s="1085" t="s">
        <v>575</v>
      </c>
      <c r="E35" s="927" t="s">
        <v>364</v>
      </c>
    </row>
    <row r="101" spans="1:1" x14ac:dyDescent="0.25">
      <c r="A101" s="1028" t="s">
        <v>537</v>
      </c>
    </row>
  </sheetData>
  <mergeCells count="4">
    <mergeCell ref="A2:A3"/>
    <mergeCell ref="B2:B3"/>
    <mergeCell ref="C2:D2"/>
    <mergeCell ref="E2:E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5:K44"/>
  <sheetViews>
    <sheetView topLeftCell="F13" workbookViewId="0">
      <selection activeCell="F26" sqref="F26"/>
    </sheetView>
  </sheetViews>
  <sheetFormatPr defaultColWidth="9.21875" defaultRowHeight="13.2" x14ac:dyDescent="0.25"/>
  <cols>
    <col min="1" max="1" width="16.5546875" style="78" hidden="1" customWidth="1"/>
    <col min="2" max="2" width="9.21875" style="78" hidden="1" customWidth="1"/>
    <col min="3" max="3" width="25" style="78" hidden="1" customWidth="1"/>
    <col min="4" max="5" width="9.21875" style="78" hidden="1" customWidth="1"/>
    <col min="6" max="6" width="61.77734375" style="78" customWidth="1"/>
    <col min="7" max="7" width="109.44140625" style="78" customWidth="1"/>
    <col min="8" max="28" width="9.21875" style="78" customWidth="1"/>
    <col min="29" max="16384" width="9.21875" style="78"/>
  </cols>
  <sheetData>
    <row r="5" spans="1:11" x14ac:dyDescent="0.25">
      <c r="F5" s="83" t="s">
        <v>181</v>
      </c>
    </row>
    <row r="7" spans="1:11" x14ac:dyDescent="0.25">
      <c r="F7" s="86" t="s">
        <v>97</v>
      </c>
      <c r="G7" s="86" t="s">
        <v>56</v>
      </c>
    </row>
    <row r="8" spans="1:11" ht="15.6" x14ac:dyDescent="0.25">
      <c r="F8" s="658" t="s">
        <v>95</v>
      </c>
      <c r="G8" s="577" t="s">
        <v>306</v>
      </c>
    </row>
    <row r="9" spans="1:11" ht="15.6" x14ac:dyDescent="0.25">
      <c r="F9" s="659" t="s">
        <v>96</v>
      </c>
      <c r="G9" s="577" t="s">
        <v>307</v>
      </c>
    </row>
    <row r="11" spans="1:11" x14ac:dyDescent="0.25">
      <c r="A11" s="87" t="s">
        <v>131</v>
      </c>
      <c r="C11" s="87" t="s">
        <v>132</v>
      </c>
    </row>
    <row r="12" spans="1:11" x14ac:dyDescent="0.25">
      <c r="A12" s="91" t="s">
        <v>123</v>
      </c>
      <c r="B12" s="91"/>
      <c r="C12" s="91" t="s">
        <v>124</v>
      </c>
    </row>
    <row r="13" spans="1:11" s="79" customFormat="1" x14ac:dyDescent="0.25">
      <c r="A13" s="87">
        <v>200</v>
      </c>
      <c r="B13" s="87" t="s">
        <v>105</v>
      </c>
      <c r="C13" s="92" t="s">
        <v>125</v>
      </c>
      <c r="D13" s="92" t="s">
        <v>128</v>
      </c>
      <c r="E13" s="87"/>
      <c r="H13" s="80" t="str">
        <f>IFERROR(SMALL($F$13:$F$21,ROWS($D$13:D13)),"")</f>
        <v/>
      </c>
      <c r="K13" s="80" t="str">
        <f>IFERROR(INDEX($A$13:$C$21,$H13,COLUMNS(J$13:$J13)),"")</f>
        <v/>
      </c>
    </row>
    <row r="14" spans="1:11" s="79" customFormat="1" x14ac:dyDescent="0.25">
      <c r="A14" s="87">
        <v>120</v>
      </c>
      <c r="B14" s="87" t="s">
        <v>105</v>
      </c>
      <c r="C14" s="92" t="s">
        <v>126</v>
      </c>
      <c r="D14" s="92" t="s">
        <v>129</v>
      </c>
      <c r="E14" s="87"/>
      <c r="H14" s="80" t="str">
        <f>IFERROR(SMALL($F$13:$F$21,ROWS($D$13:D14)),"")</f>
        <v/>
      </c>
      <c r="K14" s="80" t="str">
        <f>IFERROR(INDEX($A$13:$C$21,$H14,COLUMNS(J$13:$J14)),"")</f>
        <v/>
      </c>
    </row>
    <row r="15" spans="1:11" s="79" customFormat="1" x14ac:dyDescent="0.25">
      <c r="A15" s="87">
        <v>60</v>
      </c>
      <c r="B15" s="87" t="s">
        <v>105</v>
      </c>
      <c r="C15" s="92" t="s">
        <v>127</v>
      </c>
      <c r="D15" s="92" t="s">
        <v>130</v>
      </c>
      <c r="E15" s="87"/>
      <c r="H15" s="80" t="str">
        <f>IFERROR(SMALL($F$13:$F$21,ROWS($D$13:D15)),"")</f>
        <v/>
      </c>
      <c r="K15" s="80" t="str">
        <f>IFERROR(INDEX($A$13:$C$21,$H15,COLUMNS(J$13:$J15)),"")</f>
        <v/>
      </c>
    </row>
    <row r="16" spans="1:11" s="79" customFormat="1" x14ac:dyDescent="0.25">
      <c r="A16" s="87">
        <v>150</v>
      </c>
      <c r="B16" s="87" t="s">
        <v>106</v>
      </c>
      <c r="E16" s="80"/>
      <c r="F16" s="80" t="str">
        <f>IF(ID!$C$96=B16,E16,"")</f>
        <v/>
      </c>
      <c r="H16" s="80" t="str">
        <f>IFERROR(SMALL($F$13:$F$21,ROWS($F$13:F16)),"")</f>
        <v/>
      </c>
    </row>
    <row r="17" spans="1:8" s="79" customFormat="1" x14ac:dyDescent="0.25">
      <c r="A17" s="87">
        <v>120</v>
      </c>
      <c r="B17" s="87" t="s">
        <v>106</v>
      </c>
      <c r="E17" s="80"/>
      <c r="F17" s="80" t="str">
        <f>IF(ID!$C$96=B17,E17,"")</f>
        <v/>
      </c>
      <c r="H17" s="80" t="str">
        <f>IFERROR(SMALL($F$13:$F$21,ROWS($F$13:F17)),"")</f>
        <v/>
      </c>
    </row>
    <row r="18" spans="1:8" s="79" customFormat="1" x14ac:dyDescent="0.25">
      <c r="A18" s="87">
        <v>60</v>
      </c>
      <c r="B18" s="87" t="s">
        <v>106</v>
      </c>
      <c r="E18" s="80"/>
      <c r="F18" s="80" t="str">
        <f>IF(ID!$C$96=B18,E18,"")</f>
        <v/>
      </c>
      <c r="H18" s="80" t="str">
        <f>IFERROR(SMALL($F$13:$F$21,ROWS($F$13:F18)),"")</f>
        <v/>
      </c>
    </row>
    <row r="19" spans="1:8" s="79" customFormat="1" x14ac:dyDescent="0.25">
      <c r="A19" s="87">
        <v>80</v>
      </c>
      <c r="B19" s="87" t="s">
        <v>107</v>
      </c>
      <c r="E19" s="80"/>
      <c r="F19" s="80" t="str">
        <f>IF(ID!$C$96=B19,E19,"")</f>
        <v/>
      </c>
      <c r="H19" s="80" t="str">
        <f>IFERROR(SMALL($F$13:$F$21,ROWS($F$13:F19)),"")</f>
        <v/>
      </c>
    </row>
    <row r="20" spans="1:8" s="79" customFormat="1" x14ac:dyDescent="0.25">
      <c r="A20" s="87">
        <v>60</v>
      </c>
      <c r="B20" s="87" t="s">
        <v>107</v>
      </c>
      <c r="E20" s="80"/>
      <c r="F20" s="80" t="str">
        <f>IF(ID!$C$96=B20,E20,"")</f>
        <v/>
      </c>
      <c r="H20" s="80" t="str">
        <f>IFERROR(SMALL($F$13:$F$21,ROWS($F$13:F20)),"")</f>
        <v/>
      </c>
    </row>
    <row r="21" spans="1:8" s="79" customFormat="1" x14ac:dyDescent="0.25">
      <c r="A21" s="87">
        <v>50</v>
      </c>
      <c r="B21" s="87" t="s">
        <v>107</v>
      </c>
      <c r="E21" s="80"/>
      <c r="F21" s="80" t="str">
        <f>IF(ID!$C$96=B21,E21,"")</f>
        <v/>
      </c>
      <c r="H21" s="80" t="str">
        <f>IFERROR(SMALL($F$13:$F$21,ROWS($F$13:F21)),"")</f>
        <v/>
      </c>
    </row>
    <row r="25" spans="1:8" x14ac:dyDescent="0.25">
      <c r="F25" s="88" t="s">
        <v>122</v>
      </c>
      <c r="G25" s="89"/>
    </row>
    <row r="26" spans="1:8" ht="15.6" x14ac:dyDescent="0.25">
      <c r="B26" s="81"/>
      <c r="C26" s="82"/>
      <c r="F26" s="90" t="s">
        <v>391</v>
      </c>
      <c r="G26" s="90" t="s">
        <v>391</v>
      </c>
    </row>
    <row r="27" spans="1:8" ht="15.6" x14ac:dyDescent="0.25">
      <c r="F27" s="90" t="s">
        <v>483</v>
      </c>
      <c r="G27" s="90" t="s">
        <v>483</v>
      </c>
    </row>
    <row r="28" spans="1:8" ht="15.6" x14ac:dyDescent="0.25">
      <c r="F28" s="90" t="s">
        <v>482</v>
      </c>
      <c r="G28" s="90" t="s">
        <v>482</v>
      </c>
    </row>
    <row r="29" spans="1:8" ht="15.6" x14ac:dyDescent="0.25">
      <c r="F29" s="90" t="s">
        <v>392</v>
      </c>
      <c r="G29" s="90" t="s">
        <v>392</v>
      </c>
    </row>
    <row r="30" spans="1:8" ht="15.6" x14ac:dyDescent="0.25">
      <c r="F30" s="90" t="s">
        <v>484</v>
      </c>
      <c r="G30" s="90" t="s">
        <v>486</v>
      </c>
    </row>
    <row r="31" spans="1:8" ht="15.6" x14ac:dyDescent="0.25">
      <c r="F31" s="90" t="s">
        <v>485</v>
      </c>
      <c r="G31" s="90" t="s">
        <v>485</v>
      </c>
    </row>
    <row r="32" spans="1:8" ht="15.6" x14ac:dyDescent="0.25">
      <c r="F32" s="90" t="s">
        <v>393</v>
      </c>
      <c r="G32" s="90" t="s">
        <v>393</v>
      </c>
    </row>
    <row r="33" spans="2:8" x14ac:dyDescent="0.25">
      <c r="F33" s="94" t="s">
        <v>134</v>
      </c>
      <c r="G33" s="94" t="s">
        <v>134</v>
      </c>
    </row>
    <row r="36" spans="2:8" ht="15.6" x14ac:dyDescent="0.25">
      <c r="B36" s="81"/>
    </row>
    <row r="37" spans="2:8" ht="15.6" x14ac:dyDescent="0.25">
      <c r="B37" s="81"/>
    </row>
    <row r="38" spans="2:8" ht="15.75" customHeight="1" x14ac:dyDescent="0.25">
      <c r="B38" s="81"/>
      <c r="F38" s="568" t="s">
        <v>343</v>
      </c>
      <c r="G38" s="569" t="s">
        <v>345</v>
      </c>
      <c r="H38" s="570"/>
    </row>
    <row r="39" spans="2:8" ht="15.6" x14ac:dyDescent="0.25">
      <c r="B39" s="81"/>
      <c r="F39" s="568" t="s">
        <v>344</v>
      </c>
      <c r="G39" s="569" t="s">
        <v>346</v>
      </c>
      <c r="H39" s="571"/>
    </row>
    <row r="40" spans="2:8" ht="15.6" x14ac:dyDescent="0.25">
      <c r="B40" s="81"/>
    </row>
    <row r="41" spans="2:8" ht="15.6" x14ac:dyDescent="0.25">
      <c r="B41" s="81"/>
      <c r="F41" s="78" t="s">
        <v>139</v>
      </c>
      <c r="G41" s="78" t="s">
        <v>140</v>
      </c>
    </row>
    <row r="42" spans="2:8" ht="15.6" x14ac:dyDescent="0.25">
      <c r="B42" s="81"/>
      <c r="F42" s="78" t="s">
        <v>292</v>
      </c>
      <c r="G42" s="78" t="s">
        <v>293</v>
      </c>
    </row>
    <row r="43" spans="2:8" ht="15.6" x14ac:dyDescent="0.25">
      <c r="B43" s="81"/>
    </row>
    <row r="44" spans="2:8" ht="15.6" x14ac:dyDescent="0.25">
      <c r="B44" s="81"/>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8" tint="0.39997558519241921"/>
  </sheetPr>
  <dimension ref="A1:CQ394"/>
  <sheetViews>
    <sheetView topLeftCell="C355" zoomScale="70" zoomScaleNormal="70" workbookViewId="0">
      <selection activeCell="Q176" sqref="Q176"/>
    </sheetView>
  </sheetViews>
  <sheetFormatPr defaultColWidth="9.21875" defaultRowHeight="13.2" x14ac:dyDescent="0.25"/>
  <cols>
    <col min="1" max="2" width="9.21875" style="2"/>
    <col min="3" max="3" width="9.21875" style="211"/>
    <col min="4" max="4" width="9.21875" style="520"/>
    <col min="5" max="5" width="9.21875" style="2"/>
    <col min="6" max="7" width="1.44140625" style="2" customWidth="1"/>
    <col min="8" max="8" width="9.21875" style="2"/>
    <col min="9" max="9" width="9.21875" style="211"/>
    <col min="10" max="10" width="9.21875" style="520"/>
    <col min="11" max="11" width="9.21875" style="2"/>
    <col min="12" max="12" width="1.44140625" style="2" customWidth="1"/>
    <col min="13" max="18" width="9.21875" style="2"/>
    <col min="19" max="19" width="9.21875" style="225"/>
    <col min="20" max="20" width="9.21875" style="698"/>
    <col min="21" max="22" width="12.5546875" style="699" customWidth="1"/>
    <col min="23" max="23" width="16" style="527" customWidth="1"/>
    <col min="24" max="24" width="13.21875" style="10" customWidth="1"/>
    <col min="25" max="25" width="13.21875" style="717" customWidth="1"/>
    <col min="26" max="27" width="10.77734375" style="717" customWidth="1"/>
    <col min="28" max="28" width="12.77734375" style="527" customWidth="1"/>
    <col min="29" max="29" width="13.21875" style="10" customWidth="1"/>
    <col min="30" max="30" width="85" style="2" customWidth="1"/>
    <col min="31" max="31" width="74.77734375" style="2" customWidth="1"/>
    <col min="32" max="38" width="10.44140625" style="2" customWidth="1"/>
    <col min="39" max="40" width="13" style="2" customWidth="1"/>
    <col min="41" max="41" width="11.77734375" style="2" customWidth="1"/>
    <col min="42" max="43" width="13.21875" style="2" customWidth="1"/>
    <col min="44" max="45" width="12.21875" style="2" customWidth="1"/>
    <col min="46" max="47" width="14" style="2" customWidth="1"/>
    <col min="48" max="48" width="85.77734375" style="2" customWidth="1"/>
    <col min="49" max="71" width="9.21875" style="2" customWidth="1"/>
    <col min="72" max="72" width="16.77734375" style="2" customWidth="1"/>
    <col min="73" max="87" width="9.21875" style="2" customWidth="1"/>
    <col min="88" max="91" width="9.21875" style="2"/>
    <col min="92" max="92" width="6.77734375" style="2" customWidth="1"/>
    <col min="93" max="16384" width="9.21875" style="2"/>
  </cols>
  <sheetData>
    <row r="1" spans="2:95" x14ac:dyDescent="0.25">
      <c r="B1" s="233"/>
      <c r="H1" s="233"/>
      <c r="X1" s="15"/>
      <c r="Y1" s="716"/>
      <c r="CN1" s="1006" t="s">
        <v>299</v>
      </c>
      <c r="CO1" s="1007"/>
      <c r="CP1" s="1008"/>
    </row>
    <row r="2" spans="2:95" x14ac:dyDescent="0.25">
      <c r="X2" s="15"/>
      <c r="Y2" s="716"/>
      <c r="BW2" s="4"/>
      <c r="CN2" s="1006" t="s">
        <v>298</v>
      </c>
      <c r="CO2" s="1007"/>
      <c r="CP2" s="1008"/>
    </row>
    <row r="3" spans="2:95" x14ac:dyDescent="0.25">
      <c r="X3" s="15"/>
      <c r="Y3" s="716"/>
      <c r="BN3" s="3" t="s">
        <v>55</v>
      </c>
      <c r="BW3" s="4"/>
      <c r="CN3" s="1006" t="s">
        <v>304</v>
      </c>
      <c r="CO3" s="1007"/>
      <c r="CP3" s="1008"/>
    </row>
    <row r="4" spans="2:95" x14ac:dyDescent="0.25">
      <c r="BW4" s="4"/>
      <c r="CN4" s="1006" t="s">
        <v>302</v>
      </c>
      <c r="CO4" s="1007"/>
      <c r="CP4" s="1008"/>
    </row>
    <row r="5" spans="2:95" x14ac:dyDescent="0.25">
      <c r="B5" s="7"/>
      <c r="C5" s="515"/>
      <c r="D5" s="521"/>
      <c r="E5" s="7"/>
      <c r="F5" s="7"/>
      <c r="H5" s="7"/>
      <c r="I5" s="515"/>
      <c r="J5" s="521"/>
      <c r="K5" s="7"/>
      <c r="L5" s="7"/>
      <c r="M5" s="7"/>
      <c r="N5" s="7"/>
      <c r="O5" s="7"/>
      <c r="P5" s="7"/>
      <c r="Q5" s="7"/>
      <c r="BU5" s="2" t="b">
        <f>IF(ID!A83='SERTIFIKAT DPM'!BN6,'SERTIFIKAT DPM'!BU6)</f>
        <v>0</v>
      </c>
      <c r="CN5" s="1006" t="s">
        <v>303</v>
      </c>
      <c r="CO5" s="1007"/>
      <c r="CP5" s="1008"/>
    </row>
    <row r="6" spans="2:95" x14ac:dyDescent="0.25">
      <c r="B6" s="13"/>
      <c r="C6" s="516"/>
      <c r="D6" s="522"/>
      <c r="E6" s="13"/>
      <c r="F6" s="13"/>
      <c r="H6" s="13"/>
      <c r="I6" s="516"/>
      <c r="J6" s="522"/>
      <c r="K6" s="13"/>
      <c r="L6" s="13"/>
      <c r="M6" s="13"/>
      <c r="N6" s="13"/>
      <c r="O6" s="13"/>
      <c r="P6" s="13"/>
      <c r="Q6" s="13"/>
      <c r="S6" s="1117" t="s">
        <v>173</v>
      </c>
      <c r="T6" s="1117"/>
      <c r="U6" s="1117"/>
      <c r="V6" s="1117"/>
      <c r="W6" s="1117"/>
      <c r="X6" s="1117"/>
      <c r="Y6" s="1117"/>
      <c r="Z6" s="1117"/>
      <c r="AA6" s="1117"/>
      <c r="AB6" s="1117"/>
      <c r="AC6" s="1117"/>
      <c r="AD6" s="1117"/>
      <c r="AE6" s="1117"/>
      <c r="AF6" s="1117"/>
      <c r="AG6" s="1117"/>
      <c r="AH6" s="1117"/>
      <c r="BN6" t="s">
        <v>461</v>
      </c>
      <c r="BU6" s="14">
        <v>0.1</v>
      </c>
      <c r="BW6" s="4" t="s">
        <v>108</v>
      </c>
      <c r="CN6" s="1006" t="s">
        <v>301</v>
      </c>
      <c r="CO6" s="1007"/>
      <c r="CP6" s="1008"/>
    </row>
    <row r="7" spans="2:95" x14ac:dyDescent="0.25">
      <c r="B7" s="1099" t="s">
        <v>400</v>
      </c>
      <c r="C7" s="1100"/>
      <c r="D7" s="1100"/>
      <c r="E7" s="1101"/>
      <c r="F7" s="233"/>
      <c r="H7" s="1099" t="s">
        <v>401</v>
      </c>
      <c r="I7" s="1100"/>
      <c r="J7" s="1100"/>
      <c r="K7" s="1101"/>
      <c r="L7" s="233"/>
      <c r="M7" s="1099" t="s">
        <v>195</v>
      </c>
      <c r="N7" s="1100"/>
      <c r="O7" s="1100"/>
      <c r="P7" s="1100"/>
      <c r="Q7" s="1101"/>
      <c r="S7" s="1117"/>
      <c r="T7" s="1117"/>
      <c r="U7" s="1117"/>
      <c r="V7" s="1117"/>
      <c r="W7" s="1117"/>
      <c r="X7" s="1117"/>
      <c r="Y7" s="1117"/>
      <c r="Z7" s="1117"/>
      <c r="AA7" s="1117"/>
      <c r="AB7" s="1117"/>
      <c r="AC7" s="1117"/>
      <c r="AD7" s="1117"/>
      <c r="AE7" s="1117"/>
      <c r="AF7" s="1117"/>
      <c r="AG7" s="1117"/>
      <c r="AH7" s="1117"/>
      <c r="BN7" t="s">
        <v>286</v>
      </c>
      <c r="BU7" s="14">
        <v>0.1</v>
      </c>
      <c r="CN7" s="1006" t="s">
        <v>28</v>
      </c>
      <c r="CO7" s="1007"/>
      <c r="CP7" s="1008"/>
    </row>
    <row r="8" spans="2:95" ht="17.399999999999999" x14ac:dyDescent="0.3">
      <c r="B8" s="965"/>
      <c r="C8" s="965"/>
      <c r="D8" s="965"/>
      <c r="E8" s="965"/>
      <c r="F8" s="233"/>
      <c r="H8" s="965"/>
      <c r="I8" s="965"/>
      <c r="J8" s="965"/>
      <c r="K8" s="965"/>
      <c r="L8" s="233"/>
      <c r="M8" s="965"/>
      <c r="N8" s="965"/>
      <c r="O8" s="965"/>
      <c r="P8" s="965"/>
      <c r="Q8" s="965"/>
      <c r="S8" s="1118" t="s">
        <v>150</v>
      </c>
      <c r="T8" s="1118"/>
      <c r="U8" s="1118"/>
      <c r="V8" s="1118"/>
      <c r="W8" s="1118"/>
      <c r="X8" s="1118"/>
      <c r="Y8" s="1119" t="s">
        <v>151</v>
      </c>
      <c r="Z8" s="1120"/>
      <c r="AA8" s="1120"/>
      <c r="AB8" s="1120"/>
      <c r="AC8" s="1121"/>
      <c r="AD8" s="966"/>
      <c r="AE8" s="966"/>
      <c r="AF8" s="966"/>
      <c r="AG8" s="966"/>
      <c r="AH8" s="966"/>
      <c r="BN8" t="s">
        <v>460</v>
      </c>
      <c r="BU8" s="14"/>
      <c r="CN8" s="1006" t="s">
        <v>133</v>
      </c>
      <c r="CO8" s="1007"/>
      <c r="CP8" s="1008"/>
      <c r="CQ8" s="1008"/>
    </row>
    <row r="9" spans="2:95" x14ac:dyDescent="0.25">
      <c r="B9" s="234"/>
      <c r="C9" s="517"/>
      <c r="D9" s="523"/>
      <c r="E9" s="234"/>
      <c r="F9" s="234"/>
      <c r="H9" s="234"/>
      <c r="I9" s="517"/>
      <c r="J9" s="523"/>
      <c r="K9" s="234"/>
      <c r="L9" s="234"/>
      <c r="M9" s="234"/>
      <c r="N9" s="13"/>
      <c r="O9" s="13"/>
      <c r="P9" s="234"/>
      <c r="Q9" s="234"/>
      <c r="S9" s="968"/>
      <c r="T9" s="969"/>
      <c r="U9" s="969"/>
      <c r="V9" s="969"/>
      <c r="W9" s="959" t="s">
        <v>545</v>
      </c>
      <c r="AB9" s="959" t="s">
        <v>545</v>
      </c>
      <c r="AC9" s="967"/>
      <c r="BN9" t="s">
        <v>459</v>
      </c>
      <c r="BU9" s="14">
        <v>0.1</v>
      </c>
      <c r="CN9" s="1006" t="s">
        <v>70</v>
      </c>
      <c r="CO9" s="1007"/>
      <c r="CP9" s="1008"/>
      <c r="CQ9" s="1008"/>
    </row>
    <row r="10" spans="2:95" x14ac:dyDescent="0.25">
      <c r="B10" s="224" t="s">
        <v>48</v>
      </c>
      <c r="C10" s="518" t="s">
        <v>255</v>
      </c>
      <c r="D10" s="524" t="s">
        <v>256</v>
      </c>
      <c r="E10" s="1122" t="s">
        <v>409</v>
      </c>
      <c r="F10" s="139"/>
      <c r="H10" s="224" t="s">
        <v>48</v>
      </c>
      <c r="I10" s="518" t="s">
        <v>255</v>
      </c>
      <c r="J10" s="524" t="s">
        <v>256</v>
      </c>
      <c r="K10" s="1122" t="s">
        <v>171</v>
      </c>
      <c r="L10" s="139"/>
      <c r="M10" s="224" t="s">
        <v>48</v>
      </c>
      <c r="N10" s="224" t="s">
        <v>255</v>
      </c>
      <c r="O10" s="224" t="s">
        <v>256</v>
      </c>
      <c r="P10" s="224" t="s">
        <v>194</v>
      </c>
      <c r="Q10" s="1123" t="s">
        <v>359</v>
      </c>
      <c r="R10" s="235"/>
      <c r="S10" s="224" t="s">
        <v>48</v>
      </c>
      <c r="T10" s="700" t="s">
        <v>403</v>
      </c>
      <c r="U10" s="701" t="s">
        <v>402</v>
      </c>
      <c r="V10" s="701" t="s">
        <v>192</v>
      </c>
      <c r="W10" s="528" t="s">
        <v>172</v>
      </c>
      <c r="X10" s="197" t="s">
        <v>190</v>
      </c>
      <c r="Y10" s="718" t="s">
        <v>404</v>
      </c>
      <c r="Z10" s="719" t="s">
        <v>405</v>
      </c>
      <c r="AA10" s="719" t="s">
        <v>193</v>
      </c>
      <c r="AB10" s="528" t="s">
        <v>152</v>
      </c>
      <c r="AC10" s="197" t="s">
        <v>191</v>
      </c>
      <c r="AD10" s="5" t="s">
        <v>102</v>
      </c>
      <c r="AE10" s="3" t="s">
        <v>55</v>
      </c>
      <c r="AF10" s="6" t="s">
        <v>98</v>
      </c>
      <c r="AG10" s="6" t="s">
        <v>99</v>
      </c>
      <c r="AH10" s="6" t="s">
        <v>100</v>
      </c>
      <c r="AI10" s="7"/>
      <c r="AJ10" s="7"/>
      <c r="AK10" s="232" t="str">
        <f t="shared" ref="AK10:AQ10" si="0">S10</f>
        <v>PA</v>
      </c>
      <c r="AL10" s="232" t="str">
        <f t="shared" si="0"/>
        <v>Naik lama</v>
      </c>
      <c r="AM10" s="163" t="str">
        <f t="shared" si="0"/>
        <v>Naik Tengah</v>
      </c>
      <c r="AN10" s="163" t="str">
        <f t="shared" si="0"/>
        <v>Naik Terbaru</v>
      </c>
      <c r="AO10" s="163" t="str">
        <f t="shared" si="0"/>
        <v xml:space="preserve">DRIFT NAIK </v>
      </c>
      <c r="AP10" s="232" t="str">
        <f t="shared" si="0"/>
        <v>U95 Naik terbaru</v>
      </c>
      <c r="AQ10" s="162" t="str">
        <f t="shared" si="0"/>
        <v>Turun Lama</v>
      </c>
      <c r="AR10" s="162" t="str">
        <f t="shared" ref="AR10:AU10" si="1">Z10</f>
        <v>Turun Tengah</v>
      </c>
      <c r="AS10" s="162" t="str">
        <f t="shared" si="1"/>
        <v>Turun Terbaru</v>
      </c>
      <c r="AT10" s="162" t="str">
        <f t="shared" si="1"/>
        <v>DRIFT TURUN</v>
      </c>
      <c r="AU10" s="162" t="str">
        <f t="shared" si="1"/>
        <v>U95 Turun terbaru</v>
      </c>
      <c r="AV10" s="8" t="s">
        <v>102</v>
      </c>
      <c r="BN10" t="s">
        <v>463</v>
      </c>
      <c r="BU10" s="14">
        <v>0.1</v>
      </c>
      <c r="CN10" s="1006" t="s">
        <v>71</v>
      </c>
      <c r="CO10" s="1007"/>
      <c r="CP10" s="1008"/>
      <c r="CQ10" s="1008"/>
    </row>
    <row r="11" spans="2:95" s="980" customFormat="1" x14ac:dyDescent="0.25">
      <c r="B11" s="971">
        <v>0</v>
      </c>
      <c r="C11" s="978">
        <f>0.1-0</f>
        <v>0.1</v>
      </c>
      <c r="D11" s="978">
        <f>0.1-0</f>
        <v>0.1</v>
      </c>
      <c r="E11" s="1122"/>
      <c r="F11" s="979"/>
      <c r="H11" s="971">
        <v>0</v>
      </c>
      <c r="I11" s="978">
        <v>0.2</v>
      </c>
      <c r="J11" s="978">
        <v>0.2</v>
      </c>
      <c r="K11" s="1122"/>
      <c r="L11" s="979"/>
      <c r="M11" s="971">
        <v>0</v>
      </c>
      <c r="N11" s="978">
        <v>0</v>
      </c>
      <c r="O11" s="978">
        <v>0</v>
      </c>
      <c r="P11" s="975">
        <v>0.3</v>
      </c>
      <c r="Q11" s="1123"/>
      <c r="R11" s="981"/>
      <c r="S11" s="971">
        <v>0</v>
      </c>
      <c r="T11" s="972">
        <f>C11</f>
        <v>0.1</v>
      </c>
      <c r="U11" s="973">
        <f>I11</f>
        <v>0.2</v>
      </c>
      <c r="V11" s="973">
        <f>N11</f>
        <v>0</v>
      </c>
      <c r="W11" s="974">
        <f>0.5*(MAX(T11:V11)-MIN(T11:V11))</f>
        <v>0.1</v>
      </c>
      <c r="X11" s="975">
        <f>P11</f>
        <v>0.3</v>
      </c>
      <c r="Y11" s="976">
        <f>D11</f>
        <v>0.1</v>
      </c>
      <c r="Z11" s="977">
        <f>J11</f>
        <v>0.2</v>
      </c>
      <c r="AA11" s="977">
        <f>O11</f>
        <v>0</v>
      </c>
      <c r="AB11" s="974">
        <v>0.1</v>
      </c>
      <c r="AC11" s="975">
        <f>P11</f>
        <v>0.3</v>
      </c>
      <c r="AD11" s="982"/>
      <c r="AE11" s="983"/>
      <c r="AF11" s="984">
        <f>ROWS(AE$11:$AE11)</f>
        <v>1</v>
      </c>
      <c r="AG11" s="984" t="str">
        <f>IF(ID!$A$83=AE11,AF11,"")</f>
        <v/>
      </c>
      <c r="AH11" s="984">
        <f>IFERROR(SMALL($AG$11:$AG$394,ROWS($AG$11:AG11)),"")</f>
        <v>130</v>
      </c>
      <c r="AK11" s="1004" cm="1">
        <f t="array" ref="AK11">INDEX($S$11:$AD$394,$AH11,COLUMNS(AJ$11:$AJ11))</f>
        <v>0</v>
      </c>
      <c r="AL11" s="1064" cm="1">
        <f t="array" ref="AL11">INDEX($S$11:$AD$394,$AH11,COLUMNS($AJ$11:AK11))</f>
        <v>0</v>
      </c>
      <c r="AM11" s="1064" cm="1">
        <f t="array" ref="AM11">INDEX($S$11:$AD$394,$AH11,COLUMNS($AJ$11:AL11))</f>
        <v>0</v>
      </c>
      <c r="AN11" s="1064" cm="1">
        <f t="array" ref="AN11">INDEX($S$11:$AD$394,$AH11,COLUMNS($AJ$11:AM11))</f>
        <v>0</v>
      </c>
      <c r="AO11" s="1064" cm="1">
        <f t="array" ref="AO11">INDEX($S$11:$AD$394,$AH11,COLUMNS($AJ$11:AN11))</f>
        <v>0</v>
      </c>
      <c r="AP11" s="1064" cm="1">
        <f t="array" ref="AP11">INDEX($S$11:$AD$394,$AH11,COLUMNS($AJ$11:AO11))</f>
        <v>0.4</v>
      </c>
      <c r="AQ11" s="1064" cm="1">
        <f t="array" ref="AQ11">INDEX($S$11:$AD$394,$AH11,COLUMNS($AJ$11:AP11))</f>
        <v>0</v>
      </c>
      <c r="AR11" s="1064" cm="1">
        <f t="array" ref="AR11">INDEX($S$11:$AD$394,$AH11,COLUMNS($AJ$11:AQ11))</f>
        <v>0</v>
      </c>
      <c r="AS11" s="1064" cm="1">
        <f t="array" ref="AS11">INDEX($S$11:$AD$394,$AH11,COLUMNS($AJ$11:AR11))</f>
        <v>0</v>
      </c>
      <c r="AT11" s="1064" cm="1">
        <f t="array" ref="AT11">INDEX($S$11:$AD$394,$AH11,COLUMNS($AJ$11:AS11))</f>
        <v>0</v>
      </c>
      <c r="AU11" s="1064" cm="1">
        <f t="array" ref="AU11">INDEX($S$11:$AD$394,$AH11,COLUMNS($AJ$11:AT11))</f>
        <v>0.4</v>
      </c>
      <c r="AV11" s="1004" t="str" cm="1">
        <f t="array" ref="AV11">INDEX($S$11:$AD$394,$AH11,COLUMNS($AJ$11:AU11))</f>
        <v>Hasil pengujian kebocoran dan kalibrasi akurasi tekanan tertelusur ke Satuan SI melalui PT. KALIMAN</v>
      </c>
      <c r="BN11" t="s">
        <v>462</v>
      </c>
      <c r="BU11" s="985">
        <v>0.1</v>
      </c>
      <c r="CN11" s="1006" t="s">
        <v>27</v>
      </c>
      <c r="CO11" s="1008"/>
      <c r="CP11" s="1007" t="s">
        <v>556</v>
      </c>
      <c r="CQ11" s="1007"/>
    </row>
    <row r="12" spans="2:95" s="980" customFormat="1" x14ac:dyDescent="0.25">
      <c r="B12" s="971">
        <v>50</v>
      </c>
      <c r="C12" s="978">
        <f>50.4-50</f>
        <v>0.39999999999999858</v>
      </c>
      <c r="D12" s="978">
        <f>50.4-50</f>
        <v>0.39999999999999858</v>
      </c>
      <c r="E12" s="1122"/>
      <c r="F12" s="979"/>
      <c r="H12" s="971">
        <v>50</v>
      </c>
      <c r="I12" s="978">
        <v>0.5</v>
      </c>
      <c r="J12" s="978">
        <v>0.5</v>
      </c>
      <c r="K12" s="1122"/>
      <c r="L12" s="979"/>
      <c r="M12" s="971">
        <v>50</v>
      </c>
      <c r="N12" s="978">
        <v>-0.6</v>
      </c>
      <c r="O12" s="978">
        <v>-0.5</v>
      </c>
      <c r="P12" s="975">
        <v>0.3</v>
      </c>
      <c r="Q12" s="1123"/>
      <c r="R12" s="981"/>
      <c r="S12" s="971">
        <v>50</v>
      </c>
      <c r="T12" s="972">
        <f t="shared" ref="T12:T17" si="2">C12</f>
        <v>0.39999999999999858</v>
      </c>
      <c r="U12" s="973">
        <f t="shared" ref="U12:U17" si="3">I12</f>
        <v>0.5</v>
      </c>
      <c r="V12" s="973">
        <f t="shared" ref="V12:V17" si="4">N12</f>
        <v>-0.6</v>
      </c>
      <c r="W12" s="974">
        <f t="shared" ref="W12:W17" si="5">0.5*(MAX(T12:V12)-MIN(T12:V12))</f>
        <v>0.55000000000000004</v>
      </c>
      <c r="X12" s="975">
        <f t="shared" ref="X12:X17" si="6">P12</f>
        <v>0.3</v>
      </c>
      <c r="Y12" s="976">
        <f t="shared" ref="Y12:Y17" si="7">D12</f>
        <v>0.39999999999999858</v>
      </c>
      <c r="Z12" s="977">
        <f t="shared" ref="Z12:Z17" si="8">J12</f>
        <v>0.5</v>
      </c>
      <c r="AA12" s="977">
        <f t="shared" ref="AA12:AA17" si="9">O12</f>
        <v>-0.5</v>
      </c>
      <c r="AB12" s="974">
        <v>0.5</v>
      </c>
      <c r="AC12" s="975">
        <f t="shared" ref="AC12:AC17" si="10">P12</f>
        <v>0.3</v>
      </c>
      <c r="AD12" s="982"/>
      <c r="AE12" s="983"/>
      <c r="AF12" s="984">
        <f>ROWS(AE$11:$AE12)</f>
        <v>2</v>
      </c>
      <c r="AG12" s="984" t="str">
        <f>IF(ID!$A$83=AE12,AF12,"")</f>
        <v/>
      </c>
      <c r="AH12" s="984">
        <f>IFERROR(SMALL($AG$11:$AG$394,ROWS($AG$11:AG12)),"")</f>
        <v>131</v>
      </c>
      <c r="AK12" s="1004" cm="1">
        <f t="array" ref="AK12">INDEX($S$11:$AD$394,$AH12,COLUMNS(AJ$11:$AJ12))</f>
        <v>50</v>
      </c>
      <c r="AL12" s="1064" cm="1">
        <f t="array" ref="AL12">INDEX($S$11:$AD$394,$AH12,COLUMNS($AJ$11:AK12))</f>
        <v>-0.1</v>
      </c>
      <c r="AM12" s="1064" cm="1">
        <f t="array" ref="AM12">INDEX($S$11:$AD$394,$AH12,COLUMNS($AJ$11:AL12))</f>
        <v>0.1</v>
      </c>
      <c r="AN12" s="1064" cm="1">
        <f t="array" ref="AN12">INDEX($S$11:$AD$394,$AH12,COLUMNS($AJ$11:AM12))</f>
        <v>-0.1</v>
      </c>
      <c r="AO12" s="1064" cm="1">
        <f t="array" ref="AO12">INDEX($S$11:$AD$394,$AH12,COLUMNS($AJ$11:AN12))</f>
        <v>0.1</v>
      </c>
      <c r="AP12" s="1064" cm="1">
        <f t="array" ref="AP12">INDEX($S$11:$AD$394,$AH12,COLUMNS($AJ$11:AO12))</f>
        <v>0.4</v>
      </c>
      <c r="AQ12" s="1064" cm="1">
        <f t="array" ref="AQ12">INDEX($S$11:$AD$394,$AH12,COLUMNS($AJ$11:AP12))</f>
        <v>-0.1</v>
      </c>
      <c r="AR12" s="1064" cm="1">
        <f t="array" ref="AR12">INDEX($S$11:$AD$394,$AH12,COLUMNS($AJ$11:AQ12))</f>
        <v>0.2</v>
      </c>
      <c r="AS12" s="1064" cm="1">
        <f t="array" ref="AS12">INDEX($S$11:$AD$394,$AH12,COLUMNS($AJ$11:AR12))</f>
        <v>-0.3</v>
      </c>
      <c r="AT12" s="1064" cm="1">
        <f t="array" ref="AT12">INDEX($S$11:$AD$394,$AH12,COLUMNS($AJ$11:AS12))</f>
        <v>0.25</v>
      </c>
      <c r="AU12" s="1064" cm="1">
        <f t="array" ref="AU12">INDEX($S$11:$AD$394,$AH12,COLUMNS($AJ$11:AT12))</f>
        <v>0.4</v>
      </c>
      <c r="AV12" s="1004" t="str" cm="1">
        <f t="array" ref="AV12">INDEX($S$11:$AD$394,$AH12,COLUMNS($AJ$11:AU12))</f>
        <v>Hasil pengujian kebocoran dan kalibrasi akurasi tekanan tertelusur ke Satuan SI melalui PT. KALIMAN</v>
      </c>
      <c r="BN12" s="1094"/>
      <c r="BU12" s="985">
        <v>0.1</v>
      </c>
      <c r="CN12" s="1006" t="s">
        <v>300</v>
      </c>
      <c r="CO12" s="1008"/>
      <c r="CP12" s="1008"/>
      <c r="CQ12" s="1007"/>
    </row>
    <row r="13" spans="2:95" s="980" customFormat="1" x14ac:dyDescent="0.25">
      <c r="B13" s="971">
        <v>100</v>
      </c>
      <c r="C13" s="978">
        <f>100.6-100</f>
        <v>0.59999999999999432</v>
      </c>
      <c r="D13" s="978">
        <f>100.6-100</f>
        <v>0.59999999999999432</v>
      </c>
      <c r="E13" s="1122"/>
      <c r="F13" s="979"/>
      <c r="H13" s="971">
        <v>100</v>
      </c>
      <c r="I13" s="978">
        <v>0.7</v>
      </c>
      <c r="J13" s="978">
        <v>0.7</v>
      </c>
      <c r="K13" s="1122"/>
      <c r="L13" s="979"/>
      <c r="M13" s="971">
        <v>100</v>
      </c>
      <c r="N13" s="978">
        <v>-0.5</v>
      </c>
      <c r="O13" s="978">
        <v>-0.4</v>
      </c>
      <c r="P13" s="975">
        <v>0.3</v>
      </c>
      <c r="Q13" s="1123"/>
      <c r="R13" s="981"/>
      <c r="S13" s="971">
        <v>100</v>
      </c>
      <c r="T13" s="972">
        <f t="shared" si="2"/>
        <v>0.59999999999999432</v>
      </c>
      <c r="U13" s="973">
        <f t="shared" si="3"/>
        <v>0.7</v>
      </c>
      <c r="V13" s="973">
        <f t="shared" si="4"/>
        <v>-0.5</v>
      </c>
      <c r="W13" s="974">
        <f t="shared" si="5"/>
        <v>0.6</v>
      </c>
      <c r="X13" s="975">
        <f t="shared" si="6"/>
        <v>0.3</v>
      </c>
      <c r="Y13" s="976">
        <f>D13</f>
        <v>0.59999999999999432</v>
      </c>
      <c r="Z13" s="977">
        <f t="shared" si="8"/>
        <v>0.7</v>
      </c>
      <c r="AA13" s="977">
        <f t="shared" si="9"/>
        <v>-0.4</v>
      </c>
      <c r="AB13" s="974">
        <v>0.55000000000000004</v>
      </c>
      <c r="AC13" s="975">
        <f t="shared" si="10"/>
        <v>0.3</v>
      </c>
      <c r="AD13" s="982"/>
      <c r="AE13" s="983"/>
      <c r="AF13" s="984">
        <f>ROWS(AE$11:$AE13)</f>
        <v>3</v>
      </c>
      <c r="AG13" s="984" t="str">
        <f>IF(ID!$A$83=AE13,AF13,"")</f>
        <v/>
      </c>
      <c r="AH13" s="984">
        <f>IFERROR(SMALL($AG$11:$AG$394,ROWS($AG$11:AG13)),"")</f>
        <v>132</v>
      </c>
      <c r="AK13" s="1004" cm="1">
        <f t="array" ref="AK13">INDEX($S$11:$AD$394,$AH13,COLUMNS(AJ$11:$AJ13))</f>
        <v>100</v>
      </c>
      <c r="AL13" s="1064" cm="1">
        <f t="array" ref="AL13">INDEX($S$11:$AD$394,$AH13,COLUMNS($AJ$11:AK13))</f>
        <v>0</v>
      </c>
      <c r="AM13" s="1064" cm="1">
        <f t="array" ref="AM13">INDEX($S$11:$AD$394,$AH13,COLUMNS($AJ$11:AL13))</f>
        <v>0</v>
      </c>
      <c r="AN13" s="1064" cm="1">
        <f t="array" ref="AN13">INDEX($S$11:$AD$394,$AH13,COLUMNS($AJ$11:AM13))</f>
        <v>-0.1</v>
      </c>
      <c r="AO13" s="1064" cm="1">
        <f t="array" ref="AO13">INDEX($S$11:$AD$394,$AH13,COLUMNS($AJ$11:AN13))</f>
        <v>0.05</v>
      </c>
      <c r="AP13" s="1064" cm="1">
        <f t="array" ref="AP13">INDEX($S$11:$AD$394,$AH13,COLUMNS($AJ$11:AO13))</f>
        <v>0.4</v>
      </c>
      <c r="AQ13" s="1064" cm="1">
        <f t="array" ref="AQ13">INDEX($S$11:$AD$394,$AH13,COLUMNS($AJ$11:AP13))</f>
        <v>0</v>
      </c>
      <c r="AR13" s="1064" cm="1">
        <f t="array" ref="AR13">INDEX($S$11:$AD$394,$AH13,COLUMNS($AJ$11:AQ13))</f>
        <v>0.1</v>
      </c>
      <c r="AS13" s="1064" cm="1">
        <f t="array" ref="AS13">INDEX($S$11:$AD$394,$AH13,COLUMNS($AJ$11:AR13))</f>
        <v>-0.3</v>
      </c>
      <c r="AT13" s="1064" cm="1">
        <f t="array" ref="AT13">INDEX($S$11:$AD$394,$AH13,COLUMNS($AJ$11:AS13))</f>
        <v>0.2</v>
      </c>
      <c r="AU13" s="1064" cm="1">
        <f t="array" ref="AU13">INDEX($S$11:$AD$394,$AH13,COLUMNS($AJ$11:AT13))</f>
        <v>0.4</v>
      </c>
      <c r="AV13" s="1004" t="str" cm="1">
        <f t="array" ref="AV13">INDEX($S$11:$AD$394,$AH13,COLUMNS($AJ$11:AU13))</f>
        <v>Hasil pengujian kebocoran dan kalibrasi akurasi tekanan tertelusur ke Satuan SI melalui PT. KALIMAN</v>
      </c>
      <c r="BN13" s="986"/>
      <c r="BU13" s="985">
        <v>0.5</v>
      </c>
      <c r="CO13" s="1008"/>
      <c r="CP13" s="1008"/>
      <c r="CQ13" s="1007"/>
    </row>
    <row r="14" spans="2:95" s="980" customFormat="1" x14ac:dyDescent="0.25">
      <c r="B14" s="971">
        <v>150</v>
      </c>
      <c r="C14" s="978">
        <f>150.6-150</f>
        <v>0.59999999999999432</v>
      </c>
      <c r="D14" s="978">
        <f>150.6-150</f>
        <v>0.59999999999999432</v>
      </c>
      <c r="E14" s="1122"/>
      <c r="F14" s="979"/>
      <c r="H14" s="971">
        <v>150</v>
      </c>
      <c r="I14" s="978">
        <v>0.7</v>
      </c>
      <c r="J14" s="978">
        <v>0.7</v>
      </c>
      <c r="K14" s="1122"/>
      <c r="L14" s="979"/>
      <c r="M14" s="971">
        <v>150</v>
      </c>
      <c r="N14" s="978">
        <v>-0.2</v>
      </c>
      <c r="O14" s="978">
        <v>-0.1</v>
      </c>
      <c r="P14" s="975">
        <v>0.3</v>
      </c>
      <c r="Q14" s="1123"/>
      <c r="R14" s="981"/>
      <c r="S14" s="971">
        <v>150</v>
      </c>
      <c r="T14" s="972">
        <f t="shared" si="2"/>
        <v>0.59999999999999432</v>
      </c>
      <c r="U14" s="973">
        <f t="shared" si="3"/>
        <v>0.7</v>
      </c>
      <c r="V14" s="973">
        <f t="shared" si="4"/>
        <v>-0.2</v>
      </c>
      <c r="W14" s="974">
        <f t="shared" si="5"/>
        <v>0.44999999999999996</v>
      </c>
      <c r="X14" s="975">
        <f t="shared" si="6"/>
        <v>0.3</v>
      </c>
      <c r="Y14" s="976">
        <f t="shared" si="7"/>
        <v>0.59999999999999432</v>
      </c>
      <c r="Z14" s="977">
        <f t="shared" si="8"/>
        <v>0.7</v>
      </c>
      <c r="AA14" s="977">
        <f t="shared" si="9"/>
        <v>-0.1</v>
      </c>
      <c r="AB14" s="974">
        <v>0.39999999999999997</v>
      </c>
      <c r="AC14" s="975">
        <f t="shared" si="10"/>
        <v>0.3</v>
      </c>
      <c r="AD14" s="982"/>
      <c r="AE14" s="983"/>
      <c r="AF14" s="984">
        <f>ROWS(AE$11:$AE14)</f>
        <v>4</v>
      </c>
      <c r="AG14" s="984" t="str">
        <f>IF(ID!$A$83=AE14,AF14,"")</f>
        <v/>
      </c>
      <c r="AH14" s="984">
        <f>IFERROR(SMALL($AG$11:$AG$394,ROWS($AG$11:AG14)),"")</f>
        <v>133</v>
      </c>
      <c r="AK14" s="1004" cm="1">
        <f t="array" ref="AK14">INDEX($S$11:$AD$394,$AH14,COLUMNS(AJ$11:$AJ14))</f>
        <v>150</v>
      </c>
      <c r="AL14" s="1064" cm="1">
        <f t="array" ref="AL14">INDEX($S$11:$AD$394,$AH14,COLUMNS($AJ$11:AK14))</f>
        <v>0.2</v>
      </c>
      <c r="AM14" s="1064" cm="1">
        <f t="array" ref="AM14">INDEX($S$11:$AD$394,$AH14,COLUMNS($AJ$11:AL14))</f>
        <v>-0.2</v>
      </c>
      <c r="AN14" s="1064" cm="1">
        <f t="array" ref="AN14">INDEX($S$11:$AD$394,$AH14,COLUMNS($AJ$11:AM14))</f>
        <v>0.2</v>
      </c>
      <c r="AO14" s="1064" cm="1">
        <f t="array" ref="AO14">INDEX($S$11:$AD$394,$AH14,COLUMNS($AJ$11:AN14))</f>
        <v>0.2</v>
      </c>
      <c r="AP14" s="1064" cm="1">
        <f t="array" ref="AP14">INDEX($S$11:$AD$394,$AH14,COLUMNS($AJ$11:AO14))</f>
        <v>0.4</v>
      </c>
      <c r="AQ14" s="1064" cm="1">
        <f t="array" ref="AQ14">INDEX($S$11:$AD$394,$AH14,COLUMNS($AJ$11:AP14))</f>
        <v>0.2</v>
      </c>
      <c r="AR14" s="1064" cm="1">
        <f t="array" ref="AR14">INDEX($S$11:$AD$394,$AH14,COLUMNS($AJ$11:AQ14))</f>
        <v>-0.1</v>
      </c>
      <c r="AS14" s="1064" cm="1">
        <f t="array" ref="AS14">INDEX($S$11:$AD$394,$AH14,COLUMNS($AJ$11:AR14))</f>
        <v>0</v>
      </c>
      <c r="AT14" s="1064" cm="1">
        <f t="array" ref="AT14">INDEX($S$11:$AD$394,$AH14,COLUMNS($AJ$11:AS14))</f>
        <v>0.15000000000000002</v>
      </c>
      <c r="AU14" s="1064" cm="1">
        <f t="array" ref="AU14">INDEX($S$11:$AD$394,$AH14,COLUMNS($AJ$11:AT14))</f>
        <v>0.4</v>
      </c>
      <c r="AV14" s="1004" t="str" cm="1">
        <f t="array" ref="AV14">INDEX($S$11:$AD$394,$AH14,COLUMNS($AJ$11:AU14))</f>
        <v>Hasil pengujian kebocoran dan kalibrasi akurasi tekanan tertelusur ke Satuan SI melalui PT. KALIMAN</v>
      </c>
      <c r="BN14" s="986"/>
      <c r="BU14" s="985">
        <v>0.5</v>
      </c>
      <c r="CN14" s="1008"/>
      <c r="CO14" s="1008"/>
      <c r="CP14" s="1006" t="s">
        <v>323</v>
      </c>
      <c r="CQ14" s="1007"/>
    </row>
    <row r="15" spans="2:95" s="980" customFormat="1" x14ac:dyDescent="0.25">
      <c r="B15" s="971">
        <v>200</v>
      </c>
      <c r="C15" s="978">
        <f>200.5-200</f>
        <v>0.5</v>
      </c>
      <c r="D15" s="978">
        <f>200.5-200</f>
        <v>0.5</v>
      </c>
      <c r="E15" s="1122"/>
      <c r="F15" s="979"/>
      <c r="H15" s="971">
        <v>200</v>
      </c>
      <c r="I15" s="978">
        <v>0.6</v>
      </c>
      <c r="J15" s="978">
        <v>0.6</v>
      </c>
      <c r="K15" s="1122"/>
      <c r="L15" s="979"/>
      <c r="M15" s="971">
        <v>200</v>
      </c>
      <c r="N15" s="978">
        <v>-0.1</v>
      </c>
      <c r="O15" s="978">
        <v>-0.1</v>
      </c>
      <c r="P15" s="975">
        <v>0.3</v>
      </c>
      <c r="Q15" s="1123"/>
      <c r="R15" s="981"/>
      <c r="S15" s="971">
        <v>200</v>
      </c>
      <c r="T15" s="972">
        <f t="shared" si="2"/>
        <v>0.5</v>
      </c>
      <c r="U15" s="973">
        <f t="shared" si="3"/>
        <v>0.6</v>
      </c>
      <c r="V15" s="973">
        <f t="shared" si="4"/>
        <v>-0.1</v>
      </c>
      <c r="W15" s="974">
        <f t="shared" si="5"/>
        <v>0.35</v>
      </c>
      <c r="X15" s="975">
        <f t="shared" si="6"/>
        <v>0.3</v>
      </c>
      <c r="Y15" s="976">
        <f t="shared" si="7"/>
        <v>0.5</v>
      </c>
      <c r="Z15" s="977">
        <f t="shared" si="8"/>
        <v>0.6</v>
      </c>
      <c r="AA15" s="977">
        <f t="shared" si="9"/>
        <v>-0.1</v>
      </c>
      <c r="AB15" s="974">
        <v>0.35</v>
      </c>
      <c r="AC15" s="975">
        <f t="shared" si="10"/>
        <v>0.3</v>
      </c>
      <c r="AD15" s="982"/>
      <c r="AE15" s="983"/>
      <c r="AF15" s="984">
        <f>ROWS(AE$11:$AE15)</f>
        <v>5</v>
      </c>
      <c r="AG15" s="984" t="str">
        <f>IF(ID!$A$83=AE15,AF15,"")</f>
        <v/>
      </c>
      <c r="AH15" s="984">
        <f>IFERROR(SMALL($AG$11:$AG$394,ROWS($AG$11:AG15)),"")</f>
        <v>134</v>
      </c>
      <c r="AK15" s="1004" cm="1">
        <f t="array" ref="AK15">INDEX($S$11:$AD$394,$AH15,COLUMNS(AJ$11:$AJ15))</f>
        <v>200</v>
      </c>
      <c r="AL15" s="1064" cm="1">
        <f t="array" ref="AL15">INDEX($S$11:$AD$394,$AH15,COLUMNS($AJ$11:AK15))</f>
        <v>0.2</v>
      </c>
      <c r="AM15" s="1064" cm="1">
        <f t="array" ref="AM15">INDEX($S$11:$AD$394,$AH15,COLUMNS($AJ$11:AL15))</f>
        <v>-0.2</v>
      </c>
      <c r="AN15" s="1064" cm="1">
        <f t="array" ref="AN15">INDEX($S$11:$AD$394,$AH15,COLUMNS($AJ$11:AM15))</f>
        <v>0.2</v>
      </c>
      <c r="AO15" s="1064" cm="1">
        <f t="array" ref="AO15">INDEX($S$11:$AD$394,$AH15,COLUMNS($AJ$11:AN15))</f>
        <v>0.2</v>
      </c>
      <c r="AP15" s="1064" cm="1">
        <f t="array" ref="AP15">INDEX($S$11:$AD$394,$AH15,COLUMNS($AJ$11:AO15))</f>
        <v>0.4</v>
      </c>
      <c r="AQ15" s="1064" cm="1">
        <f t="array" ref="AQ15">INDEX($S$11:$AD$394,$AH15,COLUMNS($AJ$11:AP15))</f>
        <v>0.2</v>
      </c>
      <c r="AR15" s="1064" cm="1">
        <f t="array" ref="AR15">INDEX($S$11:$AD$394,$AH15,COLUMNS($AJ$11:AQ15))</f>
        <v>-0.1</v>
      </c>
      <c r="AS15" s="1064" cm="1">
        <f t="array" ref="AS15">INDEX($S$11:$AD$394,$AH15,COLUMNS($AJ$11:AR15))</f>
        <v>0</v>
      </c>
      <c r="AT15" s="1064" cm="1">
        <f t="array" ref="AT15">INDEX($S$11:$AD$394,$AH15,COLUMNS($AJ$11:AS15))</f>
        <v>0.15000000000000002</v>
      </c>
      <c r="AU15" s="1064" cm="1">
        <f t="array" ref="AU15">INDEX($S$11:$AD$394,$AH15,COLUMNS($AJ$11:AT15))</f>
        <v>0.4</v>
      </c>
      <c r="AV15" s="1004" t="str" cm="1">
        <f t="array" ref="AV15">INDEX($S$11:$AD$394,$AH15,COLUMNS($AJ$11:AU15))</f>
        <v>Hasil pengujian kebocoran dan kalibrasi akurasi tekanan tertelusur ke Satuan SI melalui PT. KALIMAN</v>
      </c>
      <c r="BN15" s="986"/>
      <c r="BU15" s="985">
        <v>0.5</v>
      </c>
      <c r="CN15" s="1008"/>
      <c r="CO15" s="1008"/>
      <c r="CP15" s="1006" t="s">
        <v>324</v>
      </c>
      <c r="CQ15" s="1007"/>
    </row>
    <row r="16" spans="2:95" s="980" customFormat="1" x14ac:dyDescent="0.25">
      <c r="B16" s="971">
        <v>250</v>
      </c>
      <c r="C16" s="978">
        <f>250.3-250</f>
        <v>0.30000000000001137</v>
      </c>
      <c r="D16" s="978">
        <f>250.3-250</f>
        <v>0.30000000000001137</v>
      </c>
      <c r="E16" s="1122"/>
      <c r="F16" s="979"/>
      <c r="H16" s="971">
        <v>250</v>
      </c>
      <c r="I16" s="978">
        <v>0.4</v>
      </c>
      <c r="J16" s="978">
        <v>0.4</v>
      </c>
      <c r="K16" s="1122"/>
      <c r="L16" s="979"/>
      <c r="M16" s="971">
        <v>250</v>
      </c>
      <c r="N16" s="978">
        <v>0.2</v>
      </c>
      <c r="O16" s="978">
        <v>0.2</v>
      </c>
      <c r="P16" s="975">
        <v>0.3</v>
      </c>
      <c r="Q16" s="1123"/>
      <c r="R16" s="981"/>
      <c r="S16" s="971">
        <v>250</v>
      </c>
      <c r="T16" s="972">
        <f t="shared" si="2"/>
        <v>0.30000000000001137</v>
      </c>
      <c r="U16" s="973">
        <f t="shared" si="3"/>
        <v>0.4</v>
      </c>
      <c r="V16" s="973">
        <f t="shared" si="4"/>
        <v>0.2</v>
      </c>
      <c r="W16" s="974">
        <f t="shared" si="5"/>
        <v>0.1</v>
      </c>
      <c r="X16" s="975">
        <f t="shared" si="6"/>
        <v>0.3</v>
      </c>
      <c r="Y16" s="976">
        <f t="shared" si="7"/>
        <v>0.30000000000001137</v>
      </c>
      <c r="Z16" s="977">
        <f t="shared" si="8"/>
        <v>0.4</v>
      </c>
      <c r="AA16" s="977">
        <f t="shared" si="9"/>
        <v>0.2</v>
      </c>
      <c r="AB16" s="974">
        <v>0.1</v>
      </c>
      <c r="AC16" s="975">
        <f t="shared" si="10"/>
        <v>0.3</v>
      </c>
      <c r="AD16" s="982"/>
      <c r="AE16" s="983"/>
      <c r="AF16" s="984">
        <f>ROWS(AE$11:$AE16)</f>
        <v>6</v>
      </c>
      <c r="AG16" s="984" t="str">
        <f>IF(ID!$A$83=AE16,AF16,"")</f>
        <v/>
      </c>
      <c r="AH16" s="984">
        <f>IFERROR(SMALL($AG$11:$AG$394,ROWS($AG$11:AG16)),"")</f>
        <v>135</v>
      </c>
      <c r="AK16" s="1004" cm="1">
        <f t="array" ref="AK16">INDEX($S$11:$AD$394,$AH16,COLUMNS(AJ$11:$AJ16))</f>
        <v>250</v>
      </c>
      <c r="AL16" s="1064" cm="1">
        <f t="array" ref="AL16">INDEX($S$11:$AD$394,$AH16,COLUMNS($AJ$11:AK16))</f>
        <v>0.2</v>
      </c>
      <c r="AM16" s="1064" cm="1">
        <f t="array" ref="AM16">INDEX($S$11:$AD$394,$AH16,COLUMNS($AJ$11:AL16))</f>
        <v>-0.3</v>
      </c>
      <c r="AN16" s="1064" cm="1">
        <f t="array" ref="AN16">INDEX($S$11:$AD$394,$AH16,COLUMNS($AJ$11:AM16))</f>
        <v>0.2</v>
      </c>
      <c r="AO16" s="1064" cm="1">
        <f t="array" ref="AO16">INDEX($S$11:$AD$394,$AH16,COLUMNS($AJ$11:AN16))</f>
        <v>0.25</v>
      </c>
      <c r="AP16" s="1064" cm="1">
        <f t="array" ref="AP16">INDEX($S$11:$AD$394,$AH16,COLUMNS($AJ$11:AO16))</f>
        <v>0.4</v>
      </c>
      <c r="AQ16" s="1064" cm="1">
        <f t="array" ref="AQ16">INDEX($S$11:$AD$394,$AH16,COLUMNS($AJ$11:AP16))</f>
        <v>0.2</v>
      </c>
      <c r="AR16" s="1064" cm="1">
        <f t="array" ref="AR16">INDEX($S$11:$AD$394,$AH16,COLUMNS($AJ$11:AQ16))</f>
        <v>-0.2</v>
      </c>
      <c r="AS16" s="1064" cm="1">
        <f t="array" ref="AS16">INDEX($S$11:$AD$394,$AH16,COLUMNS($AJ$11:AR16))</f>
        <v>0</v>
      </c>
      <c r="AT16" s="1064" cm="1">
        <f t="array" ref="AT16">INDEX($S$11:$AD$394,$AH16,COLUMNS($AJ$11:AS16))</f>
        <v>0.2</v>
      </c>
      <c r="AU16" s="1064" cm="1">
        <f t="array" ref="AU16">INDEX($S$11:$AD$394,$AH16,COLUMNS($AJ$11:AT16))</f>
        <v>0.4</v>
      </c>
      <c r="AV16" s="1004" t="str" cm="1">
        <f t="array" ref="AV16">INDEX($S$11:$AD$394,$AH16,COLUMNS($AJ$11:AU16))</f>
        <v>Hasil pengujian kebocoran dan kalibrasi akurasi tekanan tertelusur ke Satuan SI melalui PT. KALIMAN</v>
      </c>
      <c r="BN16" s="986"/>
      <c r="BU16" s="985">
        <v>0.5</v>
      </c>
      <c r="CO16" s="1008"/>
      <c r="CP16" s="1008"/>
      <c r="CQ16" s="1007"/>
    </row>
    <row r="17" spans="2:95" s="980" customFormat="1" x14ac:dyDescent="0.25">
      <c r="B17" s="971">
        <v>300</v>
      </c>
      <c r="C17" s="978">
        <f>299.9-300</f>
        <v>-0.10000000000002274</v>
      </c>
      <c r="D17" s="978">
        <f>299.9-300</f>
        <v>-0.10000000000002274</v>
      </c>
      <c r="E17" s="1122"/>
      <c r="F17" s="979"/>
      <c r="H17" s="971">
        <v>300</v>
      </c>
      <c r="I17" s="978">
        <v>0.1</v>
      </c>
      <c r="J17" s="978">
        <v>0.1</v>
      </c>
      <c r="K17" s="1122"/>
      <c r="L17" s="979"/>
      <c r="M17" s="971">
        <v>300</v>
      </c>
      <c r="N17" s="978">
        <v>0</v>
      </c>
      <c r="O17" s="978">
        <v>0.1</v>
      </c>
      <c r="P17" s="975">
        <v>0.3</v>
      </c>
      <c r="Q17" s="1123"/>
      <c r="R17" s="981"/>
      <c r="S17" s="971">
        <v>300</v>
      </c>
      <c r="T17" s="972">
        <f t="shared" si="2"/>
        <v>-0.10000000000002274</v>
      </c>
      <c r="U17" s="973">
        <f t="shared" si="3"/>
        <v>0.1</v>
      </c>
      <c r="V17" s="973">
        <f t="shared" si="4"/>
        <v>0</v>
      </c>
      <c r="W17" s="974">
        <f t="shared" si="5"/>
        <v>0.10000000000001137</v>
      </c>
      <c r="X17" s="975">
        <f t="shared" si="6"/>
        <v>0.3</v>
      </c>
      <c r="Y17" s="976">
        <f t="shared" si="7"/>
        <v>-0.10000000000002274</v>
      </c>
      <c r="Z17" s="977">
        <f t="shared" si="8"/>
        <v>0.1</v>
      </c>
      <c r="AA17" s="977">
        <f t="shared" si="9"/>
        <v>0.1</v>
      </c>
      <c r="AB17" s="974">
        <v>0</v>
      </c>
      <c r="AC17" s="975">
        <f t="shared" si="10"/>
        <v>0.3</v>
      </c>
      <c r="AD17" s="982"/>
      <c r="AE17" s="983"/>
      <c r="AF17" s="984">
        <f>ROWS(AE$11:$AE17)</f>
        <v>7</v>
      </c>
      <c r="AG17" s="984" t="str">
        <f>IF(ID!$A$83=AE17,AF17,"")</f>
        <v/>
      </c>
      <c r="AH17" s="984">
        <f>IFERROR(SMALL($AG$11:$AG$394,ROWS($AG$11:AG17)),"")</f>
        <v>136</v>
      </c>
      <c r="AK17" s="1004" cm="1">
        <f t="array" ref="AK17">INDEX($S$11:$AD$394,$AH17,COLUMNS(AJ$11:$AJ17))</f>
        <v>300</v>
      </c>
      <c r="AL17" s="1064" cm="1">
        <f t="array" ref="AL17">INDEX($S$11:$AD$394,$AH17,COLUMNS($AJ$11:AK17))</f>
        <v>0.1</v>
      </c>
      <c r="AM17" s="1064" cm="1">
        <f t="array" ref="AM17">INDEX($S$11:$AD$394,$AH17,COLUMNS($AJ$11:AL17))</f>
        <v>-0.2</v>
      </c>
      <c r="AN17" s="1064" cm="1">
        <f t="array" ref="AN17">INDEX($S$11:$AD$394,$AH17,COLUMNS($AJ$11:AM17))</f>
        <v>0.1</v>
      </c>
      <c r="AO17" s="1064" cm="1">
        <f t="array" ref="AO17">INDEX($S$11:$AD$394,$AH17,COLUMNS($AJ$11:AN17))</f>
        <v>0.15000000000000002</v>
      </c>
      <c r="AP17" s="1064" cm="1">
        <f t="array" ref="AP17">INDEX($S$11:$AD$394,$AH17,COLUMNS($AJ$11:AO17))</f>
        <v>0.4</v>
      </c>
      <c r="AQ17" s="1064" cm="1">
        <f t="array" ref="AQ17">INDEX($S$11:$AD$394,$AH17,COLUMNS($AJ$11:AP17))</f>
        <v>0.1</v>
      </c>
      <c r="AR17" s="1064" cm="1">
        <f t="array" ref="AR17">INDEX($S$11:$AD$394,$AH17,COLUMNS($AJ$11:AQ17))</f>
        <v>-0.1</v>
      </c>
      <c r="AS17" s="1064" cm="1">
        <f t="array" ref="AS17">INDEX($S$11:$AD$394,$AH17,COLUMNS($AJ$11:AR17))</f>
        <v>0</v>
      </c>
      <c r="AT17" s="1064" cm="1">
        <f t="array" ref="AT17">INDEX($S$11:$AD$394,$AH17,COLUMNS($AJ$11:AS17))</f>
        <v>0.1</v>
      </c>
      <c r="AU17" s="1064" cm="1">
        <f t="array" ref="AU17">INDEX($S$11:$AD$394,$AH17,COLUMNS($AJ$11:AT17))</f>
        <v>0.4</v>
      </c>
      <c r="AV17" s="1004" t="str" cm="1">
        <f t="array" ref="AV17">INDEX($S$11:$AD$394,$AH17,COLUMNS($AJ$11:AU17))</f>
        <v>Hasil pengujian kebocoran dan kalibrasi akurasi tekanan tertelusur ke Satuan SI melalui PT. KALIMAN</v>
      </c>
      <c r="BN17" s="986"/>
      <c r="BU17" s="985">
        <v>0.5</v>
      </c>
      <c r="CN17" s="1008"/>
      <c r="CO17" s="1008"/>
      <c r="CP17" s="1006" t="s">
        <v>325</v>
      </c>
      <c r="CQ17" s="1007"/>
    </row>
    <row r="18" spans="2:95" x14ac:dyDescent="0.25">
      <c r="W18" s="532"/>
      <c r="AB18" s="532"/>
      <c r="AF18" s="157">
        <f>ROWS(AE$11:$AE18)</f>
        <v>8</v>
      </c>
      <c r="AG18" s="157" t="str">
        <f>IF(ID!$A$83=AE18,AF18,"")</f>
        <v/>
      </c>
      <c r="AH18" s="157" t="str">
        <f>IFERROR(SMALL($AG$11:$AG$394,ROWS($AG$11:AG18)),"")</f>
        <v/>
      </c>
      <c r="AK18" s="1065"/>
      <c r="AL18" s="1065"/>
      <c r="AM18" s="1065"/>
      <c r="AN18" s="1065"/>
      <c r="AO18" s="1065"/>
      <c r="AP18" s="1065"/>
      <c r="AQ18" s="1065"/>
      <c r="AR18" s="1065"/>
      <c r="AS18" s="1065"/>
      <c r="AT18" s="1065"/>
      <c r="AU18" s="1065"/>
      <c r="AV18" s="1065"/>
      <c r="BN18" s="586"/>
      <c r="BU18" s="14">
        <v>0.5</v>
      </c>
      <c r="CO18" s="1007"/>
      <c r="CP18" s="1008"/>
      <c r="CQ18" s="1008"/>
    </row>
    <row r="19" spans="2:95" s="513" customFormat="1" x14ac:dyDescent="0.25">
      <c r="C19" s="519"/>
      <c r="D19" s="525"/>
      <c r="I19" s="519"/>
      <c r="J19" s="525"/>
      <c r="S19" s="514"/>
      <c r="T19" s="514"/>
      <c r="U19" s="514"/>
      <c r="V19" s="514"/>
      <c r="W19" s="970"/>
      <c r="AB19" s="970"/>
      <c r="AF19" s="157">
        <f>ROWS(AE$11:$AE19)</f>
        <v>9</v>
      </c>
      <c r="AG19" s="157" t="str">
        <f>IF(ID!$A$83=AE19,AF19,"")</f>
        <v/>
      </c>
      <c r="AH19" s="157" t="str">
        <f>IFERROR(SMALL($AG$11:$AG$394,ROWS($AG$11:AG19)),"")</f>
        <v/>
      </c>
      <c r="AK19" s="1066"/>
      <c r="AL19" s="1066"/>
      <c r="AM19" s="1066"/>
      <c r="AN19" s="1066"/>
      <c r="AO19" s="1066"/>
      <c r="AP19" s="1066"/>
      <c r="AQ19" s="1066"/>
      <c r="AR19" s="1066"/>
      <c r="AS19" s="1066"/>
      <c r="AT19" s="1066"/>
      <c r="AU19" s="1066"/>
      <c r="AV19" s="1066"/>
      <c r="BN19" s="586"/>
      <c r="BO19" s="585"/>
      <c r="BU19" s="14">
        <v>0.5</v>
      </c>
      <c r="CN19" s="1009"/>
      <c r="CO19" s="1007"/>
      <c r="CP19" s="1006" t="s">
        <v>326</v>
      </c>
      <c r="CQ19" s="1009"/>
    </row>
    <row r="20" spans="2:95" s="513" customFormat="1" x14ac:dyDescent="0.25">
      <c r="C20" s="519"/>
      <c r="D20" s="525"/>
      <c r="I20" s="519"/>
      <c r="J20" s="525"/>
      <c r="S20" s="514"/>
      <c r="T20" s="514"/>
      <c r="U20" s="514"/>
      <c r="V20" s="514"/>
      <c r="W20" s="514"/>
      <c r="X20" s="514"/>
      <c r="Y20" s="514"/>
      <c r="Z20" s="514"/>
      <c r="AA20" s="514"/>
      <c r="AB20" s="514"/>
      <c r="AF20" s="157">
        <f>ROWS(AE$11:$AE20)</f>
        <v>10</v>
      </c>
      <c r="AG20" s="157" t="str">
        <f>IF(ID!$A$83=AE20,AF20,"")</f>
        <v/>
      </c>
      <c r="AH20" s="157" t="str">
        <f>IFERROR(SMALL($AG$11:$AG$394,ROWS($AG$11:AG20)),"")</f>
        <v/>
      </c>
      <c r="AK20" s="1066"/>
      <c r="AL20" s="1066"/>
      <c r="AM20" s="1066"/>
      <c r="AN20" s="1066"/>
      <c r="AO20" s="1066"/>
      <c r="AP20" s="1066"/>
      <c r="AQ20" s="1066"/>
      <c r="AR20" s="1066"/>
      <c r="AS20" s="1066"/>
      <c r="AT20" s="1066"/>
      <c r="AU20" s="1066"/>
      <c r="AV20" s="1066"/>
      <c r="BN20" s="586"/>
      <c r="BO20" s="585"/>
      <c r="BU20" s="14">
        <v>0.5</v>
      </c>
      <c r="CN20" s="1009"/>
      <c r="CO20" s="1007"/>
      <c r="CP20" s="1006" t="s">
        <v>557</v>
      </c>
      <c r="CQ20" s="1009"/>
    </row>
    <row r="21" spans="2:95" s="513" customFormat="1" x14ac:dyDescent="0.25">
      <c r="C21" s="519"/>
      <c r="D21" s="525"/>
      <c r="I21" s="519"/>
      <c r="J21" s="525"/>
      <c r="S21" s="514"/>
      <c r="T21" s="514"/>
      <c r="U21" s="514"/>
      <c r="V21" s="514"/>
      <c r="W21" s="514"/>
      <c r="X21" s="514"/>
      <c r="Y21" s="514"/>
      <c r="Z21" s="514"/>
      <c r="AA21" s="514"/>
      <c r="AB21" s="514"/>
      <c r="AF21" s="157">
        <f>ROWS(AE$11:$AE21)</f>
        <v>11</v>
      </c>
      <c r="AG21" s="157" t="str">
        <f>IF(ID!$A$83=AE21,AF21,"")</f>
        <v/>
      </c>
      <c r="AH21" s="157" t="str">
        <f>IFERROR(SMALL($AG$11:$AG$394,ROWS($AG$11:AG21)),"")</f>
        <v/>
      </c>
      <c r="AK21" s="1066"/>
      <c r="AL21" s="1066"/>
      <c r="AM21" s="1066"/>
      <c r="AN21" s="1066"/>
      <c r="AO21" s="1066"/>
      <c r="AP21" s="1066"/>
      <c r="AQ21" s="1066"/>
      <c r="AR21" s="1066"/>
      <c r="AS21" s="1066"/>
      <c r="AT21" s="1066"/>
      <c r="AU21" s="1066"/>
      <c r="AV21" s="1066"/>
      <c r="BN21" s="4"/>
      <c r="BO21" s="585"/>
      <c r="BU21" s="14">
        <v>0.5</v>
      </c>
      <c r="CN21" s="1009"/>
      <c r="CO21" s="1007"/>
      <c r="CP21" s="1006" t="s">
        <v>327</v>
      </c>
      <c r="CQ21" s="1009"/>
    </row>
    <row r="22" spans="2:95" s="513" customFormat="1" x14ac:dyDescent="0.25">
      <c r="C22" s="519"/>
      <c r="D22" s="525"/>
      <c r="I22" s="519"/>
      <c r="J22" s="525"/>
      <c r="S22" s="514"/>
      <c r="T22" s="514"/>
      <c r="U22" s="514"/>
      <c r="V22" s="514"/>
      <c r="W22" s="514"/>
      <c r="X22" s="514"/>
      <c r="Y22" s="514"/>
      <c r="Z22" s="514"/>
      <c r="AA22" s="514"/>
      <c r="AB22" s="514"/>
      <c r="AF22" s="157">
        <f>ROWS(AE$11:$AE22)</f>
        <v>12</v>
      </c>
      <c r="AG22" s="157" t="str">
        <f>IF(ID!$A$83=AE22,AF22,"")</f>
        <v/>
      </c>
      <c r="AH22" s="157" t="str">
        <f>IFERROR(SMALL($AG$11:$AG$394,ROWS($AG$11:AG22)),"")</f>
        <v/>
      </c>
      <c r="AK22" s="1066"/>
      <c r="AL22" s="1066"/>
      <c r="AM22" s="1066"/>
      <c r="AN22" s="1066"/>
      <c r="AO22" s="1066"/>
      <c r="AP22" s="1066"/>
      <c r="AQ22" s="1066"/>
      <c r="AR22" s="1066"/>
      <c r="AS22" s="1066"/>
      <c r="AT22" s="1066"/>
      <c r="AU22" s="1066"/>
      <c r="AV22" s="1066"/>
      <c r="BN22" s="4"/>
      <c r="BO22" s="540"/>
      <c r="BU22" s="14">
        <v>0.5</v>
      </c>
      <c r="CN22" s="1009"/>
      <c r="CO22" s="1007"/>
      <c r="CP22" s="1006" t="s">
        <v>328</v>
      </c>
      <c r="CQ22" s="1009"/>
    </row>
    <row r="23" spans="2:95" s="513" customFormat="1" x14ac:dyDescent="0.25">
      <c r="C23" s="519"/>
      <c r="D23" s="525"/>
      <c r="I23" s="519"/>
      <c r="J23" s="525"/>
      <c r="S23" s="514"/>
      <c r="T23" s="514"/>
      <c r="U23" s="514"/>
      <c r="V23" s="514"/>
      <c r="W23" s="514"/>
      <c r="X23" s="514"/>
      <c r="Y23" s="514"/>
      <c r="Z23" s="514"/>
      <c r="AA23" s="514"/>
      <c r="AB23" s="514"/>
      <c r="AF23" s="157">
        <f>ROWS(AE$11:$AE23)</f>
        <v>13</v>
      </c>
      <c r="AG23" s="157" t="str">
        <f>IF(ID!$A$83=AE23,AF23,"")</f>
        <v/>
      </c>
      <c r="AH23" s="157" t="str">
        <f>IFERROR(SMALL($AG$11:$AG$394,ROWS($AG$11:AG23)),"")</f>
        <v/>
      </c>
      <c r="AK23" s="1066"/>
      <c r="AL23" s="1066"/>
      <c r="AM23" s="1066"/>
      <c r="AN23" s="1066"/>
      <c r="AO23" s="1066"/>
      <c r="AP23" s="1066"/>
      <c r="AQ23" s="1066"/>
      <c r="AR23" s="1066"/>
      <c r="AS23" s="1066"/>
      <c r="AT23" s="1066"/>
      <c r="AU23" s="1066"/>
      <c r="AV23" s="1066"/>
      <c r="BN23" s="540"/>
      <c r="BO23" s="540"/>
      <c r="BU23" s="14">
        <v>0.1</v>
      </c>
      <c r="CN23" s="1009"/>
      <c r="CO23" s="1007"/>
      <c r="CP23" s="1006" t="s">
        <v>329</v>
      </c>
      <c r="CQ23" s="1009"/>
    </row>
    <row r="24" spans="2:95" x14ac:dyDescent="0.25">
      <c r="B24" s="1099" t="s">
        <v>400</v>
      </c>
      <c r="C24" s="1100"/>
      <c r="D24" s="1100"/>
      <c r="E24" s="1101"/>
      <c r="F24" s="233"/>
      <c r="H24" s="1099" t="s">
        <v>401</v>
      </c>
      <c r="I24" s="1100"/>
      <c r="J24" s="1100"/>
      <c r="K24" s="1101"/>
      <c r="L24" s="233"/>
      <c r="M24" s="1099" t="s">
        <v>195</v>
      </c>
      <c r="N24" s="1100"/>
      <c r="O24" s="1100"/>
      <c r="P24" s="1100"/>
      <c r="Q24" s="1101"/>
      <c r="S24" s="224" t="s">
        <v>48</v>
      </c>
      <c r="T24" s="700" t="s">
        <v>403</v>
      </c>
      <c r="U24" s="701" t="s">
        <v>402</v>
      </c>
      <c r="V24" s="701" t="s">
        <v>192</v>
      </c>
      <c r="W24" s="528" t="s">
        <v>172</v>
      </c>
      <c r="X24" s="197" t="s">
        <v>190</v>
      </c>
      <c r="Y24" s="718" t="s">
        <v>404</v>
      </c>
      <c r="Z24" s="719" t="s">
        <v>405</v>
      </c>
      <c r="AA24" s="719" t="s">
        <v>193</v>
      </c>
      <c r="AB24" s="528" t="s">
        <v>152</v>
      </c>
      <c r="AC24" s="197" t="s">
        <v>191</v>
      </c>
      <c r="AF24" s="157">
        <f>ROWS(AE$11:$AE24)</f>
        <v>14</v>
      </c>
      <c r="AG24" s="157" t="str">
        <f>IF(ID!$A$83=AE24,AF24,"")</f>
        <v/>
      </c>
      <c r="AH24" s="157" t="str">
        <f>IFERROR(SMALL($AG$11:$AG$394,ROWS($AG$11:AG24)),"")</f>
        <v/>
      </c>
      <c r="AK24" s="1066"/>
      <c r="AL24" s="1066"/>
      <c r="AM24" s="1066"/>
      <c r="AN24" s="1066"/>
      <c r="AO24" s="1066"/>
      <c r="AP24" s="1066"/>
      <c r="AQ24" s="1066"/>
      <c r="AR24" s="1066"/>
      <c r="AS24" s="1066"/>
      <c r="AT24" s="1066"/>
      <c r="AU24" s="1066"/>
      <c r="AV24" s="1066"/>
      <c r="BN24" s="540"/>
      <c r="BU24" s="14">
        <v>0.1</v>
      </c>
      <c r="CN24" s="1008"/>
      <c r="CO24" s="1007"/>
      <c r="CP24" s="1006" t="s">
        <v>330</v>
      </c>
      <c r="CQ24" s="1008"/>
    </row>
    <row r="25" spans="2:95" s="980" customFormat="1" x14ac:dyDescent="0.25">
      <c r="B25" s="971">
        <v>0</v>
      </c>
      <c r="C25" s="978">
        <f>0.1-0</f>
        <v>0.1</v>
      </c>
      <c r="D25" s="978">
        <f>0.1-0</f>
        <v>0.1</v>
      </c>
      <c r="E25" s="1105" t="s">
        <v>409</v>
      </c>
      <c r="F25" s="981"/>
      <c r="H25" s="971">
        <v>0</v>
      </c>
      <c r="I25" s="978">
        <v>0</v>
      </c>
      <c r="J25" s="978">
        <v>0</v>
      </c>
      <c r="K25" s="1105" t="s">
        <v>171</v>
      </c>
      <c r="L25" s="981"/>
      <c r="M25" s="971">
        <v>0</v>
      </c>
      <c r="N25" s="978">
        <v>0</v>
      </c>
      <c r="O25" s="978">
        <v>0</v>
      </c>
      <c r="P25" s="975">
        <v>0.3</v>
      </c>
      <c r="Q25" s="1102" t="s">
        <v>359</v>
      </c>
      <c r="R25" s="981"/>
      <c r="S25" s="971">
        <v>0</v>
      </c>
      <c r="T25" s="972">
        <f>C25</f>
        <v>0.1</v>
      </c>
      <c r="U25" s="973">
        <f>I25</f>
        <v>0</v>
      </c>
      <c r="V25" s="973">
        <f>N25</f>
        <v>0</v>
      </c>
      <c r="W25" s="974">
        <v>0</v>
      </c>
      <c r="X25" s="975">
        <f>P25</f>
        <v>0.3</v>
      </c>
      <c r="Y25" s="976">
        <f>D25</f>
        <v>0.1</v>
      </c>
      <c r="Z25" s="977">
        <f>J25</f>
        <v>0</v>
      </c>
      <c r="AA25" s="977">
        <f>O25</f>
        <v>0</v>
      </c>
      <c r="AB25" s="974">
        <v>0</v>
      </c>
      <c r="AC25" s="975">
        <f>P25</f>
        <v>0.3</v>
      </c>
      <c r="AD25" s="982"/>
      <c r="AE25" s="983"/>
      <c r="AF25" s="984">
        <f>ROWS(AE$11:$AE25)</f>
        <v>15</v>
      </c>
      <c r="AG25" s="984" t="str">
        <f>IF(ID!$A$83=AE25,AF25,"")</f>
        <v/>
      </c>
      <c r="AH25" s="984" t="str">
        <f>IFERROR(SMALL($AG$11:$AG$394,ROWS($AG$11:AG25)),"")</f>
        <v/>
      </c>
      <c r="AK25" s="1066"/>
      <c r="AL25" s="1066"/>
      <c r="AM25" s="1066"/>
      <c r="AN25" s="1066"/>
      <c r="AO25" s="1066"/>
      <c r="AP25" s="1066"/>
      <c r="AQ25" s="1066"/>
      <c r="AR25" s="1066"/>
      <c r="AS25" s="1066"/>
      <c r="AT25" s="1066"/>
      <c r="AU25" s="1066"/>
      <c r="AV25" s="1066"/>
      <c r="BN25" s="987"/>
      <c r="BU25" s="985">
        <v>0.1</v>
      </c>
      <c r="CO25" s="1008"/>
      <c r="CP25" s="1010" t="s">
        <v>331</v>
      </c>
      <c r="CQ25" s="1008"/>
    </row>
    <row r="26" spans="2:95" s="980" customFormat="1" x14ac:dyDescent="0.25">
      <c r="B26" s="971">
        <v>50</v>
      </c>
      <c r="C26" s="978">
        <f>50.1-50</f>
        <v>0.10000000000000142</v>
      </c>
      <c r="D26" s="978">
        <f>50.1-50</f>
        <v>0.10000000000000142</v>
      </c>
      <c r="E26" s="1106"/>
      <c r="F26" s="981"/>
      <c r="H26" s="971">
        <v>50</v>
      </c>
      <c r="I26" s="978">
        <v>-0.1</v>
      </c>
      <c r="J26" s="978">
        <v>-0.1</v>
      </c>
      <c r="K26" s="1106"/>
      <c r="L26" s="981"/>
      <c r="M26" s="971">
        <v>50</v>
      </c>
      <c r="N26" s="978">
        <v>0.3</v>
      </c>
      <c r="O26" s="978">
        <v>0.3</v>
      </c>
      <c r="P26" s="975">
        <v>0.3</v>
      </c>
      <c r="Q26" s="1103"/>
      <c r="R26" s="981"/>
      <c r="S26" s="971">
        <v>50</v>
      </c>
      <c r="T26" s="972">
        <f t="shared" ref="T26:T31" si="11">C26</f>
        <v>0.10000000000000142</v>
      </c>
      <c r="U26" s="973">
        <f t="shared" ref="U26:U31" si="12">I26</f>
        <v>-0.1</v>
      </c>
      <c r="V26" s="973">
        <f t="shared" ref="V26:V31" si="13">N26</f>
        <v>0.3</v>
      </c>
      <c r="W26" s="974">
        <v>0.2</v>
      </c>
      <c r="X26" s="975">
        <f t="shared" ref="X26:X31" si="14">P26</f>
        <v>0.3</v>
      </c>
      <c r="Y26" s="976">
        <f t="shared" ref="Y26" si="15">D26</f>
        <v>0.10000000000000142</v>
      </c>
      <c r="Z26" s="977">
        <f t="shared" ref="Z26:Z31" si="16">J26</f>
        <v>-0.1</v>
      </c>
      <c r="AA26" s="977">
        <f t="shared" ref="AA26:AA31" si="17">O26</f>
        <v>0.3</v>
      </c>
      <c r="AB26" s="974">
        <v>0.2</v>
      </c>
      <c r="AC26" s="975">
        <f t="shared" ref="AC26:AC31" si="18">P26</f>
        <v>0.3</v>
      </c>
      <c r="AD26" s="982"/>
      <c r="AE26" s="983"/>
      <c r="AF26" s="984">
        <f>ROWS(AE$11:$AE26)</f>
        <v>16</v>
      </c>
      <c r="AG26" s="984" t="str">
        <f>IF(ID!$A$83=AE26,AF26,"")</f>
        <v/>
      </c>
      <c r="AH26" s="984" t="str">
        <f>IFERROR(SMALL($AG$11:$AG$394,ROWS($AG$11:AG26)),"")</f>
        <v/>
      </c>
      <c r="AK26" s="1066"/>
      <c r="AL26" s="1066"/>
      <c r="AM26" s="1066"/>
      <c r="AN26" s="1066"/>
      <c r="AO26" s="1066"/>
      <c r="AP26" s="1066"/>
      <c r="AQ26" s="1066"/>
      <c r="AR26" s="1066"/>
      <c r="AS26" s="1066"/>
      <c r="AT26" s="1066"/>
      <c r="AU26" s="1066"/>
      <c r="AV26" s="1066"/>
      <c r="BN26" s="987"/>
      <c r="BU26" s="985">
        <v>0.1</v>
      </c>
      <c r="CN26" s="1008"/>
      <c r="CO26" s="1008"/>
      <c r="CP26" s="1008"/>
      <c r="CQ26" s="1008"/>
    </row>
    <row r="27" spans="2:95" s="980" customFormat="1" x14ac:dyDescent="0.25">
      <c r="B27" s="971">
        <v>100</v>
      </c>
      <c r="C27" s="978">
        <f>100.1-100</f>
        <v>9.9999999999994316E-2</v>
      </c>
      <c r="D27" s="978">
        <f>100.1-100</f>
        <v>9.9999999999994316E-2</v>
      </c>
      <c r="E27" s="1106"/>
      <c r="F27" s="981"/>
      <c r="H27" s="971">
        <v>100</v>
      </c>
      <c r="I27" s="978">
        <v>-0.2</v>
      </c>
      <c r="J27" s="978">
        <v>-0.2</v>
      </c>
      <c r="K27" s="1106"/>
      <c r="L27" s="981"/>
      <c r="M27" s="971">
        <v>100</v>
      </c>
      <c r="N27" s="978">
        <v>-0.1</v>
      </c>
      <c r="O27" s="978">
        <v>-0.1</v>
      </c>
      <c r="P27" s="975">
        <v>0.3</v>
      </c>
      <c r="Q27" s="1103"/>
      <c r="R27" s="981"/>
      <c r="S27" s="971">
        <v>100</v>
      </c>
      <c r="T27" s="972">
        <f t="shared" si="11"/>
        <v>9.9999999999994316E-2</v>
      </c>
      <c r="U27" s="973">
        <f t="shared" si="12"/>
        <v>-0.2</v>
      </c>
      <c r="V27" s="973">
        <f t="shared" si="13"/>
        <v>-0.1</v>
      </c>
      <c r="W27" s="974">
        <v>0.05</v>
      </c>
      <c r="X27" s="975">
        <f t="shared" si="14"/>
        <v>0.3</v>
      </c>
      <c r="Y27" s="976">
        <f>D27</f>
        <v>9.9999999999994316E-2</v>
      </c>
      <c r="Z27" s="977">
        <f t="shared" si="16"/>
        <v>-0.2</v>
      </c>
      <c r="AA27" s="977">
        <f t="shared" si="17"/>
        <v>-0.1</v>
      </c>
      <c r="AB27" s="974">
        <v>0.05</v>
      </c>
      <c r="AC27" s="975">
        <f t="shared" si="18"/>
        <v>0.3</v>
      </c>
      <c r="AD27" s="982"/>
      <c r="AE27" s="983"/>
      <c r="AF27" s="984">
        <f>ROWS(AE$11:$AE27)</f>
        <v>17</v>
      </c>
      <c r="AG27" s="984" t="str">
        <f>IF(ID!$A$83=AE27,AF27,"")</f>
        <v/>
      </c>
      <c r="AH27" s="984" t="str">
        <f>IFERROR(SMALL($AG$11:$AG$394,ROWS($AG$11:AG27)),"")</f>
        <v/>
      </c>
      <c r="AK27" s="1066"/>
      <c r="AL27" s="1066"/>
      <c r="AM27" s="1066"/>
      <c r="AN27" s="1066"/>
      <c r="AO27" s="1066"/>
      <c r="AP27" s="1066"/>
      <c r="AQ27" s="1066"/>
      <c r="AR27" s="1066"/>
      <c r="AS27" s="1066"/>
      <c r="AT27" s="1066"/>
      <c r="AU27" s="1066"/>
      <c r="AV27" s="1066"/>
      <c r="BN27" s="987"/>
      <c r="BU27" s="985">
        <v>0.1</v>
      </c>
      <c r="CN27" s="1008"/>
      <c r="CO27" s="1008"/>
      <c r="CP27" s="1008"/>
      <c r="CQ27" s="1008"/>
    </row>
    <row r="28" spans="2:95" s="980" customFormat="1" x14ac:dyDescent="0.25">
      <c r="B28" s="971">
        <v>150</v>
      </c>
      <c r="C28" s="978">
        <f>150-150</f>
        <v>0</v>
      </c>
      <c r="D28" s="978">
        <f>150-150</f>
        <v>0</v>
      </c>
      <c r="E28" s="1106"/>
      <c r="F28" s="981"/>
      <c r="H28" s="971">
        <v>150</v>
      </c>
      <c r="I28" s="978">
        <v>-0.3</v>
      </c>
      <c r="J28" s="978">
        <v>-0.3</v>
      </c>
      <c r="K28" s="1106"/>
      <c r="L28" s="981"/>
      <c r="M28" s="971">
        <v>150</v>
      </c>
      <c r="N28" s="978">
        <v>-0.2</v>
      </c>
      <c r="O28" s="978">
        <v>-0.2</v>
      </c>
      <c r="P28" s="975">
        <v>0.3</v>
      </c>
      <c r="Q28" s="1103"/>
      <c r="R28" s="981"/>
      <c r="S28" s="971">
        <v>150</v>
      </c>
      <c r="T28" s="972">
        <f t="shared" si="11"/>
        <v>0</v>
      </c>
      <c r="U28" s="973">
        <f t="shared" si="12"/>
        <v>-0.3</v>
      </c>
      <c r="V28" s="973">
        <f t="shared" si="13"/>
        <v>-0.2</v>
      </c>
      <c r="W28" s="974">
        <v>4.9999999999999989E-2</v>
      </c>
      <c r="X28" s="975">
        <f t="shared" si="14"/>
        <v>0.3</v>
      </c>
      <c r="Y28" s="976">
        <f t="shared" ref="Y28:Y31" si="19">D28</f>
        <v>0</v>
      </c>
      <c r="Z28" s="977">
        <f t="shared" si="16"/>
        <v>-0.3</v>
      </c>
      <c r="AA28" s="977">
        <f t="shared" si="17"/>
        <v>-0.2</v>
      </c>
      <c r="AB28" s="974">
        <v>4.9999999999999989E-2</v>
      </c>
      <c r="AC28" s="975">
        <f t="shared" si="18"/>
        <v>0.3</v>
      </c>
      <c r="AD28" s="982"/>
      <c r="AE28" s="983"/>
      <c r="AF28" s="984">
        <f>ROWS(AE$11:$AE28)</f>
        <v>18</v>
      </c>
      <c r="AG28" s="984" t="str">
        <f>IF(ID!$A$83=AE28,AF28,"")</f>
        <v/>
      </c>
      <c r="AH28" s="984" t="str">
        <f>IFERROR(SMALL($AG$11:$AG$394,ROWS($AG$11:AG28)),"")</f>
        <v/>
      </c>
      <c r="AK28" s="1066"/>
      <c r="AL28" s="1066"/>
      <c r="AM28" s="1066"/>
      <c r="AN28" s="1066"/>
      <c r="AO28" s="1066"/>
      <c r="AP28" s="1066"/>
      <c r="AQ28" s="1066"/>
      <c r="AR28" s="1066"/>
      <c r="AS28" s="1066"/>
      <c r="AT28" s="1066"/>
      <c r="AU28" s="1066"/>
      <c r="AV28" s="1066"/>
      <c r="BN28" s="986"/>
      <c r="BU28" s="985">
        <v>0.1</v>
      </c>
      <c r="CN28" s="1008"/>
      <c r="CO28" s="1008"/>
      <c r="CP28" s="1008"/>
      <c r="CQ28" s="1008"/>
    </row>
    <row r="29" spans="2:95" s="980" customFormat="1" x14ac:dyDescent="0.25">
      <c r="B29" s="971">
        <v>200</v>
      </c>
      <c r="C29" s="978">
        <f>199.9-200</f>
        <v>-9.9999999999994316E-2</v>
      </c>
      <c r="D29" s="978">
        <f>199.9-200</f>
        <v>-9.9999999999994316E-2</v>
      </c>
      <c r="E29" s="1106"/>
      <c r="F29" s="981"/>
      <c r="H29" s="971">
        <v>200</v>
      </c>
      <c r="I29" s="978">
        <v>-0.4</v>
      </c>
      <c r="J29" s="978">
        <v>-0.4</v>
      </c>
      <c r="K29" s="1106"/>
      <c r="L29" s="981"/>
      <c r="M29" s="971">
        <v>200</v>
      </c>
      <c r="N29" s="978">
        <v>0.2</v>
      </c>
      <c r="O29" s="978">
        <v>0.3</v>
      </c>
      <c r="P29" s="975">
        <v>0.3</v>
      </c>
      <c r="Q29" s="1103"/>
      <c r="R29" s="981"/>
      <c r="S29" s="971">
        <v>200</v>
      </c>
      <c r="T29" s="972">
        <f>C29</f>
        <v>-9.9999999999994316E-2</v>
      </c>
      <c r="U29" s="973">
        <f>I29</f>
        <v>-0.4</v>
      </c>
      <c r="V29" s="973">
        <f>N29</f>
        <v>0.2</v>
      </c>
      <c r="W29" s="974">
        <v>0.30000000000000004</v>
      </c>
      <c r="X29" s="975">
        <f t="shared" si="14"/>
        <v>0.3</v>
      </c>
      <c r="Y29" s="976">
        <f t="shared" si="19"/>
        <v>-9.9999999999994316E-2</v>
      </c>
      <c r="Z29" s="977">
        <f t="shared" si="16"/>
        <v>-0.4</v>
      </c>
      <c r="AA29" s="977">
        <f t="shared" si="17"/>
        <v>0.3</v>
      </c>
      <c r="AB29" s="974">
        <v>0.35</v>
      </c>
      <c r="AC29" s="975">
        <f t="shared" si="18"/>
        <v>0.3</v>
      </c>
      <c r="AD29" s="982"/>
      <c r="AE29" s="983"/>
      <c r="AF29" s="984">
        <f>ROWS(AE$11:$AE29)</f>
        <v>19</v>
      </c>
      <c r="AG29" s="984" t="str">
        <f>IF(ID!$A$83=AE29,AF29,"")</f>
        <v/>
      </c>
      <c r="AH29" s="984" t="str">
        <f>IFERROR(SMALL($AG$11:$AG$394,ROWS($AG$11:AG29)),"")</f>
        <v/>
      </c>
      <c r="AK29" s="1066"/>
      <c r="AL29" s="1066"/>
      <c r="AM29" s="1066"/>
      <c r="AN29" s="1066"/>
      <c r="AO29" s="1066"/>
      <c r="AP29" s="1066"/>
      <c r="AQ29" s="1066"/>
      <c r="AR29" s="1066"/>
      <c r="AS29" s="1066"/>
      <c r="AT29" s="1066"/>
      <c r="AU29" s="1066"/>
      <c r="AV29" s="1066"/>
      <c r="BN29" s="983" t="s">
        <v>341</v>
      </c>
      <c r="BU29" s="985">
        <v>0.1</v>
      </c>
      <c r="CN29" s="1008"/>
      <c r="CO29" s="1008"/>
      <c r="CP29" s="1008"/>
      <c r="CQ29" s="1008"/>
    </row>
    <row r="30" spans="2:95" s="980" customFormat="1" x14ac:dyDescent="0.25">
      <c r="B30" s="971">
        <v>250</v>
      </c>
      <c r="C30" s="978">
        <f>249.7-250</f>
        <v>-0.30000000000001137</v>
      </c>
      <c r="D30" s="978">
        <f>249.7-250</f>
        <v>-0.30000000000001137</v>
      </c>
      <c r="E30" s="1106"/>
      <c r="F30" s="981"/>
      <c r="H30" s="971">
        <v>250</v>
      </c>
      <c r="I30" s="978">
        <v>-0.5</v>
      </c>
      <c r="J30" s="978">
        <v>-0.5</v>
      </c>
      <c r="K30" s="1106"/>
      <c r="L30" s="981"/>
      <c r="M30" s="971">
        <v>250</v>
      </c>
      <c r="N30" s="978">
        <v>0</v>
      </c>
      <c r="O30" s="978">
        <v>0.1</v>
      </c>
      <c r="P30" s="975">
        <v>0.3</v>
      </c>
      <c r="Q30" s="1103"/>
      <c r="R30" s="981"/>
      <c r="S30" s="971">
        <v>250</v>
      </c>
      <c r="T30" s="972">
        <f t="shared" si="11"/>
        <v>-0.30000000000001137</v>
      </c>
      <c r="U30" s="973">
        <f t="shared" si="12"/>
        <v>-0.5</v>
      </c>
      <c r="V30" s="973">
        <f t="shared" si="13"/>
        <v>0</v>
      </c>
      <c r="W30" s="974">
        <v>0.25</v>
      </c>
      <c r="X30" s="975">
        <f t="shared" si="14"/>
        <v>0.3</v>
      </c>
      <c r="Y30" s="976">
        <f t="shared" si="19"/>
        <v>-0.30000000000001137</v>
      </c>
      <c r="Z30" s="977">
        <f t="shared" si="16"/>
        <v>-0.5</v>
      </c>
      <c r="AA30" s="977">
        <f t="shared" si="17"/>
        <v>0.1</v>
      </c>
      <c r="AB30" s="974">
        <v>0.3</v>
      </c>
      <c r="AC30" s="975">
        <f t="shared" si="18"/>
        <v>0.3</v>
      </c>
      <c r="AD30" s="982"/>
      <c r="AE30" s="983"/>
      <c r="AF30" s="984">
        <f>ROWS(AE$11:$AE30)</f>
        <v>20</v>
      </c>
      <c r="AG30" s="984" t="str">
        <f>IF(ID!$A$83=AE30,AF30,"")</f>
        <v/>
      </c>
      <c r="AH30" s="984" t="str">
        <f>IFERROR(SMALL($AG$11:$AG$394,ROWS($AG$11:AG30)),"")</f>
        <v/>
      </c>
      <c r="AK30" s="1066"/>
      <c r="AL30" s="1066"/>
      <c r="AM30" s="1066"/>
      <c r="AN30" s="1066"/>
      <c r="AO30" s="1066"/>
      <c r="AP30" s="1066"/>
      <c r="AQ30" s="1066"/>
      <c r="AR30" s="1066"/>
      <c r="AS30" s="1066"/>
      <c r="AT30" s="1066"/>
      <c r="AU30" s="1066"/>
      <c r="AV30" s="1066"/>
      <c r="BN30" s="983" t="s">
        <v>340</v>
      </c>
      <c r="BU30" s="985">
        <v>0.1</v>
      </c>
      <c r="CN30" s="1008"/>
      <c r="CO30" s="1008"/>
      <c r="CP30" s="1008"/>
      <c r="CQ30" s="1008"/>
    </row>
    <row r="31" spans="2:95" s="980" customFormat="1" x14ac:dyDescent="0.25">
      <c r="B31" s="971">
        <v>300</v>
      </c>
      <c r="C31" s="978">
        <f>299.5-300</f>
        <v>-0.5</v>
      </c>
      <c r="D31" s="978">
        <f>299.5-300</f>
        <v>-0.5</v>
      </c>
      <c r="E31" s="1107"/>
      <c r="F31" s="981"/>
      <c r="H31" s="971">
        <v>300</v>
      </c>
      <c r="I31" s="978">
        <v>-0.6</v>
      </c>
      <c r="J31" s="978">
        <v>-0.6</v>
      </c>
      <c r="K31" s="1107"/>
      <c r="L31" s="981"/>
      <c r="M31" s="971">
        <v>300</v>
      </c>
      <c r="N31" s="978">
        <v>0.4</v>
      </c>
      <c r="O31" s="978">
        <v>0.5</v>
      </c>
      <c r="P31" s="975">
        <v>0.3</v>
      </c>
      <c r="Q31" s="1104"/>
      <c r="R31" s="981"/>
      <c r="S31" s="971">
        <v>300</v>
      </c>
      <c r="T31" s="972">
        <f t="shared" si="11"/>
        <v>-0.5</v>
      </c>
      <c r="U31" s="973">
        <f t="shared" si="12"/>
        <v>-0.6</v>
      </c>
      <c r="V31" s="973">
        <f t="shared" si="13"/>
        <v>0.4</v>
      </c>
      <c r="W31" s="974">
        <v>0.5</v>
      </c>
      <c r="X31" s="975">
        <f t="shared" si="14"/>
        <v>0.3</v>
      </c>
      <c r="Y31" s="976">
        <f t="shared" si="19"/>
        <v>-0.5</v>
      </c>
      <c r="Z31" s="977">
        <f t="shared" si="16"/>
        <v>-0.6</v>
      </c>
      <c r="AA31" s="977">
        <f t="shared" si="17"/>
        <v>0.5</v>
      </c>
      <c r="AB31" s="974">
        <v>0.55000000000000004</v>
      </c>
      <c r="AC31" s="975">
        <f t="shared" si="18"/>
        <v>0.3</v>
      </c>
      <c r="AD31" s="982"/>
      <c r="AE31" s="983"/>
      <c r="AF31" s="984">
        <f>ROWS(AE$11:$AE31)</f>
        <v>21</v>
      </c>
      <c r="AG31" s="984" t="str">
        <f>IF(ID!$A$83=AE31,AF31,"")</f>
        <v/>
      </c>
      <c r="AH31" s="984" t="str">
        <f>IFERROR(SMALL($AG$11:$AG$394,ROWS($AG$11:AG31)),"")</f>
        <v/>
      </c>
      <c r="CN31" s="1008"/>
      <c r="CO31" s="1008"/>
      <c r="CP31" s="1008"/>
      <c r="CQ31" s="1008"/>
    </row>
    <row r="32" spans="2:95" x14ac:dyDescent="0.25">
      <c r="S32" s="226"/>
      <c r="T32" s="704"/>
      <c r="U32" s="705"/>
      <c r="V32" s="705"/>
      <c r="X32" s="96"/>
      <c r="Y32" s="722"/>
      <c r="Z32" s="722"/>
      <c r="AA32" s="722"/>
      <c r="AB32" s="536"/>
      <c r="AC32" s="160"/>
      <c r="AD32" s="9"/>
      <c r="AE32" s="4"/>
      <c r="AF32" s="157">
        <f>ROWS(AE$11:$AE32)</f>
        <v>22</v>
      </c>
      <c r="AG32" s="157" t="str">
        <f>IF(ID!$A$83=AE32,AF32,"")</f>
        <v/>
      </c>
      <c r="AH32" s="157" t="str">
        <f>IFERROR(SMALL($AG$11:$AG$394,ROWS($AG$11:AG32)),"")</f>
        <v/>
      </c>
      <c r="CN32" s="1008"/>
      <c r="CO32" s="1008"/>
      <c r="CP32" s="1008"/>
      <c r="CQ32" s="1008"/>
    </row>
    <row r="33" spans="1:95" s="513" customFormat="1" x14ac:dyDescent="0.25">
      <c r="C33" s="519"/>
      <c r="D33" s="525"/>
      <c r="I33" s="519"/>
      <c r="J33" s="525"/>
      <c r="S33" s="514"/>
      <c r="T33" s="514"/>
      <c r="U33" s="514"/>
      <c r="V33" s="514"/>
      <c r="W33" s="959" t="s">
        <v>545</v>
      </c>
      <c r="X33" s="10"/>
      <c r="Y33" s="717"/>
      <c r="Z33" s="717"/>
      <c r="AA33" s="717"/>
      <c r="AB33" s="959" t="s">
        <v>545</v>
      </c>
      <c r="AC33" s="514"/>
      <c r="AF33" s="157">
        <f>ROWS(AE$11:$AE33)</f>
        <v>23</v>
      </c>
      <c r="AG33" s="157" t="str">
        <f>IF(ID!$A$83=AE33,AF33,"")</f>
        <v/>
      </c>
      <c r="AH33" s="157" t="str">
        <f>IFERROR(SMALL($AG$11:$AG$394,ROWS($AG$11:AG33)),"")</f>
        <v/>
      </c>
      <c r="CN33" s="1009"/>
      <c r="CO33" s="1009"/>
      <c r="CP33" s="1009"/>
      <c r="CQ33" s="1009"/>
    </row>
    <row r="34" spans="1:95" x14ac:dyDescent="0.25">
      <c r="B34" s="1099" t="s">
        <v>400</v>
      </c>
      <c r="C34" s="1100"/>
      <c r="D34" s="1100"/>
      <c r="E34" s="1101"/>
      <c r="F34" s="233"/>
      <c r="H34" s="1099" t="s">
        <v>401</v>
      </c>
      <c r="I34" s="1100"/>
      <c r="J34" s="1100"/>
      <c r="K34" s="1101"/>
      <c r="L34" s="233"/>
      <c r="M34" s="1099" t="s">
        <v>195</v>
      </c>
      <c r="N34" s="1100"/>
      <c r="O34" s="1100"/>
      <c r="P34" s="1100"/>
      <c r="Q34" s="1101"/>
      <c r="S34" s="224" t="s">
        <v>48</v>
      </c>
      <c r="T34" s="700" t="s">
        <v>403</v>
      </c>
      <c r="U34" s="701" t="s">
        <v>402</v>
      </c>
      <c r="V34" s="701" t="s">
        <v>192</v>
      </c>
      <c r="W34" s="528" t="s">
        <v>172</v>
      </c>
      <c r="X34" s="197" t="s">
        <v>190</v>
      </c>
      <c r="Y34" s="718" t="s">
        <v>404</v>
      </c>
      <c r="Z34" s="719" t="s">
        <v>405</v>
      </c>
      <c r="AA34" s="719" t="s">
        <v>193</v>
      </c>
      <c r="AB34" s="528" t="s">
        <v>152</v>
      </c>
      <c r="AC34" s="197" t="s">
        <v>191</v>
      </c>
      <c r="AF34" s="157">
        <f>ROWS(AE$11:$AE34)</f>
        <v>24</v>
      </c>
      <c r="AG34" s="157" t="str">
        <f>IF(ID!$A$83=AE34,AF34,"")</f>
        <v/>
      </c>
      <c r="AH34" s="157" t="str">
        <f>IFERROR(SMALL($AG$11:$AG$394,ROWS($AG$11:AG34)),"")</f>
        <v/>
      </c>
      <c r="CN34" s="1008"/>
      <c r="CO34" s="1008"/>
      <c r="CP34" s="1008"/>
      <c r="CQ34" s="1008"/>
    </row>
    <row r="35" spans="1:95" x14ac:dyDescent="0.25">
      <c r="A35" s="928" t="s">
        <v>520</v>
      </c>
      <c r="B35" s="207">
        <v>0</v>
      </c>
      <c r="C35" s="193">
        <v>0</v>
      </c>
      <c r="D35" s="512">
        <v>0</v>
      </c>
      <c r="E35" s="1108" t="s">
        <v>371</v>
      </c>
      <c r="F35" s="237"/>
      <c r="G35" s="928" t="s">
        <v>521</v>
      </c>
      <c r="H35" s="207">
        <v>0</v>
      </c>
      <c r="I35" s="193">
        <v>0</v>
      </c>
      <c r="J35" s="512">
        <v>0</v>
      </c>
      <c r="K35" s="1111" t="s">
        <v>523</v>
      </c>
      <c r="L35" s="237" t="s">
        <v>522</v>
      </c>
      <c r="M35" s="207">
        <v>0</v>
      </c>
      <c r="N35" s="193">
        <v>0</v>
      </c>
      <c r="O35" s="512">
        <v>0</v>
      </c>
      <c r="P35" s="199">
        <v>0.4</v>
      </c>
      <c r="Q35" s="1111" t="s">
        <v>579</v>
      </c>
      <c r="R35" s="236"/>
      <c r="S35" s="207">
        <v>0</v>
      </c>
      <c r="T35" s="702">
        <f>C35</f>
        <v>0</v>
      </c>
      <c r="U35" s="703">
        <f>I35</f>
        <v>0</v>
      </c>
      <c r="V35" s="703">
        <f>N35</f>
        <v>0</v>
      </c>
      <c r="W35" s="499">
        <f>0.5*(MAX(T35:V35)-MIN(T35:V35))</f>
        <v>0</v>
      </c>
      <c r="X35" s="199">
        <f>P35</f>
        <v>0.4</v>
      </c>
      <c r="Y35" s="720">
        <f>D35</f>
        <v>0</v>
      </c>
      <c r="Z35" s="721">
        <f>J35</f>
        <v>0</v>
      </c>
      <c r="AA35" s="721">
        <f>O35</f>
        <v>0</v>
      </c>
      <c r="AB35" s="499">
        <f>0.5*(MAX(Y35:AA35)-MIN(Y35:AA35))</f>
        <v>0</v>
      </c>
      <c r="AC35" s="198">
        <f>P35</f>
        <v>0.4</v>
      </c>
      <c r="AD35" s="9" t="s">
        <v>332</v>
      </c>
      <c r="AE35" s="4" t="s">
        <v>463</v>
      </c>
      <c r="AF35" s="157">
        <f>ROWS(AE$11:$AE35)</f>
        <v>25</v>
      </c>
      <c r="AG35" s="157" t="str">
        <f>IF(ID!$A$83=AE35,AF35,"")</f>
        <v/>
      </c>
      <c r="AH35" s="157" t="str">
        <f>IFERROR(SMALL($AG$11:$AG$394,ROWS($AG$11:AG35)),"")</f>
        <v/>
      </c>
      <c r="CN35" s="1008"/>
      <c r="CO35" s="1008"/>
      <c r="CP35" s="1008"/>
      <c r="CQ35" s="1008"/>
    </row>
    <row r="36" spans="1:95" x14ac:dyDescent="0.25">
      <c r="B36" s="207">
        <v>50</v>
      </c>
      <c r="C36" s="193">
        <v>-0.4</v>
      </c>
      <c r="D36" s="512">
        <v>-0.4</v>
      </c>
      <c r="E36" s="1109"/>
      <c r="F36" s="237"/>
      <c r="H36" s="207">
        <v>50</v>
      </c>
      <c r="I36" s="193">
        <v>0.3</v>
      </c>
      <c r="J36" s="512">
        <v>0.4</v>
      </c>
      <c r="K36" s="1112"/>
      <c r="L36" s="237"/>
      <c r="M36" s="207">
        <v>50</v>
      </c>
      <c r="N36" s="193">
        <v>0.3</v>
      </c>
      <c r="O36" s="512">
        <v>0.5</v>
      </c>
      <c r="P36" s="199">
        <v>0.4</v>
      </c>
      <c r="Q36" s="1112"/>
      <c r="R36" s="236"/>
      <c r="S36" s="207">
        <v>50</v>
      </c>
      <c r="T36" s="702">
        <f t="shared" ref="T36:T41" si="20">C36</f>
        <v>-0.4</v>
      </c>
      <c r="U36" s="703">
        <f t="shared" ref="U36:U41" si="21">I36</f>
        <v>0.3</v>
      </c>
      <c r="V36" s="703">
        <f t="shared" ref="V36:V41" si="22">N36</f>
        <v>0.3</v>
      </c>
      <c r="W36" s="499">
        <f t="shared" ref="W36:W41" si="23">0.5*(MAX(T36:V36)-MIN(T36:V36))</f>
        <v>0.35</v>
      </c>
      <c r="X36" s="199">
        <f t="shared" ref="X36:X41" si="24">P36</f>
        <v>0.4</v>
      </c>
      <c r="Y36" s="720">
        <f t="shared" ref="Y36:Y41" si="25">D36</f>
        <v>-0.4</v>
      </c>
      <c r="Z36" s="721">
        <f t="shared" ref="Z36:Z41" si="26">J36</f>
        <v>0.4</v>
      </c>
      <c r="AA36" s="721">
        <f t="shared" ref="AA36:AA41" si="27">O36</f>
        <v>0.5</v>
      </c>
      <c r="AB36" s="499">
        <f t="shared" ref="AB36:AB41" si="28">0.5*(MAX(Y36:AA36)-MIN(Y36:AA36))</f>
        <v>0.45</v>
      </c>
      <c r="AC36" s="198">
        <f t="shared" ref="AC36:AC41" si="29">P36</f>
        <v>0.4</v>
      </c>
      <c r="AD36" s="9" t="s">
        <v>332</v>
      </c>
      <c r="AE36" s="4" t="s">
        <v>463</v>
      </c>
      <c r="AF36" s="157">
        <f>ROWS(AE$11:$AE36)</f>
        <v>26</v>
      </c>
      <c r="AG36" s="157" t="str">
        <f>IF(ID!$A$83=AE36,AF36,"")</f>
        <v/>
      </c>
      <c r="AH36" s="157" t="str">
        <f>IFERROR(SMALL($AG$11:$AG$394,ROWS($AG$11:AG36)),"")</f>
        <v/>
      </c>
      <c r="CN36" s="1008"/>
      <c r="CO36" s="1008"/>
      <c r="CP36" s="1008"/>
      <c r="CQ36" s="1008"/>
    </row>
    <row r="37" spans="1:95" x14ac:dyDescent="0.25">
      <c r="B37" s="207">
        <v>100</v>
      </c>
      <c r="C37" s="193">
        <v>-0.4</v>
      </c>
      <c r="D37" s="512">
        <v>-0.4</v>
      </c>
      <c r="E37" s="1109"/>
      <c r="F37" s="237"/>
      <c r="H37" s="207">
        <v>100</v>
      </c>
      <c r="I37" s="193">
        <v>0.2</v>
      </c>
      <c r="J37" s="512">
        <v>0.4</v>
      </c>
      <c r="K37" s="1112"/>
      <c r="L37" s="237"/>
      <c r="M37" s="207">
        <v>100</v>
      </c>
      <c r="N37" s="193">
        <v>0.3</v>
      </c>
      <c r="O37" s="512">
        <v>0.4</v>
      </c>
      <c r="P37" s="199">
        <v>0.4</v>
      </c>
      <c r="Q37" s="1112"/>
      <c r="R37" s="236"/>
      <c r="S37" s="207">
        <v>100</v>
      </c>
      <c r="T37" s="702">
        <f t="shared" si="20"/>
        <v>-0.4</v>
      </c>
      <c r="U37" s="703">
        <f t="shared" si="21"/>
        <v>0.2</v>
      </c>
      <c r="V37" s="703">
        <f t="shared" si="22"/>
        <v>0.3</v>
      </c>
      <c r="W37" s="499">
        <f t="shared" si="23"/>
        <v>0.35</v>
      </c>
      <c r="X37" s="199">
        <f t="shared" si="24"/>
        <v>0.4</v>
      </c>
      <c r="Y37" s="720">
        <f t="shared" si="25"/>
        <v>-0.4</v>
      </c>
      <c r="Z37" s="721">
        <f t="shared" si="26"/>
        <v>0.4</v>
      </c>
      <c r="AA37" s="721">
        <f t="shared" si="27"/>
        <v>0.4</v>
      </c>
      <c r="AB37" s="499">
        <f t="shared" si="28"/>
        <v>0.4</v>
      </c>
      <c r="AC37" s="198">
        <f t="shared" si="29"/>
        <v>0.4</v>
      </c>
      <c r="AD37" s="9" t="s">
        <v>332</v>
      </c>
      <c r="AE37" s="4" t="s">
        <v>463</v>
      </c>
      <c r="AF37" s="157">
        <f>ROWS(AE$11:$AE37)</f>
        <v>27</v>
      </c>
      <c r="AG37" s="157" t="str">
        <f>IF(ID!$A$83=AE37,AF37,"")</f>
        <v/>
      </c>
      <c r="AH37" s="157" t="str">
        <f>IFERROR(SMALL($AG$11:$AG$394,ROWS($AG$11:AG37)),"")</f>
        <v/>
      </c>
      <c r="CN37" s="1008"/>
      <c r="CO37" s="1008"/>
      <c r="CP37" s="1008"/>
      <c r="CQ37" s="1008"/>
    </row>
    <row r="38" spans="1:95" x14ac:dyDescent="0.25">
      <c r="B38" s="207">
        <v>150</v>
      </c>
      <c r="C38" s="193">
        <v>-0.3</v>
      </c>
      <c r="D38" s="512">
        <v>-0.3</v>
      </c>
      <c r="E38" s="1109"/>
      <c r="F38" s="237"/>
      <c r="H38" s="207">
        <v>150</v>
      </c>
      <c r="I38" s="193">
        <v>0.2</v>
      </c>
      <c r="J38" s="512">
        <v>0.3</v>
      </c>
      <c r="K38" s="1112"/>
      <c r="L38" s="237"/>
      <c r="M38" s="207">
        <v>150</v>
      </c>
      <c r="N38" s="193">
        <v>0.2</v>
      </c>
      <c r="O38" s="512">
        <v>0.4</v>
      </c>
      <c r="P38" s="199">
        <v>0.4</v>
      </c>
      <c r="Q38" s="1112"/>
      <c r="R38" s="236"/>
      <c r="S38" s="207">
        <v>150</v>
      </c>
      <c r="T38" s="702">
        <f t="shared" si="20"/>
        <v>-0.3</v>
      </c>
      <c r="U38" s="703">
        <f t="shared" si="21"/>
        <v>0.2</v>
      </c>
      <c r="V38" s="703">
        <f t="shared" si="22"/>
        <v>0.2</v>
      </c>
      <c r="W38" s="499">
        <f t="shared" si="23"/>
        <v>0.25</v>
      </c>
      <c r="X38" s="199">
        <f t="shared" si="24"/>
        <v>0.4</v>
      </c>
      <c r="Y38" s="720">
        <f t="shared" si="25"/>
        <v>-0.3</v>
      </c>
      <c r="Z38" s="721">
        <f t="shared" si="26"/>
        <v>0.3</v>
      </c>
      <c r="AA38" s="721">
        <f t="shared" si="27"/>
        <v>0.4</v>
      </c>
      <c r="AB38" s="499">
        <f t="shared" si="28"/>
        <v>0.35</v>
      </c>
      <c r="AC38" s="198">
        <f t="shared" si="29"/>
        <v>0.4</v>
      </c>
      <c r="AD38" s="9" t="s">
        <v>332</v>
      </c>
      <c r="AE38" s="4" t="s">
        <v>463</v>
      </c>
      <c r="AF38" s="157">
        <f>ROWS(AE$11:$AE38)</f>
        <v>28</v>
      </c>
      <c r="AG38" s="157" t="str">
        <f>IF(ID!$A$83=AE38,AF38,"")</f>
        <v/>
      </c>
      <c r="AH38" s="157" t="str">
        <f>IFERROR(SMALL($AG$11:$AG$394,ROWS($AG$11:AG38)),"")</f>
        <v/>
      </c>
      <c r="CN38" s="1008"/>
      <c r="CO38" s="1008"/>
      <c r="CP38" s="1008"/>
      <c r="CQ38" s="1008"/>
    </row>
    <row r="39" spans="1:95" x14ac:dyDescent="0.25">
      <c r="B39" s="207">
        <v>200</v>
      </c>
      <c r="C39" s="193">
        <v>-0.3</v>
      </c>
      <c r="D39" s="512">
        <v>-0.3</v>
      </c>
      <c r="E39" s="1109"/>
      <c r="F39" s="237"/>
      <c r="H39" s="207">
        <v>200</v>
      </c>
      <c r="I39" s="193">
        <v>0.3</v>
      </c>
      <c r="J39" s="512">
        <v>0.4</v>
      </c>
      <c r="K39" s="1112"/>
      <c r="L39" s="237"/>
      <c r="M39" s="207">
        <v>200</v>
      </c>
      <c r="N39" s="193">
        <v>0.2</v>
      </c>
      <c r="O39" s="512">
        <v>0.5</v>
      </c>
      <c r="P39" s="199">
        <v>0.4</v>
      </c>
      <c r="Q39" s="1112"/>
      <c r="R39" s="236"/>
      <c r="S39" s="207">
        <v>200</v>
      </c>
      <c r="T39" s="702">
        <f t="shared" si="20"/>
        <v>-0.3</v>
      </c>
      <c r="U39" s="703">
        <f t="shared" si="21"/>
        <v>0.3</v>
      </c>
      <c r="V39" s="703">
        <f t="shared" si="22"/>
        <v>0.2</v>
      </c>
      <c r="W39" s="499">
        <f t="shared" si="23"/>
        <v>0.3</v>
      </c>
      <c r="X39" s="199">
        <f t="shared" si="24"/>
        <v>0.4</v>
      </c>
      <c r="Y39" s="720">
        <f t="shared" si="25"/>
        <v>-0.3</v>
      </c>
      <c r="Z39" s="721">
        <f t="shared" si="26"/>
        <v>0.4</v>
      </c>
      <c r="AA39" s="721">
        <f t="shared" si="27"/>
        <v>0.5</v>
      </c>
      <c r="AB39" s="499">
        <f t="shared" si="28"/>
        <v>0.4</v>
      </c>
      <c r="AC39" s="198">
        <f t="shared" si="29"/>
        <v>0.4</v>
      </c>
      <c r="AD39" s="9" t="s">
        <v>332</v>
      </c>
      <c r="AE39" s="4" t="s">
        <v>463</v>
      </c>
      <c r="AF39" s="157">
        <f>ROWS(AE$11:$AE39)</f>
        <v>29</v>
      </c>
      <c r="AG39" s="157" t="str">
        <f>IF(ID!$A$83=AE39,AF39,"")</f>
        <v/>
      </c>
      <c r="AH39" s="157" t="str">
        <f>IFERROR(SMALL($AG$11:$AG$394,ROWS($AG$11:AG39)),"")</f>
        <v/>
      </c>
      <c r="CN39" s="1008"/>
      <c r="CO39" s="1008"/>
      <c r="CP39" s="1008"/>
      <c r="CQ39" s="1008"/>
    </row>
    <row r="40" spans="1:95" x14ac:dyDescent="0.25">
      <c r="B40" s="207">
        <v>250</v>
      </c>
      <c r="C40" s="193">
        <v>-0.4</v>
      </c>
      <c r="D40" s="512">
        <v>-0.4</v>
      </c>
      <c r="E40" s="1109"/>
      <c r="F40" s="237"/>
      <c r="H40" s="207">
        <v>250</v>
      </c>
      <c r="I40" s="193">
        <v>0.2</v>
      </c>
      <c r="J40" s="512">
        <v>0.3</v>
      </c>
      <c r="K40" s="1112"/>
      <c r="L40" s="237"/>
      <c r="M40" s="207">
        <v>250</v>
      </c>
      <c r="N40" s="193">
        <v>0.3</v>
      </c>
      <c r="O40" s="512">
        <v>0.5</v>
      </c>
      <c r="P40" s="199">
        <v>0.4</v>
      </c>
      <c r="Q40" s="1112"/>
      <c r="R40" s="236"/>
      <c r="S40" s="207">
        <v>250</v>
      </c>
      <c r="T40" s="702">
        <f t="shared" si="20"/>
        <v>-0.4</v>
      </c>
      <c r="U40" s="703">
        <f t="shared" si="21"/>
        <v>0.2</v>
      </c>
      <c r="V40" s="703">
        <f t="shared" si="22"/>
        <v>0.3</v>
      </c>
      <c r="W40" s="499">
        <f t="shared" si="23"/>
        <v>0.35</v>
      </c>
      <c r="X40" s="199">
        <f t="shared" si="24"/>
        <v>0.4</v>
      </c>
      <c r="Y40" s="720">
        <f t="shared" si="25"/>
        <v>-0.4</v>
      </c>
      <c r="Z40" s="721">
        <f t="shared" si="26"/>
        <v>0.3</v>
      </c>
      <c r="AA40" s="721">
        <f t="shared" si="27"/>
        <v>0.5</v>
      </c>
      <c r="AB40" s="499">
        <f t="shared" si="28"/>
        <v>0.45</v>
      </c>
      <c r="AC40" s="198">
        <f t="shared" si="29"/>
        <v>0.4</v>
      </c>
      <c r="AD40" s="9" t="s">
        <v>332</v>
      </c>
      <c r="AE40" s="4" t="s">
        <v>463</v>
      </c>
      <c r="AF40" s="157">
        <f>ROWS(AE$11:$AE40)</f>
        <v>30</v>
      </c>
      <c r="AG40" s="157" t="str">
        <f>IF(ID!$A$83=AE40,AF40,"")</f>
        <v/>
      </c>
      <c r="AH40" s="157" t="str">
        <f>IFERROR(SMALL($AG$11:$AG$394,ROWS($AG$11:AG40)),"")</f>
        <v/>
      </c>
      <c r="CN40" s="1008"/>
      <c r="CO40" s="1008"/>
      <c r="CP40" s="1008"/>
      <c r="CQ40" s="1008"/>
    </row>
    <row r="41" spans="1:95" x14ac:dyDescent="0.25">
      <c r="B41" s="207">
        <v>300</v>
      </c>
      <c r="C41" s="193">
        <v>-0.3</v>
      </c>
      <c r="D41" s="512">
        <v>-0.3</v>
      </c>
      <c r="E41" s="1110"/>
      <c r="F41" s="237"/>
      <c r="H41" s="207">
        <v>300</v>
      </c>
      <c r="I41" s="193">
        <v>0.3</v>
      </c>
      <c r="J41" s="512">
        <v>0.4</v>
      </c>
      <c r="K41" s="1113"/>
      <c r="L41" s="237"/>
      <c r="M41" s="207">
        <v>300</v>
      </c>
      <c r="N41" s="193">
        <v>0.2</v>
      </c>
      <c r="O41" s="512">
        <v>0.5</v>
      </c>
      <c r="P41" s="199">
        <v>0.4</v>
      </c>
      <c r="Q41" s="1113"/>
      <c r="R41" s="236"/>
      <c r="S41" s="207">
        <v>300</v>
      </c>
      <c r="T41" s="702">
        <f t="shared" si="20"/>
        <v>-0.3</v>
      </c>
      <c r="U41" s="703">
        <f t="shared" si="21"/>
        <v>0.3</v>
      </c>
      <c r="V41" s="703">
        <f t="shared" si="22"/>
        <v>0.2</v>
      </c>
      <c r="W41" s="499">
        <f t="shared" si="23"/>
        <v>0.3</v>
      </c>
      <c r="X41" s="199">
        <f t="shared" si="24"/>
        <v>0.4</v>
      </c>
      <c r="Y41" s="720">
        <f t="shared" si="25"/>
        <v>-0.3</v>
      </c>
      <c r="Z41" s="721">
        <f t="shared" si="26"/>
        <v>0.4</v>
      </c>
      <c r="AA41" s="721">
        <f t="shared" si="27"/>
        <v>0.5</v>
      </c>
      <c r="AB41" s="499">
        <f t="shared" si="28"/>
        <v>0.4</v>
      </c>
      <c r="AC41" s="198">
        <f t="shared" si="29"/>
        <v>0.4</v>
      </c>
      <c r="AD41" s="9" t="s">
        <v>332</v>
      </c>
      <c r="AE41" s="4" t="s">
        <v>463</v>
      </c>
      <c r="AF41" s="157">
        <f>ROWS(AE$11:$AE41)</f>
        <v>31</v>
      </c>
      <c r="AG41" s="157" t="str">
        <f>IF(ID!$A$83=AE41,AF41,"")</f>
        <v/>
      </c>
      <c r="AH41" s="157" t="str">
        <f>IFERROR(SMALL($AG$11:$AG$394,ROWS($AG$11:AG41)),"")</f>
        <v/>
      </c>
      <c r="CN41" s="1008"/>
      <c r="CO41" s="1008"/>
      <c r="CP41" s="1008"/>
      <c r="CQ41" s="1008"/>
    </row>
    <row r="42" spans="1:95" x14ac:dyDescent="0.25">
      <c r="S42" s="227"/>
      <c r="T42" s="706"/>
      <c r="U42" s="707"/>
      <c r="V42" s="707"/>
      <c r="W42" s="530"/>
      <c r="X42" s="97"/>
      <c r="Y42" s="723"/>
      <c r="Z42" s="723"/>
      <c r="AA42" s="723"/>
      <c r="AB42" s="537"/>
      <c r="AC42" s="161"/>
      <c r="AD42" s="11"/>
      <c r="AE42" s="4"/>
      <c r="AF42" s="157">
        <f>ROWS(AE$11:$AE42)</f>
        <v>32</v>
      </c>
      <c r="AG42" s="157" t="str">
        <f>IF(ID!$A$83=AE42,AF42,"")</f>
        <v/>
      </c>
      <c r="AH42" s="157" t="str">
        <f>IFERROR(SMALL($AG$11:$AG$394,ROWS($AG$11:AG42)),"")</f>
        <v/>
      </c>
      <c r="BN42" s="4"/>
      <c r="CN42" s="1008"/>
      <c r="CO42" s="1008"/>
      <c r="CP42" s="1008"/>
      <c r="CQ42" s="1008"/>
    </row>
    <row r="43" spans="1:95" s="13" customFormat="1" x14ac:dyDescent="0.25">
      <c r="C43" s="516"/>
      <c r="D43" s="522"/>
      <c r="I43" s="516"/>
      <c r="J43" s="522"/>
      <c r="S43" s="228"/>
      <c r="T43" s="706"/>
      <c r="U43" s="707"/>
      <c r="V43" s="707"/>
      <c r="W43" s="530"/>
      <c r="X43" s="97"/>
      <c r="Y43" s="723"/>
      <c r="Z43" s="723"/>
      <c r="AA43" s="723"/>
      <c r="AB43" s="537"/>
      <c r="AC43" s="161"/>
      <c r="AD43" s="11"/>
      <c r="AE43" s="4"/>
      <c r="AF43" s="157">
        <f>ROWS(AE$11:$AE43)</f>
        <v>33</v>
      </c>
      <c r="AG43" s="157" t="str">
        <f>IF(ID!$A$83=AE43,AF43,"")</f>
        <v/>
      </c>
      <c r="AH43" s="157" t="str">
        <f>IFERROR(SMALL($AG$11:$AG$394,ROWS($AG$11:AG43)),"")</f>
        <v/>
      </c>
      <c r="BN43" s="4"/>
      <c r="CN43" s="1011"/>
      <c r="CO43" s="1011"/>
      <c r="CP43" s="1011"/>
      <c r="CQ43" s="1011"/>
    </row>
    <row r="44" spans="1:95" x14ac:dyDescent="0.25">
      <c r="S44" s="227"/>
      <c r="T44" s="706"/>
      <c r="U44" s="707"/>
      <c r="V44" s="705"/>
      <c r="X44" s="15"/>
      <c r="Y44" s="716"/>
      <c r="Z44" s="716"/>
      <c r="AA44" s="716"/>
      <c r="AC44" s="15"/>
      <c r="AD44" s="11"/>
      <c r="AE44" s="4"/>
      <c r="AF44" s="157">
        <f>ROWS(AE$11:$AE44)</f>
        <v>34</v>
      </c>
      <c r="AG44" s="157" t="str">
        <f>IF(ID!$A$83=AE44,AF44,"")</f>
        <v/>
      </c>
      <c r="AH44" s="157" t="str">
        <f>IFERROR(SMALL($AG$11:$AG$394,ROWS($AG$11:AG44)),"")</f>
        <v/>
      </c>
      <c r="CN44" s="1008"/>
      <c r="CO44" s="1008"/>
      <c r="CP44" s="1008"/>
      <c r="CQ44" s="1008"/>
    </row>
    <row r="45" spans="1:95" x14ac:dyDescent="0.25">
      <c r="S45" s="227"/>
      <c r="T45" s="706"/>
      <c r="U45" s="707"/>
      <c r="V45" s="708"/>
      <c r="W45" s="531"/>
      <c r="X45" s="200"/>
      <c r="Y45" s="723"/>
      <c r="Z45" s="723"/>
      <c r="AA45" s="723"/>
      <c r="AB45" s="537"/>
      <c r="AC45" s="161"/>
      <c r="AD45" s="11"/>
      <c r="AE45" s="4"/>
      <c r="AF45" s="157">
        <f>ROWS(AE$11:$AE45)</f>
        <v>35</v>
      </c>
      <c r="AG45" s="157" t="str">
        <f>IF(ID!$A$83=AE45,AF45,"")</f>
        <v/>
      </c>
      <c r="AH45" s="157" t="str">
        <f>IFERROR(SMALL($AG$11:$AG$394,ROWS($AG$11:AG45)),"")</f>
        <v/>
      </c>
      <c r="CN45" s="1008"/>
      <c r="CO45" s="1008"/>
      <c r="CP45" s="1008"/>
      <c r="CQ45" s="1008"/>
    </row>
    <row r="46" spans="1:95" s="13" customFormat="1" x14ac:dyDescent="0.25">
      <c r="C46" s="516"/>
      <c r="D46" s="522"/>
      <c r="I46" s="516"/>
      <c r="J46" s="522"/>
      <c r="S46" s="229"/>
      <c r="T46" s="709"/>
      <c r="U46" s="710"/>
      <c r="V46" s="699"/>
      <c r="W46" s="527"/>
      <c r="X46" s="10"/>
      <c r="Y46" s="717"/>
      <c r="Z46" s="717"/>
      <c r="AA46" s="717"/>
      <c r="AB46" s="527"/>
      <c r="AC46" s="10"/>
      <c r="AF46" s="157">
        <f>ROWS(AE$11:$AE46)</f>
        <v>36</v>
      </c>
      <c r="AG46" s="157" t="str">
        <f>IF(ID!$A$83=AE46,AF46,"")</f>
        <v/>
      </c>
      <c r="AH46" s="157" t="str">
        <f>IFERROR(SMALL($AG$11:$AG$394,ROWS($AG$11:AG46)),"")</f>
        <v/>
      </c>
      <c r="CN46" s="1011"/>
      <c r="CO46" s="1011"/>
      <c r="CP46" s="1011"/>
      <c r="CQ46" s="1011"/>
    </row>
    <row r="47" spans="1:95" s="513" customFormat="1" x14ac:dyDescent="0.25">
      <c r="C47" s="519"/>
      <c r="D47" s="525"/>
      <c r="I47" s="519"/>
      <c r="J47" s="525"/>
      <c r="S47" s="514"/>
      <c r="T47" s="514"/>
      <c r="U47" s="514"/>
      <c r="V47" s="514"/>
      <c r="W47" s="514"/>
      <c r="X47" s="514"/>
      <c r="Y47" s="514"/>
      <c r="Z47" s="514"/>
      <c r="AA47" s="514"/>
      <c r="AB47" s="514"/>
      <c r="AF47" s="157">
        <f>ROWS(AE$11:$AE47)</f>
        <v>37</v>
      </c>
      <c r="AG47" s="157" t="str">
        <f>IF(ID!$A$83=AE47,AF47,"")</f>
        <v/>
      </c>
      <c r="AH47" s="157" t="str">
        <f>IFERROR(SMALL($AG$11:$AG$394,ROWS($AG$11:AG47)),"")</f>
        <v/>
      </c>
      <c r="CN47" s="1009"/>
      <c r="CO47" s="1009"/>
      <c r="CP47" s="1009"/>
      <c r="CQ47" s="1009"/>
    </row>
    <row r="48" spans="1:95" s="513" customFormat="1" x14ac:dyDescent="0.25">
      <c r="C48" s="519"/>
      <c r="D48" s="525"/>
      <c r="I48" s="519"/>
      <c r="J48" s="525"/>
      <c r="S48" s="514"/>
      <c r="T48" s="514"/>
      <c r="U48" s="514"/>
      <c r="V48" s="514"/>
      <c r="W48" s="514"/>
      <c r="X48" s="514"/>
      <c r="Y48" s="514"/>
      <c r="Z48" s="514"/>
      <c r="AA48" s="514"/>
      <c r="AB48" s="514"/>
      <c r="AF48" s="157">
        <f>ROWS(AE$11:$AE48)</f>
        <v>38</v>
      </c>
      <c r="AG48" s="157" t="str">
        <f>IF(ID!$A$83=AE48,AF48,"")</f>
        <v/>
      </c>
      <c r="AH48" s="157" t="str">
        <f>IFERROR(SMALL($AG$11:$AG$394,ROWS($AG$11:AG48)),"")</f>
        <v/>
      </c>
      <c r="CN48" s="1009"/>
      <c r="CO48" s="1009"/>
      <c r="CP48" s="1009"/>
      <c r="CQ48" s="1009"/>
    </row>
    <row r="49" spans="2:95" x14ac:dyDescent="0.25">
      <c r="B49" s="1099" t="s">
        <v>400</v>
      </c>
      <c r="C49" s="1100"/>
      <c r="D49" s="1100"/>
      <c r="E49" s="1101"/>
      <c r="F49" s="233"/>
      <c r="H49" s="1099" t="s">
        <v>401</v>
      </c>
      <c r="I49" s="1100"/>
      <c r="J49" s="1100"/>
      <c r="K49" s="1101"/>
      <c r="L49" s="233"/>
      <c r="M49" s="1099" t="s">
        <v>195</v>
      </c>
      <c r="N49" s="1100"/>
      <c r="O49" s="1100"/>
      <c r="P49" s="1100"/>
      <c r="Q49" s="1101"/>
      <c r="S49" s="224" t="s">
        <v>48</v>
      </c>
      <c r="T49" s="700" t="s">
        <v>403</v>
      </c>
      <c r="U49" s="701" t="s">
        <v>402</v>
      </c>
      <c r="V49" s="701" t="s">
        <v>192</v>
      </c>
      <c r="W49" s="528" t="s">
        <v>172</v>
      </c>
      <c r="X49" s="197" t="s">
        <v>190</v>
      </c>
      <c r="Y49" s="718" t="s">
        <v>404</v>
      </c>
      <c r="Z49" s="719" t="s">
        <v>405</v>
      </c>
      <c r="AA49" s="719" t="s">
        <v>193</v>
      </c>
      <c r="AB49" s="528" t="s">
        <v>152</v>
      </c>
      <c r="AC49" s="197" t="s">
        <v>191</v>
      </c>
      <c r="AF49" s="157">
        <f>ROWS(AE$11:$AE49)</f>
        <v>39</v>
      </c>
      <c r="AG49" s="157" t="str">
        <f>IF(ID!$A$83=AE49,AF49,"")</f>
        <v/>
      </c>
      <c r="AH49" s="157" t="str">
        <f>IFERROR(SMALL($AG$11:$AG$394,ROWS($AG$11:AG49)),"")</f>
        <v/>
      </c>
      <c r="CN49" s="1008"/>
      <c r="CO49" s="1008"/>
      <c r="CP49" s="1008"/>
      <c r="CQ49" s="1008"/>
    </row>
    <row r="50" spans="2:95" s="980" customFormat="1" x14ac:dyDescent="0.25">
      <c r="B50" s="971">
        <v>0</v>
      </c>
      <c r="C50" s="988" t="s">
        <v>134</v>
      </c>
      <c r="D50" s="988" t="s">
        <v>134</v>
      </c>
      <c r="E50" s="1105" t="s">
        <v>134</v>
      </c>
      <c r="F50" s="981"/>
      <c r="H50" s="971">
        <v>0</v>
      </c>
      <c r="I50" s="978">
        <v>0.1</v>
      </c>
      <c r="J50" s="978">
        <v>0.1</v>
      </c>
      <c r="K50" s="1105" t="s">
        <v>239</v>
      </c>
      <c r="L50" s="981"/>
      <c r="M50" s="971">
        <v>0</v>
      </c>
      <c r="N50" s="978">
        <v>0</v>
      </c>
      <c r="O50" s="978">
        <v>0</v>
      </c>
      <c r="P50" s="978">
        <v>1</v>
      </c>
      <c r="Q50" s="1102" t="s">
        <v>543</v>
      </c>
      <c r="R50" s="981"/>
      <c r="S50" s="971">
        <v>0</v>
      </c>
      <c r="T50" s="972" t="str">
        <f>C50</f>
        <v>-</v>
      </c>
      <c r="U50" s="973">
        <f>I50</f>
        <v>0.1</v>
      </c>
      <c r="V50" s="973">
        <f>N50</f>
        <v>0</v>
      </c>
      <c r="W50" s="974">
        <v>0.05</v>
      </c>
      <c r="X50" s="975">
        <f>P50</f>
        <v>1</v>
      </c>
      <c r="Y50" s="976" t="str">
        <f>D50</f>
        <v>-</v>
      </c>
      <c r="Z50" s="977">
        <f>J50</f>
        <v>0.1</v>
      </c>
      <c r="AA50" s="977">
        <f>O50</f>
        <v>0</v>
      </c>
      <c r="AB50" s="974">
        <v>0.05</v>
      </c>
      <c r="AC50" s="975">
        <f>P50</f>
        <v>1</v>
      </c>
      <c r="AD50" s="982"/>
      <c r="AE50" s="983"/>
      <c r="AF50" s="984">
        <f>ROWS(AE$11:$AE50)</f>
        <v>40</v>
      </c>
      <c r="AG50" s="984" t="str">
        <f>IF(ID!$A$83=AE50,AF50,"")</f>
        <v/>
      </c>
      <c r="AH50" s="984" t="str">
        <f>IFERROR(SMALL($AG$11:$AG$394,ROWS($AG$11:AG50)),"")</f>
        <v/>
      </c>
      <c r="BN50" s="983"/>
      <c r="CN50" s="1008"/>
      <c r="CO50" s="1008"/>
      <c r="CP50" s="1008"/>
      <c r="CQ50" s="1008"/>
    </row>
    <row r="51" spans="2:95" s="980" customFormat="1" x14ac:dyDescent="0.25">
      <c r="B51" s="971">
        <v>50</v>
      </c>
      <c r="C51" s="988" t="s">
        <v>134</v>
      </c>
      <c r="D51" s="988" t="s">
        <v>134</v>
      </c>
      <c r="E51" s="1106"/>
      <c r="F51" s="981"/>
      <c r="H51" s="971">
        <v>50</v>
      </c>
      <c r="I51" s="978">
        <v>0.7</v>
      </c>
      <c r="J51" s="978">
        <v>0.7</v>
      </c>
      <c r="K51" s="1106"/>
      <c r="L51" s="981"/>
      <c r="M51" s="971">
        <v>50</v>
      </c>
      <c r="N51" s="978">
        <v>0</v>
      </c>
      <c r="O51" s="978">
        <v>0.1</v>
      </c>
      <c r="P51" s="978">
        <v>1</v>
      </c>
      <c r="Q51" s="1103"/>
      <c r="R51" s="981"/>
      <c r="S51" s="971">
        <v>50</v>
      </c>
      <c r="T51" s="972" t="str">
        <f t="shared" ref="T51:T56" si="30">C51</f>
        <v>-</v>
      </c>
      <c r="U51" s="973">
        <f t="shared" ref="U51:U56" si="31">I51</f>
        <v>0.7</v>
      </c>
      <c r="V51" s="973">
        <f t="shared" ref="V51:V56" si="32">N51</f>
        <v>0</v>
      </c>
      <c r="W51" s="974">
        <v>0.35</v>
      </c>
      <c r="X51" s="975">
        <f t="shared" ref="X51:X56" si="33">P51</f>
        <v>1</v>
      </c>
      <c r="Y51" s="976" t="str">
        <f t="shared" ref="Y51" si="34">D51</f>
        <v>-</v>
      </c>
      <c r="Z51" s="977">
        <f t="shared" ref="Z51:Z56" si="35">J51</f>
        <v>0.7</v>
      </c>
      <c r="AA51" s="977">
        <f t="shared" ref="AA51:AA56" si="36">O51</f>
        <v>0.1</v>
      </c>
      <c r="AB51" s="974">
        <v>0.3</v>
      </c>
      <c r="AC51" s="975">
        <f t="shared" ref="AC51:AC56" si="37">P51</f>
        <v>1</v>
      </c>
      <c r="AD51" s="982"/>
      <c r="AE51" s="983"/>
      <c r="AF51" s="984">
        <f>ROWS(AE$11:$AE51)</f>
        <v>41</v>
      </c>
      <c r="AG51" s="984" t="str">
        <f>IF(ID!$A$83=AE51,AF51,"")</f>
        <v/>
      </c>
      <c r="AH51" s="984" t="str">
        <f>IFERROR(SMALL($AG$11:$AG$394,ROWS($AG$11:AG51)),"")</f>
        <v/>
      </c>
      <c r="CN51" s="1008"/>
      <c r="CO51" s="1008"/>
      <c r="CP51" s="1008"/>
      <c r="CQ51" s="1008"/>
    </row>
    <row r="52" spans="2:95" s="980" customFormat="1" x14ac:dyDescent="0.25">
      <c r="B52" s="971">
        <v>100</v>
      </c>
      <c r="C52" s="988" t="s">
        <v>134</v>
      </c>
      <c r="D52" s="988" t="s">
        <v>134</v>
      </c>
      <c r="E52" s="1106"/>
      <c r="F52" s="981"/>
      <c r="H52" s="971">
        <v>100</v>
      </c>
      <c r="I52" s="978">
        <v>1</v>
      </c>
      <c r="J52" s="978">
        <v>1</v>
      </c>
      <c r="K52" s="1106"/>
      <c r="L52" s="981"/>
      <c r="M52" s="971">
        <v>100</v>
      </c>
      <c r="N52" s="978">
        <v>-0.2</v>
      </c>
      <c r="O52" s="978">
        <v>0</v>
      </c>
      <c r="P52" s="978">
        <v>1</v>
      </c>
      <c r="Q52" s="1103"/>
      <c r="R52" s="981"/>
      <c r="S52" s="971">
        <v>100</v>
      </c>
      <c r="T52" s="972" t="str">
        <f t="shared" si="30"/>
        <v>-</v>
      </c>
      <c r="U52" s="973">
        <f t="shared" si="31"/>
        <v>1</v>
      </c>
      <c r="V52" s="973">
        <f t="shared" si="32"/>
        <v>-0.2</v>
      </c>
      <c r="W52" s="974">
        <v>0.55000000000000004</v>
      </c>
      <c r="X52" s="975">
        <f t="shared" si="33"/>
        <v>1</v>
      </c>
      <c r="Y52" s="976" t="str">
        <f>D52</f>
        <v>-</v>
      </c>
      <c r="Z52" s="977">
        <f t="shared" si="35"/>
        <v>1</v>
      </c>
      <c r="AA52" s="977">
        <f t="shared" si="36"/>
        <v>0</v>
      </c>
      <c r="AB52" s="974">
        <v>0.55000000000000004</v>
      </c>
      <c r="AC52" s="975">
        <f t="shared" si="37"/>
        <v>1</v>
      </c>
      <c r="AD52" s="982"/>
      <c r="AE52" s="983"/>
      <c r="AF52" s="984">
        <f>ROWS(AE$11:$AE52)</f>
        <v>42</v>
      </c>
      <c r="AG52" s="984" t="str">
        <f>IF(ID!$A$83=AE52,AF52,"")</f>
        <v/>
      </c>
      <c r="AH52" s="984" t="str">
        <f>IFERROR(SMALL($AG$11:$AG$394,ROWS($AG$11:AG52)),"")</f>
        <v/>
      </c>
      <c r="BN52" s="983"/>
      <c r="CN52" s="1008"/>
      <c r="CO52" s="1008"/>
      <c r="CP52" s="1008"/>
      <c r="CQ52" s="1008"/>
    </row>
    <row r="53" spans="2:95" s="980" customFormat="1" x14ac:dyDescent="0.25">
      <c r="B53" s="971">
        <v>150</v>
      </c>
      <c r="C53" s="988" t="s">
        <v>134</v>
      </c>
      <c r="D53" s="988" t="s">
        <v>134</v>
      </c>
      <c r="E53" s="1106"/>
      <c r="F53" s="981"/>
      <c r="H53" s="971">
        <v>150</v>
      </c>
      <c r="I53" s="978">
        <v>1.2</v>
      </c>
      <c r="J53" s="978">
        <v>1.2</v>
      </c>
      <c r="K53" s="1106"/>
      <c r="L53" s="981"/>
      <c r="M53" s="971">
        <v>150</v>
      </c>
      <c r="N53" s="978">
        <v>-0.3</v>
      </c>
      <c r="O53" s="978">
        <v>-0.1</v>
      </c>
      <c r="P53" s="978">
        <v>1</v>
      </c>
      <c r="Q53" s="1103"/>
      <c r="R53" s="981"/>
      <c r="S53" s="971">
        <v>150</v>
      </c>
      <c r="T53" s="972" t="str">
        <f t="shared" si="30"/>
        <v>-</v>
      </c>
      <c r="U53" s="973">
        <f t="shared" si="31"/>
        <v>1.2</v>
      </c>
      <c r="V53" s="973">
        <f t="shared" si="32"/>
        <v>-0.3</v>
      </c>
      <c r="W53" s="974">
        <v>0.65</v>
      </c>
      <c r="X53" s="975">
        <f t="shared" si="33"/>
        <v>1</v>
      </c>
      <c r="Y53" s="976" t="str">
        <f t="shared" ref="Y53:Y56" si="38">D53</f>
        <v>-</v>
      </c>
      <c r="Z53" s="977">
        <f t="shared" si="35"/>
        <v>1.2</v>
      </c>
      <c r="AA53" s="977">
        <f t="shared" si="36"/>
        <v>-0.1</v>
      </c>
      <c r="AB53" s="974">
        <v>0.65</v>
      </c>
      <c r="AC53" s="975">
        <f t="shared" si="37"/>
        <v>1</v>
      </c>
      <c r="AD53" s="982"/>
      <c r="AE53" s="983"/>
      <c r="AF53" s="984">
        <f>ROWS(AE$11:$AE53)</f>
        <v>43</v>
      </c>
      <c r="AG53" s="984" t="str">
        <f>IF(ID!$A$83=AE53,AF53,"")</f>
        <v/>
      </c>
      <c r="AH53" s="984" t="str">
        <f>IFERROR(SMALL($AG$11:$AG$394,ROWS($AG$11:AG53)),"")</f>
        <v/>
      </c>
      <c r="CN53" s="1008"/>
      <c r="CO53" s="1008"/>
      <c r="CP53" s="1008"/>
      <c r="CQ53" s="1008"/>
    </row>
    <row r="54" spans="2:95" s="980" customFormat="1" x14ac:dyDescent="0.25">
      <c r="B54" s="971">
        <v>200</v>
      </c>
      <c r="C54" s="988" t="s">
        <v>134</v>
      </c>
      <c r="D54" s="988" t="s">
        <v>134</v>
      </c>
      <c r="E54" s="1106"/>
      <c r="F54" s="981"/>
      <c r="H54" s="971">
        <v>200</v>
      </c>
      <c r="I54" s="978">
        <v>1.2</v>
      </c>
      <c r="J54" s="978">
        <v>1.2</v>
      </c>
      <c r="K54" s="1106"/>
      <c r="L54" s="981"/>
      <c r="M54" s="971">
        <v>200</v>
      </c>
      <c r="N54" s="978">
        <v>-0.2</v>
      </c>
      <c r="O54" s="978">
        <v>0</v>
      </c>
      <c r="P54" s="978">
        <v>1</v>
      </c>
      <c r="Q54" s="1103"/>
      <c r="R54" s="981"/>
      <c r="S54" s="971">
        <v>200</v>
      </c>
      <c r="T54" s="972" t="str">
        <f t="shared" si="30"/>
        <v>-</v>
      </c>
      <c r="U54" s="973">
        <f t="shared" si="31"/>
        <v>1.2</v>
      </c>
      <c r="V54" s="973">
        <f t="shared" si="32"/>
        <v>-0.2</v>
      </c>
      <c r="W54" s="974">
        <v>0.65</v>
      </c>
      <c r="X54" s="975">
        <f t="shared" si="33"/>
        <v>1</v>
      </c>
      <c r="Y54" s="976" t="str">
        <f>D54</f>
        <v>-</v>
      </c>
      <c r="Z54" s="977">
        <f t="shared" si="35"/>
        <v>1.2</v>
      </c>
      <c r="AA54" s="977">
        <f t="shared" si="36"/>
        <v>0</v>
      </c>
      <c r="AB54" s="974">
        <v>0.6</v>
      </c>
      <c r="AC54" s="975">
        <f t="shared" si="37"/>
        <v>1</v>
      </c>
      <c r="AD54" s="982"/>
      <c r="AE54" s="983"/>
      <c r="AF54" s="984">
        <f>ROWS(AE$11:$AE54)</f>
        <v>44</v>
      </c>
      <c r="AG54" s="984" t="str">
        <f>IF(ID!$A$83=AE54,AF54,"")</f>
        <v/>
      </c>
      <c r="AH54" s="984" t="str">
        <f>IFERROR(SMALL($AG$11:$AG$394,ROWS($AG$11:AG54)),"")</f>
        <v/>
      </c>
      <c r="CN54" s="1008"/>
      <c r="CO54" s="1008"/>
      <c r="CP54" s="1008"/>
      <c r="CQ54" s="1008"/>
    </row>
    <row r="55" spans="2:95" s="980" customFormat="1" x14ac:dyDescent="0.25">
      <c r="B55" s="971">
        <v>250</v>
      </c>
      <c r="C55" s="988" t="s">
        <v>134</v>
      </c>
      <c r="D55" s="988" t="s">
        <v>134</v>
      </c>
      <c r="E55" s="1106"/>
      <c r="F55" s="981"/>
      <c r="H55" s="971">
        <v>250</v>
      </c>
      <c r="I55" s="978">
        <v>1.1000000000000001</v>
      </c>
      <c r="J55" s="978">
        <v>1.1000000000000001</v>
      </c>
      <c r="K55" s="1106"/>
      <c r="L55" s="981"/>
      <c r="M55" s="971">
        <v>250</v>
      </c>
      <c r="N55" s="978">
        <v>-0.3</v>
      </c>
      <c r="O55" s="978">
        <v>-0.1</v>
      </c>
      <c r="P55" s="978">
        <v>1</v>
      </c>
      <c r="Q55" s="1103"/>
      <c r="R55" s="981"/>
      <c r="S55" s="971">
        <v>250</v>
      </c>
      <c r="T55" s="972" t="str">
        <f t="shared" si="30"/>
        <v>-</v>
      </c>
      <c r="U55" s="973">
        <f t="shared" si="31"/>
        <v>1.1000000000000001</v>
      </c>
      <c r="V55" s="973">
        <f t="shared" si="32"/>
        <v>-0.3</v>
      </c>
      <c r="W55" s="974">
        <v>0.5</v>
      </c>
      <c r="X55" s="975">
        <f t="shared" si="33"/>
        <v>1</v>
      </c>
      <c r="Y55" s="976" t="str">
        <f t="shared" si="38"/>
        <v>-</v>
      </c>
      <c r="Z55" s="977">
        <f t="shared" si="35"/>
        <v>1.1000000000000001</v>
      </c>
      <c r="AA55" s="977">
        <f t="shared" si="36"/>
        <v>-0.1</v>
      </c>
      <c r="AB55" s="974">
        <v>0.5</v>
      </c>
      <c r="AC55" s="975">
        <f t="shared" si="37"/>
        <v>1</v>
      </c>
      <c r="AD55" s="982"/>
      <c r="AE55" s="983"/>
      <c r="AF55" s="984">
        <f>ROWS(AE$11:$AE55)</f>
        <v>45</v>
      </c>
      <c r="AG55" s="984" t="str">
        <f>IF(ID!$A$83=AE55,AF55,"")</f>
        <v/>
      </c>
      <c r="AH55" s="984" t="str">
        <f>IFERROR(SMALL($AG$11:$AG$394,ROWS($AG$11:AG55)),"")</f>
        <v/>
      </c>
      <c r="BN55" s="989"/>
      <c r="CN55" s="1008"/>
      <c r="CO55" s="1008"/>
      <c r="CP55" s="1008"/>
      <c r="CQ55" s="1008"/>
    </row>
    <row r="56" spans="2:95" s="980" customFormat="1" x14ac:dyDescent="0.25">
      <c r="B56" s="971">
        <v>300</v>
      </c>
      <c r="C56" s="988" t="s">
        <v>134</v>
      </c>
      <c r="D56" s="988" t="s">
        <v>134</v>
      </c>
      <c r="E56" s="1107"/>
      <c r="F56" s="981"/>
      <c r="H56" s="971">
        <v>300</v>
      </c>
      <c r="I56" s="978">
        <v>0.8</v>
      </c>
      <c r="J56" s="978">
        <v>0.8</v>
      </c>
      <c r="K56" s="1107"/>
      <c r="L56" s="981"/>
      <c r="M56" s="971">
        <v>300</v>
      </c>
      <c r="N56" s="978">
        <v>-0.1</v>
      </c>
      <c r="O56" s="978">
        <v>0.1</v>
      </c>
      <c r="P56" s="978">
        <v>1</v>
      </c>
      <c r="Q56" s="1104"/>
      <c r="R56" s="981"/>
      <c r="S56" s="971">
        <v>300</v>
      </c>
      <c r="T56" s="972" t="str">
        <f t="shared" si="30"/>
        <v>-</v>
      </c>
      <c r="U56" s="973">
        <f t="shared" si="31"/>
        <v>0.8</v>
      </c>
      <c r="V56" s="973">
        <f t="shared" si="32"/>
        <v>-0.1</v>
      </c>
      <c r="W56" s="974">
        <v>0.35000000000000003</v>
      </c>
      <c r="X56" s="975">
        <f t="shared" si="33"/>
        <v>1</v>
      </c>
      <c r="Y56" s="976" t="str">
        <f t="shared" si="38"/>
        <v>-</v>
      </c>
      <c r="Z56" s="977">
        <f t="shared" si="35"/>
        <v>0.8</v>
      </c>
      <c r="AA56" s="977">
        <f t="shared" si="36"/>
        <v>0.1</v>
      </c>
      <c r="AB56" s="974">
        <v>0.30000000000000004</v>
      </c>
      <c r="AC56" s="975">
        <f t="shared" si="37"/>
        <v>1</v>
      </c>
      <c r="AD56" s="982"/>
      <c r="AE56" s="983"/>
      <c r="AF56" s="984">
        <f>ROWS(AE$11:$AE56)</f>
        <v>46</v>
      </c>
      <c r="AG56" s="984" t="str">
        <f>IF(ID!$A$83=AE56,AF56,"")</f>
        <v/>
      </c>
      <c r="AH56" s="984" t="str">
        <f>IFERROR(SMALL($AG$11:$AG$394,ROWS($AG$11:AG56)),"")</f>
        <v/>
      </c>
      <c r="BN56" s="989"/>
      <c r="CN56" s="1008"/>
      <c r="CO56" s="1008"/>
      <c r="CP56" s="1008"/>
      <c r="CQ56" s="1008"/>
    </row>
    <row r="57" spans="2:95" x14ac:dyDescent="0.25">
      <c r="S57" s="207"/>
      <c r="T57" s="711"/>
      <c r="U57" s="712"/>
      <c r="V57" s="712"/>
      <c r="W57" s="533"/>
      <c r="X57" s="210"/>
      <c r="Y57" s="724"/>
      <c r="Z57" s="723"/>
      <c r="AA57" s="723"/>
      <c r="AB57" s="537"/>
      <c r="AC57" s="161"/>
      <c r="AD57" s="9"/>
      <c r="AE57" s="4"/>
      <c r="AF57" s="157">
        <f>ROWS(AE$11:$AE57)</f>
        <v>47</v>
      </c>
      <c r="AG57" s="157" t="str">
        <f>IF(ID!$A$83=AE57,AF57,"")</f>
        <v/>
      </c>
      <c r="AH57" s="157" t="str">
        <f>IFERROR(SMALL($AG$11:$AG$394,ROWS($AG$11:AG57)),"")</f>
        <v/>
      </c>
      <c r="BN57" s="539"/>
      <c r="CN57" s="1008"/>
      <c r="CO57" s="1008"/>
      <c r="CP57" s="1008"/>
      <c r="CQ57" s="1008"/>
    </row>
    <row r="58" spans="2:95" s="13" customFormat="1" x14ac:dyDescent="0.25">
      <c r="C58" s="516"/>
      <c r="D58" s="522"/>
      <c r="I58" s="516"/>
      <c r="J58" s="522"/>
      <c r="S58" s="230" t="s">
        <v>104</v>
      </c>
      <c r="T58" s="713"/>
      <c r="U58" s="714" t="s">
        <v>104</v>
      </c>
      <c r="V58" s="714"/>
      <c r="W58" s="534"/>
      <c r="X58" s="201" t="s">
        <v>104</v>
      </c>
      <c r="Y58" s="725"/>
      <c r="Z58" s="725"/>
      <c r="AA58" s="725"/>
      <c r="AB58" s="534"/>
      <c r="AC58" s="201"/>
      <c r="AD58" s="9"/>
      <c r="AE58" s="4"/>
      <c r="AF58" s="157">
        <f>ROWS(AE$11:$AE58)</f>
        <v>48</v>
      </c>
      <c r="AG58" s="157" t="str">
        <f>IF(ID!$A$83=AE58,AF58,"")</f>
        <v/>
      </c>
      <c r="AH58" s="157" t="str">
        <f>IFERROR(SMALL($AG$11:$AG$394,ROWS($AG$11:AG58)),"")</f>
        <v/>
      </c>
      <c r="CN58" s="1011"/>
      <c r="CO58" s="1011"/>
      <c r="CP58" s="1011"/>
      <c r="CQ58" s="1011"/>
    </row>
    <row r="59" spans="2:95" x14ac:dyDescent="0.25">
      <c r="S59" s="230" t="s">
        <v>104</v>
      </c>
      <c r="T59" s="713"/>
      <c r="U59" s="714" t="s">
        <v>104</v>
      </c>
      <c r="V59" s="714"/>
      <c r="W59" s="534"/>
      <c r="X59" s="201" t="s">
        <v>104</v>
      </c>
      <c r="Y59" s="725"/>
      <c r="Z59" s="725"/>
      <c r="AA59" s="725"/>
      <c r="AB59" s="534"/>
      <c r="AC59" s="201"/>
      <c r="AD59" s="9"/>
      <c r="AE59" s="4"/>
      <c r="AF59" s="157">
        <f>ROWS(AE$11:$AE59)</f>
        <v>49</v>
      </c>
      <c r="AG59" s="157" t="str">
        <f>IF(ID!$A$83=AE59,AF59,"")</f>
        <v/>
      </c>
      <c r="AH59" s="157" t="str">
        <f>IFERROR(SMALL($AG$11:$AG$394,ROWS($AG$11:AG59)),"")</f>
        <v/>
      </c>
      <c r="CN59" s="1008"/>
      <c r="CO59" s="1008"/>
      <c r="CP59" s="1008"/>
      <c r="CQ59" s="1008"/>
    </row>
    <row r="60" spans="2:95" x14ac:dyDescent="0.25">
      <c r="S60" s="230" t="s">
        <v>104</v>
      </c>
      <c r="T60" s="713"/>
      <c r="U60" s="714" t="s">
        <v>104</v>
      </c>
      <c r="V60" s="714"/>
      <c r="W60" s="534"/>
      <c r="X60" s="201" t="s">
        <v>104</v>
      </c>
      <c r="Y60" s="725"/>
      <c r="Z60" s="725"/>
      <c r="AA60" s="725"/>
      <c r="AB60" s="534"/>
      <c r="AC60" s="201"/>
      <c r="AD60" s="9"/>
      <c r="AE60" s="4"/>
      <c r="AF60" s="157">
        <f>ROWS(AE$11:$AE60)</f>
        <v>50</v>
      </c>
      <c r="AG60" s="157" t="str">
        <f>IF(ID!$A$83=AE60,AF60,"")</f>
        <v/>
      </c>
      <c r="AH60" s="157" t="str">
        <f>IFERROR(SMALL($AG$11:$AG$394,ROWS($AG$11:AG60)),"")</f>
        <v/>
      </c>
      <c r="CN60" s="1008"/>
      <c r="CO60" s="1008"/>
      <c r="CP60" s="1008"/>
      <c r="CQ60" s="1008"/>
    </row>
    <row r="61" spans="2:95" s="13" customFormat="1" x14ac:dyDescent="0.25">
      <c r="C61" s="516"/>
      <c r="D61" s="522"/>
      <c r="I61" s="516"/>
      <c r="J61" s="522"/>
      <c r="S61" s="231"/>
      <c r="T61" s="698"/>
      <c r="U61" s="699"/>
      <c r="V61" s="699"/>
      <c r="W61" s="527"/>
      <c r="X61" s="10"/>
      <c r="Y61" s="717"/>
      <c r="Z61" s="717"/>
      <c r="AA61" s="717"/>
      <c r="AB61" s="527"/>
      <c r="AC61" s="10"/>
      <c r="AF61" s="157">
        <f>ROWS(AE$11:$AE61)</f>
        <v>51</v>
      </c>
      <c r="AG61" s="157" t="str">
        <f>IF(ID!$A$83=AE61,AF61,"")</f>
        <v/>
      </c>
      <c r="AH61" s="157" t="str">
        <f>IFERROR(SMALL($AG$11:$AG$394,ROWS($AG$11:AG61)),"")</f>
        <v/>
      </c>
      <c r="CN61" s="1011"/>
      <c r="CO61" s="1011"/>
      <c r="CP61" s="1011"/>
      <c r="CQ61" s="1011"/>
    </row>
    <row r="62" spans="2:95" s="513" customFormat="1" x14ac:dyDescent="0.25">
      <c r="C62" s="519"/>
      <c r="D62" s="525"/>
      <c r="I62" s="519"/>
      <c r="J62" s="525"/>
      <c r="S62" s="514"/>
      <c r="T62" s="514"/>
      <c r="U62" s="514"/>
      <c r="V62" s="514"/>
      <c r="W62" s="514"/>
      <c r="X62" s="514"/>
      <c r="Y62" s="514"/>
      <c r="Z62" s="514"/>
      <c r="AA62" s="514"/>
      <c r="AB62" s="529"/>
      <c r="AF62" s="157">
        <f>ROWS(AE$11:$AE62)</f>
        <v>52</v>
      </c>
      <c r="AG62" s="157" t="str">
        <f>IF(ID!$A$83=AE62,AF62,"")</f>
        <v/>
      </c>
      <c r="AH62" s="157" t="str">
        <f>IFERROR(SMALL($AG$11:$AG$394,ROWS($AG$11:AG62)),"")</f>
        <v/>
      </c>
      <c r="CN62" s="1009"/>
      <c r="CO62" s="1009"/>
      <c r="CP62" s="1009"/>
      <c r="CQ62" s="1009"/>
    </row>
    <row r="63" spans="2:95" s="513" customFormat="1" x14ac:dyDescent="0.25">
      <c r="C63" s="519"/>
      <c r="D63" s="525"/>
      <c r="I63" s="519"/>
      <c r="J63" s="525"/>
      <c r="S63" s="514"/>
      <c r="T63" s="514"/>
      <c r="U63" s="514"/>
      <c r="V63" s="514"/>
      <c r="W63" s="514"/>
      <c r="X63" s="514"/>
      <c r="Y63" s="514"/>
      <c r="Z63" s="514"/>
      <c r="AA63" s="514"/>
      <c r="AB63" s="529"/>
      <c r="AF63" s="157">
        <f>ROWS(AE$11:$AE63)</f>
        <v>53</v>
      </c>
      <c r="AG63" s="157" t="str">
        <f>IF(ID!$A$83=AE63,AF63,"")</f>
        <v/>
      </c>
      <c r="AH63" s="157" t="str">
        <f>IFERROR(SMALL($AG$11:$AG$394,ROWS($AG$11:AG63)),"")</f>
        <v/>
      </c>
      <c r="CN63" s="1009"/>
      <c r="CO63" s="1009"/>
      <c r="CP63" s="1009"/>
      <c r="CQ63" s="1009"/>
    </row>
    <row r="64" spans="2:95" x14ac:dyDescent="0.25">
      <c r="B64" s="1099" t="s">
        <v>400</v>
      </c>
      <c r="C64" s="1100"/>
      <c r="D64" s="1100"/>
      <c r="E64" s="1101"/>
      <c r="F64" s="233"/>
      <c r="H64" s="1099" t="s">
        <v>401</v>
      </c>
      <c r="I64" s="1100"/>
      <c r="J64" s="1100"/>
      <c r="K64" s="1101"/>
      <c r="L64" s="233"/>
      <c r="M64" s="1099" t="s">
        <v>195</v>
      </c>
      <c r="N64" s="1100"/>
      <c r="O64" s="1100"/>
      <c r="P64" s="1100"/>
      <c r="Q64" s="1101"/>
      <c r="S64" s="224" t="s">
        <v>48</v>
      </c>
      <c r="T64" s="700" t="s">
        <v>403</v>
      </c>
      <c r="U64" s="701" t="s">
        <v>402</v>
      </c>
      <c r="V64" s="701" t="s">
        <v>192</v>
      </c>
      <c r="W64" s="528" t="s">
        <v>172</v>
      </c>
      <c r="X64" s="197" t="s">
        <v>190</v>
      </c>
      <c r="Y64" s="718" t="s">
        <v>404</v>
      </c>
      <c r="Z64" s="719" t="s">
        <v>405</v>
      </c>
      <c r="AA64" s="719" t="s">
        <v>193</v>
      </c>
      <c r="AB64" s="528" t="s">
        <v>152</v>
      </c>
      <c r="AC64" s="197" t="s">
        <v>191</v>
      </c>
      <c r="AF64" s="157">
        <f>ROWS(AE$11:$AE64)</f>
        <v>54</v>
      </c>
      <c r="AG64" s="157" t="str">
        <f>IF(ID!$A$83=AE64,AF64,"")</f>
        <v/>
      </c>
      <c r="AH64" s="157" t="str">
        <f>IFERROR(SMALL($AG$11:$AG$394,ROWS($AG$11:AG64)),"")</f>
        <v/>
      </c>
      <c r="CN64" s="1008"/>
      <c r="CO64" s="1008"/>
      <c r="CP64" s="1008"/>
      <c r="CQ64" s="1008"/>
    </row>
    <row r="65" spans="2:95" s="980" customFormat="1" x14ac:dyDescent="0.25">
      <c r="B65" s="971">
        <v>0</v>
      </c>
      <c r="C65" s="988" t="s">
        <v>134</v>
      </c>
      <c r="D65" s="988" t="s">
        <v>134</v>
      </c>
      <c r="E65" s="1124" t="s">
        <v>134</v>
      </c>
      <c r="F65" s="981"/>
      <c r="H65" s="971">
        <v>0</v>
      </c>
      <c r="I65" s="978">
        <v>0</v>
      </c>
      <c r="J65" s="978">
        <v>0</v>
      </c>
      <c r="K65" s="1114" t="s">
        <v>374</v>
      </c>
      <c r="L65" s="981"/>
      <c r="M65" s="971">
        <v>0</v>
      </c>
      <c r="N65" s="978">
        <v>0</v>
      </c>
      <c r="O65" s="978">
        <v>0</v>
      </c>
      <c r="P65" s="978">
        <v>1</v>
      </c>
      <c r="Q65" s="1102" t="s">
        <v>371</v>
      </c>
      <c r="R65" s="981"/>
      <c r="S65" s="971">
        <v>0</v>
      </c>
      <c r="T65" s="972" t="str">
        <f>C65</f>
        <v>-</v>
      </c>
      <c r="U65" s="973">
        <f>I65</f>
        <v>0</v>
      </c>
      <c r="V65" s="973">
        <f>N65</f>
        <v>0</v>
      </c>
      <c r="W65" s="974">
        <v>0</v>
      </c>
      <c r="X65" s="975">
        <f>P65</f>
        <v>1</v>
      </c>
      <c r="Y65" s="976" t="str">
        <f>D65</f>
        <v>-</v>
      </c>
      <c r="Z65" s="977">
        <f>J65</f>
        <v>0</v>
      </c>
      <c r="AA65" s="977">
        <f>O65</f>
        <v>0</v>
      </c>
      <c r="AB65" s="974">
        <v>0</v>
      </c>
      <c r="AC65" s="975">
        <f>P65</f>
        <v>1</v>
      </c>
      <c r="AD65" s="982"/>
      <c r="AE65" s="983"/>
      <c r="AF65" s="984">
        <f>ROWS(AE$11:$AE65)</f>
        <v>55</v>
      </c>
      <c r="AG65" s="984" t="str">
        <f>IF(ID!$A$83=AE65,AF65,"")</f>
        <v/>
      </c>
      <c r="AH65" s="984" t="str">
        <f>IFERROR(SMALL($AG$11:$AG$394,ROWS($AG$11:AG65)),"")</f>
        <v/>
      </c>
      <c r="CN65" s="1008"/>
      <c r="CO65" s="1008"/>
      <c r="CP65" s="1008"/>
      <c r="CQ65" s="1008"/>
    </row>
    <row r="66" spans="2:95" s="980" customFormat="1" x14ac:dyDescent="0.25">
      <c r="B66" s="971">
        <v>50</v>
      </c>
      <c r="C66" s="988" t="s">
        <v>134</v>
      </c>
      <c r="D66" s="988" t="s">
        <v>134</v>
      </c>
      <c r="E66" s="1115"/>
      <c r="F66" s="981"/>
      <c r="H66" s="971">
        <v>50</v>
      </c>
      <c r="I66" s="978">
        <v>-0.2</v>
      </c>
      <c r="J66" s="978">
        <v>-0.2</v>
      </c>
      <c r="K66" s="1115"/>
      <c r="L66" s="981"/>
      <c r="M66" s="971">
        <v>50</v>
      </c>
      <c r="N66" s="978">
        <v>0.7</v>
      </c>
      <c r="O66" s="978">
        <v>1</v>
      </c>
      <c r="P66" s="978">
        <v>1</v>
      </c>
      <c r="Q66" s="1103"/>
      <c r="R66" s="981"/>
      <c r="S66" s="971">
        <v>50</v>
      </c>
      <c r="T66" s="972" t="str">
        <f t="shared" ref="T66:T71" si="39">C66</f>
        <v>-</v>
      </c>
      <c r="U66" s="973">
        <f t="shared" ref="U66:U71" si="40">I66</f>
        <v>-0.2</v>
      </c>
      <c r="V66" s="973">
        <f t="shared" ref="V66:V71" si="41">N66</f>
        <v>0.7</v>
      </c>
      <c r="W66" s="974">
        <v>0.44999999999999996</v>
      </c>
      <c r="X66" s="975">
        <f t="shared" ref="X66:X71" si="42">P66</f>
        <v>1</v>
      </c>
      <c r="Y66" s="976" t="str">
        <f t="shared" ref="Y66" si="43">D66</f>
        <v>-</v>
      </c>
      <c r="Z66" s="977">
        <f t="shared" ref="Z66:Z71" si="44">J66</f>
        <v>-0.2</v>
      </c>
      <c r="AA66" s="977">
        <f t="shared" ref="AA66:AA71" si="45">O66</f>
        <v>1</v>
      </c>
      <c r="AB66" s="974">
        <v>0.6</v>
      </c>
      <c r="AC66" s="975">
        <f t="shared" ref="AC66:AC71" si="46">P66</f>
        <v>1</v>
      </c>
      <c r="AD66" s="982"/>
      <c r="AE66" s="983"/>
      <c r="AF66" s="984">
        <f>ROWS(AE$11:$AE66)</f>
        <v>56</v>
      </c>
      <c r="AG66" s="984" t="str">
        <f>IF(ID!$A$83=AE66,AF66,"")</f>
        <v/>
      </c>
      <c r="AH66" s="984" t="str">
        <f>IFERROR(SMALL($AG$11:$AG$394,ROWS($AG$11:AG66)),"")</f>
        <v/>
      </c>
      <c r="CN66" s="1008"/>
      <c r="CO66" s="1008"/>
      <c r="CP66" s="1008"/>
      <c r="CQ66" s="1008"/>
    </row>
    <row r="67" spans="2:95" s="980" customFormat="1" x14ac:dyDescent="0.25">
      <c r="B67" s="971">
        <v>100</v>
      </c>
      <c r="C67" s="988" t="s">
        <v>134</v>
      </c>
      <c r="D67" s="988" t="s">
        <v>134</v>
      </c>
      <c r="E67" s="1115"/>
      <c r="F67" s="981"/>
      <c r="H67" s="971">
        <v>100</v>
      </c>
      <c r="I67" s="978">
        <v>-0.3</v>
      </c>
      <c r="J67" s="978">
        <v>-0.3</v>
      </c>
      <c r="K67" s="1115"/>
      <c r="L67" s="981"/>
      <c r="M67" s="971">
        <v>100</v>
      </c>
      <c r="N67" s="978">
        <v>1.2</v>
      </c>
      <c r="O67" s="978">
        <v>1.6</v>
      </c>
      <c r="P67" s="978">
        <v>1</v>
      </c>
      <c r="Q67" s="1103"/>
      <c r="R67" s="981"/>
      <c r="S67" s="971">
        <v>100</v>
      </c>
      <c r="T67" s="972" t="str">
        <f t="shared" si="39"/>
        <v>-</v>
      </c>
      <c r="U67" s="973">
        <f t="shared" si="40"/>
        <v>-0.3</v>
      </c>
      <c r="V67" s="973">
        <f t="shared" si="41"/>
        <v>1.2</v>
      </c>
      <c r="W67" s="974">
        <v>0.75</v>
      </c>
      <c r="X67" s="975">
        <f t="shared" si="42"/>
        <v>1</v>
      </c>
      <c r="Y67" s="976" t="str">
        <f>D67</f>
        <v>-</v>
      </c>
      <c r="Z67" s="977">
        <f t="shared" si="44"/>
        <v>-0.3</v>
      </c>
      <c r="AA67" s="977">
        <f t="shared" si="45"/>
        <v>1.6</v>
      </c>
      <c r="AB67" s="974">
        <v>0.95000000000000007</v>
      </c>
      <c r="AC67" s="975">
        <f t="shared" si="46"/>
        <v>1</v>
      </c>
      <c r="AD67" s="982"/>
      <c r="AE67" s="983"/>
      <c r="AF67" s="984">
        <f>ROWS(AE$11:$AE67)</f>
        <v>57</v>
      </c>
      <c r="AG67" s="984" t="str">
        <f>IF(ID!$A$83=AE67,AF67,"")</f>
        <v/>
      </c>
      <c r="AH67" s="984" t="str">
        <f>IFERROR(SMALL($AG$11:$AG$394,ROWS($AG$11:AG67)),"")</f>
        <v/>
      </c>
      <c r="CN67" s="1008"/>
      <c r="CO67" s="1008"/>
      <c r="CP67" s="1008"/>
      <c r="CQ67" s="1008"/>
    </row>
    <row r="68" spans="2:95" s="980" customFormat="1" x14ac:dyDescent="0.25">
      <c r="B68" s="971">
        <v>150</v>
      </c>
      <c r="C68" s="988" t="s">
        <v>134</v>
      </c>
      <c r="D68" s="988" t="s">
        <v>134</v>
      </c>
      <c r="E68" s="1115"/>
      <c r="F68" s="981"/>
      <c r="H68" s="971">
        <v>150</v>
      </c>
      <c r="I68" s="978">
        <v>-0.3</v>
      </c>
      <c r="J68" s="978">
        <v>-0.3</v>
      </c>
      <c r="K68" s="1115"/>
      <c r="L68" s="981"/>
      <c r="M68" s="971">
        <v>150</v>
      </c>
      <c r="N68" s="978">
        <v>1.2</v>
      </c>
      <c r="O68" s="978">
        <v>1.6</v>
      </c>
      <c r="P68" s="978">
        <v>1</v>
      </c>
      <c r="Q68" s="1103"/>
      <c r="R68" s="981"/>
      <c r="S68" s="971">
        <v>150</v>
      </c>
      <c r="T68" s="972" t="str">
        <f t="shared" si="39"/>
        <v>-</v>
      </c>
      <c r="U68" s="973">
        <f t="shared" si="40"/>
        <v>-0.3</v>
      </c>
      <c r="V68" s="973">
        <f t="shared" si="41"/>
        <v>1.2</v>
      </c>
      <c r="W68" s="974">
        <v>0.75</v>
      </c>
      <c r="X68" s="975">
        <f t="shared" si="42"/>
        <v>1</v>
      </c>
      <c r="Y68" s="976" t="str">
        <f t="shared" ref="Y68" si="47">D68</f>
        <v>-</v>
      </c>
      <c r="Z68" s="977">
        <f t="shared" si="44"/>
        <v>-0.3</v>
      </c>
      <c r="AA68" s="977">
        <f t="shared" si="45"/>
        <v>1.6</v>
      </c>
      <c r="AB68" s="974">
        <v>0.95000000000000007</v>
      </c>
      <c r="AC68" s="975">
        <f t="shared" si="46"/>
        <v>1</v>
      </c>
      <c r="AD68" s="982"/>
      <c r="AE68" s="983"/>
      <c r="AF68" s="984">
        <f>ROWS(AE$11:$AE68)</f>
        <v>58</v>
      </c>
      <c r="AG68" s="984" t="str">
        <f>IF(ID!$A$83=AE68,AF68,"")</f>
        <v/>
      </c>
      <c r="AH68" s="984" t="str">
        <f>IFERROR(SMALL($AG$11:$AG$394,ROWS($AG$11:AG68)),"")</f>
        <v/>
      </c>
      <c r="CN68" s="1008"/>
      <c r="CO68" s="1008"/>
      <c r="CP68" s="1008"/>
      <c r="CQ68" s="1008"/>
    </row>
    <row r="69" spans="2:95" s="980" customFormat="1" x14ac:dyDescent="0.25">
      <c r="B69" s="971">
        <v>200</v>
      </c>
      <c r="C69" s="988" t="s">
        <v>134</v>
      </c>
      <c r="D69" s="988" t="s">
        <v>134</v>
      </c>
      <c r="E69" s="1115"/>
      <c r="F69" s="981"/>
      <c r="H69" s="971">
        <v>200</v>
      </c>
      <c r="I69" s="978">
        <v>-0.3</v>
      </c>
      <c r="J69" s="978">
        <v>-0.3</v>
      </c>
      <c r="K69" s="1115"/>
      <c r="L69" s="981"/>
      <c r="M69" s="971">
        <v>200</v>
      </c>
      <c r="N69" s="978">
        <v>1</v>
      </c>
      <c r="O69" s="978">
        <v>1.3</v>
      </c>
      <c r="P69" s="978">
        <v>1</v>
      </c>
      <c r="Q69" s="1103"/>
      <c r="R69" s="981"/>
      <c r="S69" s="971">
        <v>200</v>
      </c>
      <c r="T69" s="972" t="str">
        <f t="shared" si="39"/>
        <v>-</v>
      </c>
      <c r="U69" s="973">
        <f t="shared" si="40"/>
        <v>-0.3</v>
      </c>
      <c r="V69" s="973">
        <f t="shared" si="41"/>
        <v>1</v>
      </c>
      <c r="W69" s="974">
        <v>0.65</v>
      </c>
      <c r="X69" s="975">
        <f t="shared" si="42"/>
        <v>1</v>
      </c>
      <c r="Y69" s="976" t="str">
        <f>D69</f>
        <v>-</v>
      </c>
      <c r="Z69" s="977">
        <f t="shared" si="44"/>
        <v>-0.3</v>
      </c>
      <c r="AA69" s="977">
        <f t="shared" si="45"/>
        <v>1.3</v>
      </c>
      <c r="AB69" s="974">
        <v>0.8</v>
      </c>
      <c r="AC69" s="975">
        <f t="shared" si="46"/>
        <v>1</v>
      </c>
      <c r="AD69" s="982"/>
      <c r="AE69" s="983"/>
      <c r="AF69" s="984">
        <f>ROWS(AE$11:$AE69)</f>
        <v>59</v>
      </c>
      <c r="AG69" s="984" t="str">
        <f>IF(ID!$A$83=AE69,AF69,"")</f>
        <v/>
      </c>
      <c r="AH69" s="984" t="str">
        <f>IFERROR(SMALL($AG$11:$AG$394,ROWS($AG$11:AG69)),"")</f>
        <v/>
      </c>
      <c r="CN69" s="1008"/>
      <c r="CO69" s="1008"/>
      <c r="CP69" s="1008"/>
      <c r="CQ69" s="1008"/>
    </row>
    <row r="70" spans="2:95" s="980" customFormat="1" x14ac:dyDescent="0.25">
      <c r="B70" s="971">
        <v>250</v>
      </c>
      <c r="C70" s="988" t="s">
        <v>134</v>
      </c>
      <c r="D70" s="988" t="s">
        <v>134</v>
      </c>
      <c r="E70" s="1115"/>
      <c r="F70" s="981"/>
      <c r="H70" s="971">
        <v>250</v>
      </c>
      <c r="I70" s="978">
        <v>-0.3</v>
      </c>
      <c r="J70" s="978">
        <v>-0.3</v>
      </c>
      <c r="K70" s="1115"/>
      <c r="L70" s="981"/>
      <c r="M70" s="971">
        <v>250</v>
      </c>
      <c r="N70" s="978">
        <v>1.4</v>
      </c>
      <c r="O70" s="978">
        <v>1.8</v>
      </c>
      <c r="P70" s="978">
        <v>1</v>
      </c>
      <c r="Q70" s="1103"/>
      <c r="R70" s="981"/>
      <c r="S70" s="971">
        <v>250</v>
      </c>
      <c r="T70" s="972" t="str">
        <f t="shared" si="39"/>
        <v>-</v>
      </c>
      <c r="U70" s="973">
        <f t="shared" si="40"/>
        <v>-0.3</v>
      </c>
      <c r="V70" s="973">
        <f t="shared" si="41"/>
        <v>1.4</v>
      </c>
      <c r="W70" s="974">
        <v>0.85</v>
      </c>
      <c r="X70" s="975">
        <f t="shared" si="42"/>
        <v>1</v>
      </c>
      <c r="Y70" s="976" t="str">
        <f t="shared" ref="Y70:Y71" si="48">D70</f>
        <v>-</v>
      </c>
      <c r="Z70" s="977">
        <f t="shared" si="44"/>
        <v>-0.3</v>
      </c>
      <c r="AA70" s="977">
        <f t="shared" si="45"/>
        <v>1.8</v>
      </c>
      <c r="AB70" s="974">
        <v>1.05</v>
      </c>
      <c r="AC70" s="975">
        <f t="shared" si="46"/>
        <v>1</v>
      </c>
      <c r="AD70" s="982"/>
      <c r="AE70" s="983"/>
      <c r="AF70" s="984">
        <f>ROWS(AE$11:$AE70)</f>
        <v>60</v>
      </c>
      <c r="AG70" s="984" t="str">
        <f>IF(ID!$A$83=AE70,AF70,"")</f>
        <v/>
      </c>
      <c r="AH70" s="984" t="str">
        <f>IFERROR(SMALL($AG$11:$AG$394,ROWS($AG$11:AG70)),"")</f>
        <v/>
      </c>
      <c r="CN70" s="1008"/>
      <c r="CO70" s="1008"/>
      <c r="CP70" s="1008"/>
      <c r="CQ70" s="1008"/>
    </row>
    <row r="71" spans="2:95" s="980" customFormat="1" x14ac:dyDescent="0.25">
      <c r="B71" s="971">
        <v>300</v>
      </c>
      <c r="C71" s="988" t="s">
        <v>134</v>
      </c>
      <c r="D71" s="988" t="s">
        <v>134</v>
      </c>
      <c r="E71" s="1116"/>
      <c r="F71" s="981"/>
      <c r="H71" s="971">
        <v>300</v>
      </c>
      <c r="I71" s="978">
        <v>-0.1</v>
      </c>
      <c r="J71" s="978">
        <v>-0.1</v>
      </c>
      <c r="K71" s="1116"/>
      <c r="L71" s="981"/>
      <c r="M71" s="971">
        <v>300</v>
      </c>
      <c r="N71" s="978">
        <v>1</v>
      </c>
      <c r="O71" s="978">
        <v>1.3</v>
      </c>
      <c r="P71" s="978">
        <v>1</v>
      </c>
      <c r="Q71" s="1104"/>
      <c r="R71" s="981"/>
      <c r="S71" s="971">
        <v>300</v>
      </c>
      <c r="T71" s="972" t="str">
        <f t="shared" si="39"/>
        <v>-</v>
      </c>
      <c r="U71" s="973">
        <f t="shared" si="40"/>
        <v>-0.1</v>
      </c>
      <c r="V71" s="973">
        <f t="shared" si="41"/>
        <v>1</v>
      </c>
      <c r="W71" s="974">
        <v>0.55000000000000004</v>
      </c>
      <c r="X71" s="975">
        <f t="shared" si="42"/>
        <v>1</v>
      </c>
      <c r="Y71" s="976" t="str">
        <f t="shared" si="48"/>
        <v>-</v>
      </c>
      <c r="Z71" s="977">
        <f t="shared" si="44"/>
        <v>-0.1</v>
      </c>
      <c r="AA71" s="977">
        <f t="shared" si="45"/>
        <v>1.3</v>
      </c>
      <c r="AB71" s="974">
        <v>0.70000000000000007</v>
      </c>
      <c r="AC71" s="975">
        <f t="shared" si="46"/>
        <v>1</v>
      </c>
      <c r="AD71" s="982"/>
      <c r="AE71" s="983"/>
      <c r="AF71" s="984">
        <f>ROWS(AE$11:$AE71)</f>
        <v>61</v>
      </c>
      <c r="AG71" s="984" t="str">
        <f>IF(ID!$A$83=AE71,AF71,"")</f>
        <v/>
      </c>
      <c r="AH71" s="984" t="str">
        <f>IFERROR(SMALL($AG$11:$AG$394,ROWS($AG$11:AG71)),"")</f>
        <v/>
      </c>
      <c r="CN71" s="1008"/>
      <c r="CO71" s="1008"/>
      <c r="CP71" s="1008"/>
      <c r="CQ71" s="1008"/>
    </row>
    <row r="72" spans="2:95" x14ac:dyDescent="0.25">
      <c r="S72" s="207"/>
      <c r="T72" s="711"/>
      <c r="U72" s="712"/>
      <c r="V72" s="712"/>
      <c r="W72" s="533"/>
      <c r="X72" s="97"/>
      <c r="Y72" s="723"/>
      <c r="Z72" s="723"/>
      <c r="AA72" s="723"/>
      <c r="AB72" s="537"/>
      <c r="AC72" s="161"/>
      <c r="AD72" s="9"/>
      <c r="AE72" s="4"/>
      <c r="AF72" s="157">
        <f>ROWS(AE$11:$AE72)</f>
        <v>62</v>
      </c>
      <c r="AG72" s="157" t="str">
        <f>IF(ID!$A$83=AE72,AF72,"")</f>
        <v/>
      </c>
      <c r="AH72" s="157" t="str">
        <f>IFERROR(SMALL($AG$11:$AG$394,ROWS($AG$11:AG72)),"")</f>
        <v/>
      </c>
      <c r="CN72" s="1008"/>
      <c r="CO72" s="1008"/>
      <c r="CP72" s="1008"/>
      <c r="CQ72" s="1008"/>
    </row>
    <row r="73" spans="2:95" s="13" customFormat="1" x14ac:dyDescent="0.25">
      <c r="C73" s="516"/>
      <c r="D73" s="522"/>
      <c r="I73" s="516"/>
      <c r="J73" s="522"/>
      <c r="S73" s="207"/>
      <c r="T73" s="711"/>
      <c r="U73" s="712"/>
      <c r="V73" s="712"/>
      <c r="W73" s="533"/>
      <c r="X73" s="97"/>
      <c r="Y73" s="723"/>
      <c r="Z73" s="723"/>
      <c r="AA73" s="723"/>
      <c r="AB73" s="537"/>
      <c r="AC73" s="161"/>
      <c r="AD73" s="9"/>
      <c r="AE73" s="4"/>
      <c r="AF73" s="157">
        <f>ROWS(AE$11:$AE73)</f>
        <v>63</v>
      </c>
      <c r="AG73" s="157" t="str">
        <f>IF(ID!$A$83=AE73,AF73,"")</f>
        <v/>
      </c>
      <c r="AH73" s="157" t="str">
        <f>IFERROR(SMALL($AG$11:$AG$394,ROWS($AG$11:AG73)),"")</f>
        <v/>
      </c>
      <c r="CN73" s="1011"/>
      <c r="CO73" s="1011"/>
      <c r="CP73" s="1011"/>
      <c r="CQ73" s="1011"/>
    </row>
    <row r="74" spans="2:95" x14ac:dyDescent="0.25">
      <c r="S74" s="207"/>
      <c r="T74" s="711"/>
      <c r="U74" s="712"/>
      <c r="V74" s="712"/>
      <c r="W74" s="533"/>
      <c r="X74" s="97"/>
      <c r="Y74" s="723"/>
      <c r="Z74" s="723"/>
      <c r="AA74" s="723"/>
      <c r="AB74" s="537"/>
      <c r="AC74" s="161"/>
      <c r="AD74" s="9"/>
      <c r="AE74" s="4"/>
      <c r="AF74" s="157">
        <f>ROWS(AE$11:$AE74)</f>
        <v>64</v>
      </c>
      <c r="AG74" s="157" t="str">
        <f>IF(ID!$A$83=AE74,AF74,"")</f>
        <v/>
      </c>
      <c r="AH74" s="157" t="str">
        <f>IFERROR(SMALL($AG$11:$AG$394,ROWS($AG$11:AG74)),"")</f>
        <v/>
      </c>
      <c r="CN74" s="1008"/>
      <c r="CO74" s="1008"/>
      <c r="CP74" s="1008"/>
      <c r="CQ74" s="1008"/>
    </row>
    <row r="75" spans="2:95" x14ac:dyDescent="0.25">
      <c r="S75" s="207"/>
      <c r="T75" s="711"/>
      <c r="U75" s="712"/>
      <c r="V75" s="712"/>
      <c r="W75" s="533"/>
      <c r="X75" s="97"/>
      <c r="Y75" s="723"/>
      <c r="Z75" s="723"/>
      <c r="AA75" s="723"/>
      <c r="AB75" s="537"/>
      <c r="AC75" s="161"/>
      <c r="AD75" s="9"/>
      <c r="AE75" s="4"/>
      <c r="AF75" s="157">
        <f>ROWS(AE$11:$AE75)</f>
        <v>65</v>
      </c>
      <c r="AG75" s="157" t="str">
        <f>IF(ID!$A$83=AE75,AF75,"")</f>
        <v/>
      </c>
      <c r="AH75" s="157" t="str">
        <f>IFERROR(SMALL($AG$11:$AG$394,ROWS($AG$11:AG75)),"")</f>
        <v/>
      </c>
      <c r="CN75" s="1008"/>
      <c r="CO75" s="1008"/>
      <c r="CP75" s="1008"/>
      <c r="CQ75" s="1008"/>
    </row>
    <row r="76" spans="2:95" s="13" customFormat="1" x14ac:dyDescent="0.25">
      <c r="C76" s="516"/>
      <c r="D76" s="522"/>
      <c r="I76" s="516"/>
      <c r="J76" s="522"/>
      <c r="S76" s="231"/>
      <c r="T76" s="698"/>
      <c r="U76" s="699"/>
      <c r="V76" s="699"/>
      <c r="W76" s="527"/>
      <c r="X76" s="10"/>
      <c r="Y76" s="717"/>
      <c r="Z76" s="717"/>
      <c r="AA76" s="717"/>
      <c r="AB76" s="527"/>
      <c r="AC76" s="10"/>
      <c r="AF76" s="157">
        <f>ROWS(AE$11:$AE76)</f>
        <v>66</v>
      </c>
      <c r="AG76" s="157" t="str">
        <f>IF(ID!$A$83=AE76,AF76,"")</f>
        <v/>
      </c>
      <c r="AH76" s="157" t="str">
        <f>IFERROR(SMALL($AG$11:$AG$394,ROWS($AG$11:AG76)),"")</f>
        <v/>
      </c>
      <c r="CN76" s="1011"/>
      <c r="CO76" s="1011"/>
      <c r="CP76" s="1011"/>
      <c r="CQ76" s="1011"/>
    </row>
    <row r="77" spans="2:95" s="513" customFormat="1" x14ac:dyDescent="0.25">
      <c r="C77" s="519"/>
      <c r="D77" s="525"/>
      <c r="I77" s="519"/>
      <c r="J77" s="525"/>
      <c r="S77" s="514"/>
      <c r="T77" s="514"/>
      <c r="U77" s="514"/>
      <c r="V77" s="514"/>
      <c r="W77" s="514"/>
      <c r="X77" s="514"/>
      <c r="Y77" s="514"/>
      <c r="Z77" s="514"/>
      <c r="AA77" s="514"/>
      <c r="AB77" s="529"/>
      <c r="AF77" s="157">
        <f>ROWS(AE$11:$AE77)</f>
        <v>67</v>
      </c>
      <c r="AG77" s="157" t="str">
        <f>IF(ID!$A$83=AE77,AF77,"")</f>
        <v/>
      </c>
      <c r="AH77" s="157" t="str">
        <f>IFERROR(SMALL($AG$11:$AG$394,ROWS($AG$11:AG77)),"")</f>
        <v/>
      </c>
      <c r="CN77" s="1009"/>
      <c r="CO77" s="1009"/>
      <c r="CP77" s="1009"/>
      <c r="CQ77" s="1009"/>
    </row>
    <row r="78" spans="2:95" s="513" customFormat="1" x14ac:dyDescent="0.25">
      <c r="C78" s="519"/>
      <c r="D78" s="525"/>
      <c r="I78" s="519"/>
      <c r="J78" s="525"/>
      <c r="S78" s="514"/>
      <c r="T78" s="514"/>
      <c r="U78" s="514"/>
      <c r="V78" s="514"/>
      <c r="W78" s="959" t="s">
        <v>545</v>
      </c>
      <c r="X78" s="10"/>
      <c r="Y78" s="717"/>
      <c r="Z78" s="717"/>
      <c r="AA78" s="717"/>
      <c r="AB78" s="959" t="s">
        <v>545</v>
      </c>
      <c r="AF78" s="157">
        <f>ROWS(AE$11:$AE78)</f>
        <v>68</v>
      </c>
      <c r="AG78" s="157" t="str">
        <f>IF(ID!$A$83=AE78,AF78,"")</f>
        <v/>
      </c>
      <c r="AH78" s="157" t="str">
        <f>IFERROR(SMALL($AG$11:$AG$394,ROWS($AG$11:AG78)),"")</f>
        <v/>
      </c>
      <c r="CN78" s="1009"/>
      <c r="CO78" s="1009"/>
      <c r="CP78" s="1009"/>
      <c r="CQ78" s="1009"/>
    </row>
    <row r="79" spans="2:95" x14ac:dyDescent="0.25">
      <c r="B79" s="1099" t="s">
        <v>400</v>
      </c>
      <c r="C79" s="1100"/>
      <c r="D79" s="1100"/>
      <c r="E79" s="1101"/>
      <c r="F79" s="233"/>
      <c r="H79" s="1099" t="s">
        <v>401</v>
      </c>
      <c r="I79" s="1100"/>
      <c r="J79" s="1100"/>
      <c r="K79" s="1101"/>
      <c r="L79" s="233"/>
      <c r="M79" s="1099" t="s">
        <v>195</v>
      </c>
      <c r="N79" s="1100"/>
      <c r="O79" s="1100"/>
      <c r="P79" s="1100"/>
      <c r="Q79" s="1101"/>
      <c r="S79" s="224" t="s">
        <v>48</v>
      </c>
      <c r="T79" s="700" t="s">
        <v>403</v>
      </c>
      <c r="U79" s="701" t="s">
        <v>402</v>
      </c>
      <c r="V79" s="701" t="s">
        <v>192</v>
      </c>
      <c r="W79" s="528" t="s">
        <v>172</v>
      </c>
      <c r="X79" s="197" t="s">
        <v>190</v>
      </c>
      <c r="Y79" s="718" t="s">
        <v>404</v>
      </c>
      <c r="Z79" s="719" t="s">
        <v>405</v>
      </c>
      <c r="AA79" s="719" t="s">
        <v>193</v>
      </c>
      <c r="AB79" s="528" t="s">
        <v>152</v>
      </c>
      <c r="AC79" s="197" t="s">
        <v>191</v>
      </c>
      <c r="AF79" s="157">
        <f>ROWS(AE$11:$AE79)</f>
        <v>69</v>
      </c>
      <c r="AG79" s="157" t="str">
        <f>IF(ID!$A$83=AE79,AF79,"")</f>
        <v/>
      </c>
      <c r="AH79" s="157" t="str">
        <f>IFERROR(SMALL($AG$11:$AG$394,ROWS($AG$11:AG79)),"")</f>
        <v/>
      </c>
      <c r="CN79" s="1008"/>
      <c r="CO79" s="1008"/>
      <c r="CP79" s="1008"/>
      <c r="CQ79" s="1008"/>
    </row>
    <row r="80" spans="2:95" x14ac:dyDescent="0.25">
      <c r="B80" s="207">
        <v>0</v>
      </c>
      <c r="C80" s="193">
        <v>0</v>
      </c>
      <c r="D80" s="948">
        <v>0</v>
      </c>
      <c r="E80" s="1108" t="s">
        <v>409</v>
      </c>
      <c r="F80" s="237"/>
      <c r="H80" s="207">
        <v>0</v>
      </c>
      <c r="I80" s="193">
        <v>0</v>
      </c>
      <c r="J80" s="512">
        <v>0</v>
      </c>
      <c r="K80" s="1108" t="s">
        <v>171</v>
      </c>
      <c r="L80" s="237"/>
      <c r="M80" s="207">
        <v>0</v>
      </c>
      <c r="N80" s="196">
        <v>0</v>
      </c>
      <c r="O80" s="526">
        <v>0</v>
      </c>
      <c r="P80" s="199">
        <v>0.1</v>
      </c>
      <c r="Q80" s="1111" t="s">
        <v>259</v>
      </c>
      <c r="R80" s="238"/>
      <c r="S80" s="971">
        <v>0</v>
      </c>
      <c r="T80" s="972">
        <f>C80</f>
        <v>0</v>
      </c>
      <c r="U80" s="973">
        <f>I80</f>
        <v>0</v>
      </c>
      <c r="V80" s="973">
        <f>N80</f>
        <v>0</v>
      </c>
      <c r="W80" s="974">
        <f>0.5*(MAX(T80:V80)-MIN(T80:V80))</f>
        <v>0</v>
      </c>
      <c r="X80" s="975">
        <f>P80</f>
        <v>0.1</v>
      </c>
      <c r="Y80" s="976">
        <f>D80</f>
        <v>0</v>
      </c>
      <c r="Z80" s="977">
        <f>J80</f>
        <v>0</v>
      </c>
      <c r="AA80" s="977">
        <f>O80</f>
        <v>0</v>
      </c>
      <c r="AB80" s="974">
        <f>0.5*(MAX(Y80:AA80)-MIN(Y80:AA80))</f>
        <v>0</v>
      </c>
      <c r="AC80" s="975">
        <f>P80</f>
        <v>0.1</v>
      </c>
      <c r="AD80" s="982"/>
      <c r="AE80" s="4"/>
      <c r="AF80" s="157">
        <f>ROWS(AE$11:$AE80)</f>
        <v>70</v>
      </c>
      <c r="AG80" s="157" t="str">
        <f>IF(ID!$A$83=AE80,AF80,"")</f>
        <v/>
      </c>
      <c r="AH80" s="157" t="str">
        <f>IFERROR(SMALL($AG$11:$AG$394,ROWS($AG$11:AG80)),"")</f>
        <v/>
      </c>
      <c r="CN80" s="1008"/>
      <c r="CO80" s="1008"/>
      <c r="CP80" s="1008"/>
      <c r="CQ80" s="1008"/>
    </row>
    <row r="81" spans="2:95" x14ac:dyDescent="0.25">
      <c r="B81" s="207">
        <v>50</v>
      </c>
      <c r="C81" s="193">
        <v>0.1</v>
      </c>
      <c r="D81" s="948">
        <v>0.1</v>
      </c>
      <c r="E81" s="1109"/>
      <c r="F81" s="237"/>
      <c r="H81" s="207">
        <v>50</v>
      </c>
      <c r="I81" s="193">
        <v>0.1</v>
      </c>
      <c r="J81" s="512">
        <v>0.1</v>
      </c>
      <c r="K81" s="1109"/>
      <c r="L81" s="237"/>
      <c r="M81" s="207">
        <v>50</v>
      </c>
      <c r="N81" s="196">
        <v>0.10000000000000142</v>
      </c>
      <c r="O81" s="526">
        <v>0</v>
      </c>
      <c r="P81" s="199">
        <v>0.1</v>
      </c>
      <c r="Q81" s="1112"/>
      <c r="R81" s="238"/>
      <c r="S81" s="971">
        <v>50</v>
      </c>
      <c r="T81" s="972">
        <f t="shared" ref="T81:T86" si="49">C81</f>
        <v>0.1</v>
      </c>
      <c r="U81" s="973">
        <f t="shared" ref="U81:U86" si="50">I81</f>
        <v>0.1</v>
      </c>
      <c r="V81" s="973">
        <f t="shared" ref="V81:V86" si="51">N81</f>
        <v>0.10000000000000142</v>
      </c>
      <c r="W81" s="974">
        <f t="shared" ref="W81:W86" si="52">0.5*(MAX(T81:V81)-MIN(T81:V81))</f>
        <v>7.0776717819853729E-16</v>
      </c>
      <c r="X81" s="975">
        <f t="shared" ref="X81:X86" si="53">P81</f>
        <v>0.1</v>
      </c>
      <c r="Y81" s="976">
        <f t="shared" ref="Y81:Y86" si="54">D81</f>
        <v>0.1</v>
      </c>
      <c r="Z81" s="977">
        <f t="shared" ref="Z81:Z86" si="55">J81</f>
        <v>0.1</v>
      </c>
      <c r="AA81" s="977">
        <f t="shared" ref="AA81:AA86" si="56">O81</f>
        <v>0</v>
      </c>
      <c r="AB81" s="974">
        <f t="shared" ref="AB81:AB86" si="57">0.5*(MAX(Y81:AA81)-MIN(Y81:AA81))</f>
        <v>0.05</v>
      </c>
      <c r="AC81" s="975">
        <f t="shared" ref="AC81:AC86" si="58">P81</f>
        <v>0.1</v>
      </c>
      <c r="AD81" s="982"/>
      <c r="AE81" s="4"/>
      <c r="AF81" s="157">
        <f>ROWS(AE$11:$AE81)</f>
        <v>71</v>
      </c>
      <c r="AG81" s="157" t="str">
        <f>IF(ID!$A$83=AE81,AF81,"")</f>
        <v/>
      </c>
      <c r="AH81" s="157" t="str">
        <f>IFERROR(SMALL($AG$11:$AG$394,ROWS($AG$11:AG81)),"")</f>
        <v/>
      </c>
      <c r="CN81" s="1008"/>
      <c r="CO81" s="1008"/>
      <c r="CP81" s="1008"/>
      <c r="CQ81" s="1008"/>
    </row>
    <row r="82" spans="2:95" x14ac:dyDescent="0.25">
      <c r="B82" s="207">
        <v>100</v>
      </c>
      <c r="C82" s="193">
        <v>0.2</v>
      </c>
      <c r="D82" s="948">
        <v>0.2</v>
      </c>
      <c r="E82" s="1109"/>
      <c r="F82" s="237"/>
      <c r="H82" s="207">
        <v>100</v>
      </c>
      <c r="I82" s="193">
        <v>0.2</v>
      </c>
      <c r="J82" s="512">
        <v>0.2</v>
      </c>
      <c r="K82" s="1109"/>
      <c r="L82" s="237"/>
      <c r="M82" s="207">
        <v>100</v>
      </c>
      <c r="N82" s="196">
        <v>0.3</v>
      </c>
      <c r="O82" s="526">
        <v>0.2</v>
      </c>
      <c r="P82" s="199">
        <v>0.1</v>
      </c>
      <c r="Q82" s="1112"/>
      <c r="R82" s="238"/>
      <c r="S82" s="971">
        <v>100</v>
      </c>
      <c r="T82" s="972">
        <f t="shared" si="49"/>
        <v>0.2</v>
      </c>
      <c r="U82" s="973">
        <f t="shared" si="50"/>
        <v>0.2</v>
      </c>
      <c r="V82" s="973">
        <f t="shared" si="51"/>
        <v>0.3</v>
      </c>
      <c r="W82" s="974">
        <f t="shared" si="52"/>
        <v>4.9999999999999989E-2</v>
      </c>
      <c r="X82" s="975">
        <f t="shared" si="53"/>
        <v>0.1</v>
      </c>
      <c r="Y82" s="976">
        <f t="shared" si="54"/>
        <v>0.2</v>
      </c>
      <c r="Z82" s="977">
        <f t="shared" si="55"/>
        <v>0.2</v>
      </c>
      <c r="AA82" s="977">
        <f t="shared" si="56"/>
        <v>0.2</v>
      </c>
      <c r="AB82" s="974">
        <f t="shared" si="57"/>
        <v>0</v>
      </c>
      <c r="AC82" s="975">
        <f t="shared" si="58"/>
        <v>0.1</v>
      </c>
      <c r="AD82" s="982"/>
      <c r="AE82" s="4"/>
      <c r="AF82" s="157">
        <f>ROWS(AE$11:$AE82)</f>
        <v>72</v>
      </c>
      <c r="AG82" s="157" t="str">
        <f>IF(ID!$A$83=AE82,AF82,"")</f>
        <v/>
      </c>
      <c r="AH82" s="157" t="str">
        <f>IFERROR(SMALL($AG$11:$AG$394,ROWS($AG$11:AG82)),"")</f>
        <v/>
      </c>
      <c r="CN82" s="1008"/>
      <c r="CO82" s="1008"/>
      <c r="CP82" s="1008"/>
      <c r="CQ82" s="1008"/>
    </row>
    <row r="83" spans="2:95" x14ac:dyDescent="0.25">
      <c r="B83" s="207">
        <v>150</v>
      </c>
      <c r="C83" s="193">
        <v>0.3</v>
      </c>
      <c r="D83" s="948">
        <v>0.3</v>
      </c>
      <c r="E83" s="1109"/>
      <c r="F83" s="237"/>
      <c r="H83" s="207">
        <v>150</v>
      </c>
      <c r="I83" s="193">
        <v>0.3</v>
      </c>
      <c r="J83" s="512">
        <v>0.3</v>
      </c>
      <c r="K83" s="1109"/>
      <c r="L83" s="237"/>
      <c r="M83" s="207">
        <v>150</v>
      </c>
      <c r="N83" s="196">
        <v>0.4</v>
      </c>
      <c r="O83" s="526">
        <v>0.4</v>
      </c>
      <c r="P83" s="199">
        <v>0.1</v>
      </c>
      <c r="Q83" s="1112"/>
      <c r="R83" s="238"/>
      <c r="S83" s="971">
        <v>150</v>
      </c>
      <c r="T83" s="972">
        <f t="shared" si="49"/>
        <v>0.3</v>
      </c>
      <c r="U83" s="973">
        <f t="shared" si="50"/>
        <v>0.3</v>
      </c>
      <c r="V83" s="973">
        <f t="shared" si="51"/>
        <v>0.4</v>
      </c>
      <c r="W83" s="974">
        <f t="shared" si="52"/>
        <v>5.0000000000000017E-2</v>
      </c>
      <c r="X83" s="975">
        <f t="shared" si="53"/>
        <v>0.1</v>
      </c>
      <c r="Y83" s="976">
        <f t="shared" si="54"/>
        <v>0.3</v>
      </c>
      <c r="Z83" s="977">
        <f t="shared" si="55"/>
        <v>0.3</v>
      </c>
      <c r="AA83" s="977">
        <f t="shared" si="56"/>
        <v>0.4</v>
      </c>
      <c r="AB83" s="974">
        <f t="shared" si="57"/>
        <v>5.0000000000000017E-2</v>
      </c>
      <c r="AC83" s="975">
        <f t="shared" si="58"/>
        <v>0.1</v>
      </c>
      <c r="AD83" s="982"/>
      <c r="AE83" s="4"/>
      <c r="AF83" s="157">
        <f>ROWS(AE$11:$AE83)</f>
        <v>73</v>
      </c>
      <c r="AG83" s="157" t="str">
        <f>IF(ID!$A$83=AE83,AF83,"")</f>
        <v/>
      </c>
      <c r="AH83" s="157" t="str">
        <f>IFERROR(SMALL($AG$11:$AG$394,ROWS($AG$11:AG83)),"")</f>
        <v/>
      </c>
      <c r="CN83" s="1008"/>
      <c r="CO83" s="1008"/>
      <c r="CP83" s="1008"/>
      <c r="CQ83" s="1008"/>
    </row>
    <row r="84" spans="2:95" x14ac:dyDescent="0.25">
      <c r="B84" s="207">
        <v>200</v>
      </c>
      <c r="C84" s="193">
        <v>0.4</v>
      </c>
      <c r="D84" s="948">
        <v>0.4</v>
      </c>
      <c r="E84" s="1109"/>
      <c r="F84" s="237"/>
      <c r="H84" s="207">
        <v>200</v>
      </c>
      <c r="I84" s="193">
        <v>0.4</v>
      </c>
      <c r="J84" s="512">
        <v>0.4</v>
      </c>
      <c r="K84" s="1109"/>
      <c r="L84" s="237"/>
      <c r="M84" s="207">
        <v>200</v>
      </c>
      <c r="N84" s="196">
        <v>0.5</v>
      </c>
      <c r="O84" s="526">
        <v>0.5</v>
      </c>
      <c r="P84" s="199">
        <v>0.1</v>
      </c>
      <c r="Q84" s="1112"/>
      <c r="R84" s="238"/>
      <c r="S84" s="971">
        <v>200</v>
      </c>
      <c r="T84" s="972">
        <f t="shared" si="49"/>
        <v>0.4</v>
      </c>
      <c r="U84" s="973">
        <f t="shared" si="50"/>
        <v>0.4</v>
      </c>
      <c r="V84" s="973">
        <f t="shared" si="51"/>
        <v>0.5</v>
      </c>
      <c r="W84" s="974">
        <f t="shared" si="52"/>
        <v>4.9999999999999989E-2</v>
      </c>
      <c r="X84" s="975">
        <f t="shared" si="53"/>
        <v>0.1</v>
      </c>
      <c r="Y84" s="976">
        <f t="shared" si="54"/>
        <v>0.4</v>
      </c>
      <c r="Z84" s="977">
        <f t="shared" si="55"/>
        <v>0.4</v>
      </c>
      <c r="AA84" s="977">
        <f t="shared" si="56"/>
        <v>0.5</v>
      </c>
      <c r="AB84" s="974">
        <f t="shared" si="57"/>
        <v>4.9999999999999989E-2</v>
      </c>
      <c r="AC84" s="975">
        <f t="shared" si="58"/>
        <v>0.1</v>
      </c>
      <c r="AD84" s="982"/>
      <c r="AE84" s="4"/>
      <c r="AF84" s="157">
        <f>ROWS(AE$11:$AE84)</f>
        <v>74</v>
      </c>
      <c r="AG84" s="157" t="str">
        <f>IF(ID!$A$83=AE84,AF84,"")</f>
        <v/>
      </c>
      <c r="AH84" s="157" t="str">
        <f>IFERROR(SMALL($AG$11:$AG$394,ROWS($AG$11:AG84)),"")</f>
        <v/>
      </c>
      <c r="CN84" s="1008"/>
      <c r="CO84" s="1008"/>
      <c r="CP84" s="1008"/>
      <c r="CQ84" s="1008"/>
    </row>
    <row r="85" spans="2:95" x14ac:dyDescent="0.25">
      <c r="B85" s="207">
        <v>250</v>
      </c>
      <c r="C85" s="193">
        <v>0.5</v>
      </c>
      <c r="D85" s="948">
        <v>0.5</v>
      </c>
      <c r="E85" s="1109"/>
      <c r="F85" s="237"/>
      <c r="H85" s="207">
        <v>250</v>
      </c>
      <c r="I85" s="193">
        <v>0.5</v>
      </c>
      <c r="J85" s="512">
        <v>0.5</v>
      </c>
      <c r="K85" s="1109"/>
      <c r="L85" s="237"/>
      <c r="M85" s="207">
        <v>250</v>
      </c>
      <c r="N85" s="196">
        <v>0.8</v>
      </c>
      <c r="O85" s="526">
        <v>0.7</v>
      </c>
      <c r="P85" s="199">
        <v>0.1</v>
      </c>
      <c r="Q85" s="1112"/>
      <c r="R85" s="238"/>
      <c r="S85" s="971">
        <v>250</v>
      </c>
      <c r="T85" s="972">
        <f t="shared" si="49"/>
        <v>0.5</v>
      </c>
      <c r="U85" s="973">
        <f t="shared" si="50"/>
        <v>0.5</v>
      </c>
      <c r="V85" s="973">
        <f t="shared" si="51"/>
        <v>0.8</v>
      </c>
      <c r="W85" s="974">
        <f t="shared" si="52"/>
        <v>0.15000000000000002</v>
      </c>
      <c r="X85" s="975">
        <f t="shared" si="53"/>
        <v>0.1</v>
      </c>
      <c r="Y85" s="976">
        <f t="shared" si="54"/>
        <v>0.5</v>
      </c>
      <c r="Z85" s="977">
        <f t="shared" si="55"/>
        <v>0.5</v>
      </c>
      <c r="AA85" s="977">
        <f t="shared" si="56"/>
        <v>0.7</v>
      </c>
      <c r="AB85" s="974">
        <f t="shared" si="57"/>
        <v>9.9999999999999978E-2</v>
      </c>
      <c r="AC85" s="975">
        <f t="shared" si="58"/>
        <v>0.1</v>
      </c>
      <c r="AD85" s="982"/>
      <c r="AE85" s="4"/>
      <c r="AF85" s="157">
        <f>ROWS(AE$11:$AE85)</f>
        <v>75</v>
      </c>
      <c r="AG85" s="157" t="str">
        <f>IF(ID!$A$83=AE85,AF85,"")</f>
        <v/>
      </c>
      <c r="AH85" s="157" t="str">
        <f>IFERROR(SMALL($AG$11:$AG$394,ROWS($AG$11:AG85)),"")</f>
        <v/>
      </c>
      <c r="CN85" s="1008"/>
      <c r="CO85" s="1008"/>
      <c r="CP85" s="1008"/>
      <c r="CQ85" s="1008"/>
    </row>
    <row r="86" spans="2:95" x14ac:dyDescent="0.25">
      <c r="B86" s="207">
        <v>300</v>
      </c>
      <c r="C86" s="193">
        <v>0.5</v>
      </c>
      <c r="D86" s="948">
        <v>0.5</v>
      </c>
      <c r="E86" s="1110"/>
      <c r="F86" s="237"/>
      <c r="H86" s="207">
        <v>300</v>
      </c>
      <c r="I86" s="193">
        <v>0.5</v>
      </c>
      <c r="J86" s="512">
        <v>0.5</v>
      </c>
      <c r="K86" s="1110"/>
      <c r="L86" s="237"/>
      <c r="M86" s="207">
        <v>300</v>
      </c>
      <c r="N86" s="196">
        <v>1</v>
      </c>
      <c r="O86" s="526">
        <v>0.9</v>
      </c>
      <c r="P86" s="199">
        <v>0.1</v>
      </c>
      <c r="Q86" s="1113"/>
      <c r="R86" s="238"/>
      <c r="S86" s="971">
        <v>300</v>
      </c>
      <c r="T86" s="972">
        <f t="shared" si="49"/>
        <v>0.5</v>
      </c>
      <c r="U86" s="973">
        <f t="shared" si="50"/>
        <v>0.5</v>
      </c>
      <c r="V86" s="973">
        <f t="shared" si="51"/>
        <v>1</v>
      </c>
      <c r="W86" s="974">
        <f t="shared" si="52"/>
        <v>0.25</v>
      </c>
      <c r="X86" s="975">
        <f t="shared" si="53"/>
        <v>0.1</v>
      </c>
      <c r="Y86" s="976">
        <f t="shared" si="54"/>
        <v>0.5</v>
      </c>
      <c r="Z86" s="977">
        <f t="shared" si="55"/>
        <v>0.5</v>
      </c>
      <c r="AA86" s="977">
        <f t="shared" si="56"/>
        <v>0.9</v>
      </c>
      <c r="AB86" s="974">
        <f t="shared" si="57"/>
        <v>0.2</v>
      </c>
      <c r="AC86" s="975">
        <f t="shared" si="58"/>
        <v>0.1</v>
      </c>
      <c r="AD86" s="982"/>
      <c r="AE86" s="4"/>
      <c r="AF86" s="157">
        <f>ROWS(AE$11:$AE86)</f>
        <v>76</v>
      </c>
      <c r="AG86" s="157" t="str">
        <f>IF(ID!$A$83=AE86,AF86,"")</f>
        <v/>
      </c>
      <c r="AH86" s="157" t="str">
        <f>IFERROR(SMALL($AG$11:$AG$394,ROWS($AG$11:AG86)),"")</f>
        <v/>
      </c>
      <c r="CN86" s="1008"/>
      <c r="CO86" s="1008"/>
      <c r="CP86" s="1008"/>
      <c r="CQ86" s="1008"/>
    </row>
    <row r="87" spans="2:95" x14ac:dyDescent="0.25">
      <c r="S87" s="230"/>
      <c r="T87" s="713"/>
      <c r="U87" s="715"/>
      <c r="V87" s="715"/>
      <c r="W87" s="535"/>
      <c r="X87" s="97"/>
      <c r="Y87" s="723"/>
      <c r="Z87" s="723"/>
      <c r="AA87" s="723"/>
      <c r="AB87" s="537"/>
      <c r="AC87" s="161"/>
      <c r="AD87" s="11"/>
      <c r="AE87" s="4"/>
      <c r="AF87" s="157">
        <f>ROWS(AE$11:$AE87)</f>
        <v>77</v>
      </c>
      <c r="AG87" s="157" t="str">
        <f>IF(ID!$A$83=AE87,AF87,"")</f>
        <v/>
      </c>
      <c r="AH87" s="157" t="str">
        <f>IFERROR(SMALL($AG$11:$AG$394,ROWS($AG$11:AG87)),"")</f>
        <v/>
      </c>
    </row>
    <row r="88" spans="2:95" s="13" customFormat="1" x14ac:dyDescent="0.25">
      <c r="C88" s="516"/>
      <c r="D88" s="522"/>
      <c r="I88" s="516"/>
      <c r="J88" s="522"/>
      <c r="S88" s="230"/>
      <c r="T88" s="713"/>
      <c r="U88" s="715"/>
      <c r="V88" s="715"/>
      <c r="W88" s="535"/>
      <c r="X88" s="97"/>
      <c r="Y88" s="723"/>
      <c r="Z88" s="723"/>
      <c r="AA88" s="723"/>
      <c r="AB88" s="537"/>
      <c r="AC88" s="161"/>
      <c r="AD88" s="11"/>
      <c r="AE88" s="4"/>
      <c r="AF88" s="157">
        <f>ROWS(AE$11:$AE88)</f>
        <v>78</v>
      </c>
      <c r="AG88" s="157" t="str">
        <f>IF(ID!$A$83=AE88,AF88,"")</f>
        <v/>
      </c>
      <c r="AH88" s="157" t="str">
        <f>IFERROR(SMALL($AG$11:$AG$394,ROWS($AG$11:AG88)),"")</f>
        <v/>
      </c>
    </row>
    <row r="89" spans="2:95" x14ac:dyDescent="0.25">
      <c r="S89" s="230"/>
      <c r="T89" s="713"/>
      <c r="U89" s="715"/>
      <c r="V89" s="715"/>
      <c r="W89" s="535"/>
      <c r="X89" s="97"/>
      <c r="Y89" s="723"/>
      <c r="Z89" s="723"/>
      <c r="AA89" s="723"/>
      <c r="AB89" s="537"/>
      <c r="AC89" s="161"/>
      <c r="AD89" s="11"/>
      <c r="AE89" s="4"/>
      <c r="AF89" s="157">
        <f>ROWS(AE$11:$AE89)</f>
        <v>79</v>
      </c>
      <c r="AG89" s="157" t="str">
        <f>IF(ID!$A$83=AE89,AF89,"")</f>
        <v/>
      </c>
      <c r="AH89" s="157" t="str">
        <f>IFERROR(SMALL($AG$11:$AG$394,ROWS($AG$11:AG89)),"")</f>
        <v/>
      </c>
    </row>
    <row r="90" spans="2:95" x14ac:dyDescent="0.25">
      <c r="S90" s="230"/>
      <c r="T90" s="713"/>
      <c r="U90" s="714"/>
      <c r="V90" s="714"/>
      <c r="W90" s="534"/>
      <c r="X90" s="201"/>
      <c r="Y90" s="725"/>
      <c r="Z90" s="725"/>
      <c r="AA90" s="725"/>
      <c r="AB90" s="534"/>
      <c r="AC90" s="201"/>
      <c r="AD90" s="9"/>
      <c r="AE90" s="4"/>
      <c r="AF90" s="157">
        <f>ROWS(AE$11:$AE90)</f>
        <v>80</v>
      </c>
      <c r="AG90" s="157" t="str">
        <f>IF(ID!$A$83=AE90,AF90,"")</f>
        <v/>
      </c>
      <c r="AH90" s="157" t="str">
        <f>IFERROR(SMALL($AG$11:$AG$394,ROWS($AG$11:AG90)),"")</f>
        <v/>
      </c>
    </row>
    <row r="91" spans="2:95" s="13" customFormat="1" x14ac:dyDescent="0.25">
      <c r="C91" s="516"/>
      <c r="D91" s="522"/>
      <c r="I91" s="516"/>
      <c r="J91" s="522"/>
      <c r="S91" s="231"/>
      <c r="T91" s="698"/>
      <c r="U91" s="699"/>
      <c r="V91" s="699"/>
      <c r="W91" s="527"/>
      <c r="X91" s="10"/>
      <c r="Y91" s="717"/>
      <c r="Z91" s="717"/>
      <c r="AA91" s="717"/>
      <c r="AB91" s="527"/>
      <c r="AC91" s="10"/>
      <c r="AF91" s="157">
        <f>ROWS(AE$11:$AE91)</f>
        <v>81</v>
      </c>
      <c r="AG91" s="157" t="str">
        <f>IF(ID!$A$83=AE91,AF91,"")</f>
        <v/>
      </c>
      <c r="AH91" s="157" t="str">
        <f>IFERROR(SMALL($AG$11:$AG$394,ROWS($AG$11:AG91)),"")</f>
        <v/>
      </c>
    </row>
    <row r="92" spans="2:95" s="513" customFormat="1" x14ac:dyDescent="0.25">
      <c r="C92" s="519"/>
      <c r="D92" s="525"/>
      <c r="I92" s="519"/>
      <c r="J92" s="525"/>
      <c r="S92" s="514"/>
      <c r="T92" s="514"/>
      <c r="U92" s="514"/>
      <c r="V92" s="514"/>
      <c r="W92" s="514"/>
      <c r="X92" s="514"/>
      <c r="Y92" s="514"/>
      <c r="Z92" s="514"/>
      <c r="AA92" s="514"/>
      <c r="AB92" s="529"/>
      <c r="AF92" s="157">
        <f>ROWS(AE$11:$AE92)</f>
        <v>82</v>
      </c>
      <c r="AG92" s="157" t="str">
        <f>IF(ID!$A$83=AE92,AF92,"")</f>
        <v/>
      </c>
      <c r="AH92" s="157" t="str">
        <f>IFERROR(SMALL($AG$11:$AG$394,ROWS($AG$11:AG92)),"")</f>
        <v/>
      </c>
    </row>
    <row r="93" spans="2:95" s="513" customFormat="1" x14ac:dyDescent="0.25">
      <c r="C93" s="519"/>
      <c r="D93" s="525"/>
      <c r="I93" s="519"/>
      <c r="J93" s="525"/>
      <c r="S93" s="514"/>
      <c r="T93" s="514"/>
      <c r="U93" s="514"/>
      <c r="V93" s="514"/>
      <c r="W93" s="514"/>
      <c r="X93" s="514"/>
      <c r="Y93" s="514"/>
      <c r="Z93" s="514"/>
      <c r="AA93" s="514"/>
      <c r="AB93" s="529"/>
      <c r="AF93" s="157">
        <f>ROWS(AE$11:$AE93)</f>
        <v>83</v>
      </c>
      <c r="AG93" s="157" t="str">
        <f>IF(ID!$A$83=AE93,AF93,"")</f>
        <v/>
      </c>
      <c r="AH93" s="157" t="str">
        <f>IFERROR(SMALL($AG$11:$AG$394,ROWS($AG$11:AG93)),"")</f>
        <v/>
      </c>
    </row>
    <row r="94" spans="2:95" x14ac:dyDescent="0.25">
      <c r="B94" s="1099" t="s">
        <v>400</v>
      </c>
      <c r="C94" s="1100"/>
      <c r="D94" s="1100"/>
      <c r="E94" s="1101"/>
      <c r="F94" s="233"/>
      <c r="H94" s="1099" t="s">
        <v>401</v>
      </c>
      <c r="I94" s="1100"/>
      <c r="J94" s="1100"/>
      <c r="K94" s="1101"/>
      <c r="L94" s="233"/>
      <c r="M94" s="1099" t="s">
        <v>195</v>
      </c>
      <c r="N94" s="1100"/>
      <c r="O94" s="1100"/>
      <c r="P94" s="1100"/>
      <c r="Q94" s="1101"/>
      <c r="S94" s="224" t="s">
        <v>48</v>
      </c>
      <c r="T94" s="700" t="s">
        <v>403</v>
      </c>
      <c r="U94" s="701" t="s">
        <v>402</v>
      </c>
      <c r="V94" s="701" t="s">
        <v>192</v>
      </c>
      <c r="W94" s="528" t="s">
        <v>172</v>
      </c>
      <c r="X94" s="197" t="s">
        <v>190</v>
      </c>
      <c r="Y94" s="718" t="s">
        <v>404</v>
      </c>
      <c r="Z94" s="719" t="s">
        <v>405</v>
      </c>
      <c r="AA94" s="719" t="s">
        <v>193</v>
      </c>
      <c r="AB94" s="528" t="s">
        <v>152</v>
      </c>
      <c r="AC94" s="197" t="s">
        <v>191</v>
      </c>
      <c r="AF94" s="157">
        <f>ROWS(AE$11:$AE94)</f>
        <v>84</v>
      </c>
      <c r="AG94" s="157" t="str">
        <f>IF(ID!$A$83=AE94,AF94,"")</f>
        <v/>
      </c>
      <c r="AH94" s="157" t="str">
        <f>IFERROR(SMALL($AG$11:$AG$394,ROWS($AG$11:AG94)),"")</f>
        <v/>
      </c>
    </row>
    <row r="95" spans="2:95" x14ac:dyDescent="0.25">
      <c r="B95" s="207">
        <v>0</v>
      </c>
      <c r="C95" s="193"/>
      <c r="D95" s="512"/>
      <c r="E95" s="208"/>
      <c r="F95" s="237"/>
      <c r="H95" s="207">
        <v>0</v>
      </c>
      <c r="I95" s="193"/>
      <c r="J95" s="512"/>
      <c r="K95" s="208"/>
      <c r="L95" s="237"/>
      <c r="M95" s="207">
        <v>0</v>
      </c>
      <c r="N95" s="193"/>
      <c r="O95" s="193"/>
      <c r="P95" s="159"/>
      <c r="Q95" s="209"/>
      <c r="R95" s="236"/>
      <c r="S95" s="207">
        <v>0</v>
      </c>
      <c r="T95" s="711"/>
      <c r="U95" s="703"/>
      <c r="V95" s="703"/>
      <c r="W95" s="499"/>
      <c r="X95" s="159"/>
      <c r="Y95" s="720"/>
      <c r="Z95" s="721"/>
      <c r="AA95" s="721"/>
      <c r="AB95" s="538"/>
      <c r="AC95" s="96"/>
      <c r="AD95" s="11"/>
      <c r="AE95" s="4"/>
      <c r="AF95" s="157">
        <f>ROWS(AE$11:$AE95)</f>
        <v>85</v>
      </c>
      <c r="AG95" s="157" t="str">
        <f>IF(ID!$A$83=AE95,AF95,"")</f>
        <v/>
      </c>
      <c r="AH95" s="157" t="str">
        <f>IFERROR(SMALL($AG$11:$AG$394,ROWS($AG$11:AG95)),"")</f>
        <v/>
      </c>
    </row>
    <row r="96" spans="2:95" x14ac:dyDescent="0.25">
      <c r="B96" s="207">
        <v>50</v>
      </c>
      <c r="C96" s="193"/>
      <c r="D96" s="512"/>
      <c r="E96" s="208"/>
      <c r="F96" s="237"/>
      <c r="H96" s="207">
        <v>50</v>
      </c>
      <c r="I96" s="193"/>
      <c r="J96" s="512"/>
      <c r="K96" s="208"/>
      <c r="L96" s="237"/>
      <c r="M96" s="207">
        <v>50</v>
      </c>
      <c r="N96" s="193"/>
      <c r="O96" s="193"/>
      <c r="P96" s="159"/>
      <c r="Q96" s="209"/>
      <c r="R96" s="236"/>
      <c r="S96" s="207">
        <v>50</v>
      </c>
      <c r="T96" s="711"/>
      <c r="U96" s="703"/>
      <c r="V96" s="703"/>
      <c r="W96" s="499"/>
      <c r="X96" s="159"/>
      <c r="Y96" s="720"/>
      <c r="Z96" s="721"/>
      <c r="AA96" s="721"/>
      <c r="AB96" s="538"/>
      <c r="AC96" s="96"/>
      <c r="AD96" s="11"/>
      <c r="AE96" s="4"/>
      <c r="AF96" s="157">
        <f>ROWS(AE$11:$AE96)</f>
        <v>86</v>
      </c>
      <c r="AG96" s="157" t="str">
        <f>IF(ID!$A$83=AE96,AF96,"")</f>
        <v/>
      </c>
      <c r="AH96" s="157" t="str">
        <f>IFERROR(SMALL($AG$11:$AG$394,ROWS($AG$11:AG96)),"")</f>
        <v/>
      </c>
    </row>
    <row r="97" spans="1:34" x14ac:dyDescent="0.25">
      <c r="B97" s="207">
        <v>100</v>
      </c>
      <c r="C97" s="193"/>
      <c r="D97" s="512"/>
      <c r="E97" s="208"/>
      <c r="F97" s="237"/>
      <c r="H97" s="207">
        <v>100</v>
      </c>
      <c r="I97" s="193"/>
      <c r="J97" s="512"/>
      <c r="K97" s="208"/>
      <c r="L97" s="237"/>
      <c r="M97" s="207">
        <v>100</v>
      </c>
      <c r="N97" s="193"/>
      <c r="O97" s="193"/>
      <c r="P97" s="159"/>
      <c r="Q97" s="209"/>
      <c r="R97" s="236"/>
      <c r="S97" s="207">
        <v>100</v>
      </c>
      <c r="T97" s="711"/>
      <c r="U97" s="703"/>
      <c r="V97" s="703"/>
      <c r="W97" s="499"/>
      <c r="X97" s="159"/>
      <c r="Y97" s="720"/>
      <c r="Z97" s="721"/>
      <c r="AA97" s="721"/>
      <c r="AB97" s="538"/>
      <c r="AC97" s="96"/>
      <c r="AD97" s="11"/>
      <c r="AE97" s="4"/>
      <c r="AF97" s="157">
        <f>ROWS(AE$11:$AE97)</f>
        <v>87</v>
      </c>
      <c r="AG97" s="157" t="str">
        <f>IF(ID!$A$83=AE97,AF97,"")</f>
        <v/>
      </c>
      <c r="AH97" s="157" t="str">
        <f>IFERROR(SMALL($AG$11:$AG$394,ROWS($AG$11:AG97)),"")</f>
        <v/>
      </c>
    </row>
    <row r="98" spans="1:34" x14ac:dyDescent="0.25">
      <c r="B98" s="207">
        <v>150</v>
      </c>
      <c r="C98" s="193"/>
      <c r="D98" s="512"/>
      <c r="E98" s="208"/>
      <c r="F98" s="237"/>
      <c r="H98" s="207">
        <v>150</v>
      </c>
      <c r="I98" s="193"/>
      <c r="J98" s="512"/>
      <c r="K98" s="208"/>
      <c r="L98" s="237"/>
      <c r="M98" s="207">
        <v>150</v>
      </c>
      <c r="N98" s="193"/>
      <c r="O98" s="193"/>
      <c r="P98" s="159"/>
      <c r="Q98" s="209"/>
      <c r="R98" s="236"/>
      <c r="S98" s="207">
        <v>150</v>
      </c>
      <c r="T98" s="711"/>
      <c r="U98" s="703"/>
      <c r="V98" s="703"/>
      <c r="W98" s="499"/>
      <c r="X98" s="159"/>
      <c r="Y98" s="720"/>
      <c r="Z98" s="721"/>
      <c r="AA98" s="721"/>
      <c r="AB98" s="538"/>
      <c r="AC98" s="96"/>
      <c r="AD98" s="11"/>
      <c r="AE98" s="4"/>
      <c r="AF98" s="157">
        <f>ROWS(AE$11:$AE98)</f>
        <v>88</v>
      </c>
      <c r="AG98" s="157" t="str">
        <f>IF(ID!$A$83=AE98,AF98,"")</f>
        <v/>
      </c>
      <c r="AH98" s="157" t="str">
        <f>IFERROR(SMALL($AG$11:$AG$394,ROWS($AG$11:AG98)),"")</f>
        <v/>
      </c>
    </row>
    <row r="99" spans="1:34" x14ac:dyDescent="0.25">
      <c r="B99" s="207">
        <v>200</v>
      </c>
      <c r="C99" s="193"/>
      <c r="D99" s="512"/>
      <c r="E99" s="208"/>
      <c r="F99" s="237"/>
      <c r="H99" s="207">
        <v>200</v>
      </c>
      <c r="I99" s="193"/>
      <c r="J99" s="512"/>
      <c r="K99" s="208"/>
      <c r="L99" s="237"/>
      <c r="M99" s="207">
        <v>200</v>
      </c>
      <c r="N99" s="193"/>
      <c r="O99" s="193"/>
      <c r="P99" s="159"/>
      <c r="Q99" s="209"/>
      <c r="R99" s="236"/>
      <c r="S99" s="207">
        <v>200</v>
      </c>
      <c r="T99" s="711"/>
      <c r="U99" s="703"/>
      <c r="V99" s="703"/>
      <c r="W99" s="499"/>
      <c r="X99" s="159"/>
      <c r="Y99" s="720"/>
      <c r="Z99" s="721"/>
      <c r="AA99" s="721"/>
      <c r="AB99" s="538"/>
      <c r="AC99" s="96"/>
      <c r="AD99" s="11"/>
      <c r="AE99" s="4"/>
      <c r="AF99" s="157">
        <f>ROWS(AE$11:$AE99)</f>
        <v>89</v>
      </c>
      <c r="AG99" s="157" t="str">
        <f>IF(ID!$A$83=AE99,AF99,"")</f>
        <v/>
      </c>
      <c r="AH99" s="157" t="str">
        <f>IFERROR(SMALL($AG$11:$AG$394,ROWS($AG$11:AG99)),"")</f>
        <v/>
      </c>
    </row>
    <row r="100" spans="1:34" x14ac:dyDescent="0.25">
      <c r="B100" s="207">
        <v>250</v>
      </c>
      <c r="C100" s="193"/>
      <c r="D100" s="512"/>
      <c r="E100" s="208"/>
      <c r="F100" s="237"/>
      <c r="H100" s="207">
        <v>250</v>
      </c>
      <c r="I100" s="193"/>
      <c r="J100" s="512"/>
      <c r="K100" s="208"/>
      <c r="L100" s="237"/>
      <c r="M100" s="207">
        <v>250</v>
      </c>
      <c r="N100" s="193"/>
      <c r="O100" s="193"/>
      <c r="P100" s="159"/>
      <c r="Q100" s="209"/>
      <c r="R100" s="236"/>
      <c r="S100" s="207">
        <v>250</v>
      </c>
      <c r="T100" s="711"/>
      <c r="U100" s="703"/>
      <c r="V100" s="703"/>
      <c r="W100" s="499"/>
      <c r="X100" s="159"/>
      <c r="Y100" s="720"/>
      <c r="Z100" s="721"/>
      <c r="AA100" s="721"/>
      <c r="AB100" s="538"/>
      <c r="AC100" s="96"/>
      <c r="AD100" s="11"/>
      <c r="AE100" s="4"/>
      <c r="AF100" s="157">
        <f>ROWS(AE$11:$AE100)</f>
        <v>90</v>
      </c>
      <c r="AG100" s="157" t="str">
        <f>IF(ID!$A$83=AE100,AF100,"")</f>
        <v/>
      </c>
      <c r="AH100" s="157" t="str">
        <f>IFERROR(SMALL($AG$11:$AG$394,ROWS($AG$11:AG100)),"")</f>
        <v/>
      </c>
    </row>
    <row r="101" spans="1:34" x14ac:dyDescent="0.25">
      <c r="B101" s="207">
        <v>300</v>
      </c>
      <c r="C101" s="193"/>
      <c r="D101" s="512"/>
      <c r="E101" s="208"/>
      <c r="F101" s="237"/>
      <c r="H101" s="207">
        <v>300</v>
      </c>
      <c r="I101" s="193"/>
      <c r="J101" s="512"/>
      <c r="K101" s="208"/>
      <c r="L101" s="237"/>
      <c r="M101" s="207">
        <v>300</v>
      </c>
      <c r="N101" s="193"/>
      <c r="O101" s="193"/>
      <c r="P101" s="159"/>
      <c r="Q101" s="209"/>
      <c r="R101" s="236"/>
      <c r="S101" s="207">
        <v>300</v>
      </c>
      <c r="T101" s="711"/>
      <c r="U101" s="703"/>
      <c r="V101" s="703"/>
      <c r="W101" s="499"/>
      <c r="X101" s="159"/>
      <c r="Y101" s="720"/>
      <c r="Z101" s="721"/>
      <c r="AA101" s="721"/>
      <c r="AB101" s="538"/>
      <c r="AC101" s="96"/>
      <c r="AD101" s="11"/>
      <c r="AE101" s="4"/>
      <c r="AF101" s="157">
        <f>ROWS(AE$11:$AE101)</f>
        <v>91</v>
      </c>
      <c r="AG101" s="157" t="str">
        <f>IF(ID!$A$83=AE101,AF101,"")</f>
        <v/>
      </c>
      <c r="AH101" s="157" t="str">
        <f>IFERROR(SMALL($AG$11:$AG$394,ROWS($AG$11:AG101)),"")</f>
        <v/>
      </c>
    </row>
    <row r="102" spans="1:34" x14ac:dyDescent="0.25">
      <c r="S102" s="230"/>
      <c r="T102" s="713"/>
      <c r="U102" s="712"/>
      <c r="V102" s="712"/>
      <c r="W102" s="533"/>
      <c r="X102" s="97"/>
      <c r="Y102" s="723"/>
      <c r="Z102" s="723"/>
      <c r="AA102" s="723"/>
      <c r="AB102" s="537"/>
      <c r="AC102" s="161"/>
      <c r="AD102" s="11"/>
      <c r="AE102" s="4"/>
      <c r="AF102" s="157">
        <f>ROWS(AE$11:$AE102)</f>
        <v>92</v>
      </c>
      <c r="AG102" s="157" t="str">
        <f>IF(ID!$A$83=AE102,AF102,"")</f>
        <v/>
      </c>
      <c r="AH102" s="157" t="str">
        <f>IFERROR(SMALL($AG$11:$AG$394,ROWS($AG$11:AG102)),"")</f>
        <v/>
      </c>
    </row>
    <row r="103" spans="1:34" s="13" customFormat="1" x14ac:dyDescent="0.25">
      <c r="C103" s="516"/>
      <c r="D103" s="522"/>
      <c r="I103" s="516"/>
      <c r="J103" s="522"/>
      <c r="S103" s="230"/>
      <c r="T103" s="713"/>
      <c r="U103" s="712"/>
      <c r="V103" s="712"/>
      <c r="W103" s="533"/>
      <c r="X103" s="97"/>
      <c r="Y103" s="723"/>
      <c r="Z103" s="723"/>
      <c r="AA103" s="723"/>
      <c r="AB103" s="537"/>
      <c r="AC103" s="161"/>
      <c r="AD103" s="11"/>
      <c r="AE103" s="4"/>
      <c r="AF103" s="157">
        <f>ROWS(AE$11:$AE103)</f>
        <v>93</v>
      </c>
      <c r="AG103" s="157" t="str">
        <f>IF(ID!$A$83=AE103,AF103,"")</f>
        <v/>
      </c>
      <c r="AH103" s="157" t="str">
        <f>IFERROR(SMALL($AG$11:$AG$394,ROWS($AG$11:AG103)),"")</f>
        <v/>
      </c>
    </row>
    <row r="104" spans="1:34" x14ac:dyDescent="0.25">
      <c r="S104" s="230"/>
      <c r="T104" s="713"/>
      <c r="U104" s="712"/>
      <c r="V104" s="712"/>
      <c r="W104" s="533"/>
      <c r="X104" s="97"/>
      <c r="Y104" s="723"/>
      <c r="Z104" s="723"/>
      <c r="AA104" s="723"/>
      <c r="AB104" s="537"/>
      <c r="AC104" s="161"/>
      <c r="AD104" s="11"/>
      <c r="AE104" s="4"/>
      <c r="AF104" s="157">
        <f>ROWS(AE$11:$AE104)</f>
        <v>94</v>
      </c>
      <c r="AG104" s="157" t="str">
        <f>IF(ID!$A$83=AE104,AF104,"")</f>
        <v/>
      </c>
      <c r="AH104" s="157" t="str">
        <f>IFERROR(SMALL($AG$11:$AG$394,ROWS($AG$11:AG104)),"")</f>
        <v/>
      </c>
    </row>
    <row r="105" spans="1:34" x14ac:dyDescent="0.25">
      <c r="E105" s="30"/>
      <c r="F105" s="30"/>
      <c r="K105" s="30"/>
      <c r="L105" s="30"/>
      <c r="N105" s="30"/>
      <c r="O105" s="30"/>
      <c r="Q105" s="30"/>
      <c r="R105" s="30"/>
      <c r="S105" s="207"/>
      <c r="T105" s="711"/>
      <c r="U105" s="712"/>
      <c r="V105" s="712"/>
      <c r="W105" s="533"/>
      <c r="X105" s="97"/>
      <c r="Y105" s="723"/>
      <c r="Z105" s="723"/>
      <c r="AA105" s="723"/>
      <c r="AB105" s="537"/>
      <c r="AC105" s="161"/>
      <c r="AD105" s="11"/>
      <c r="AE105" s="4"/>
      <c r="AF105" s="157">
        <f>ROWS(AE$11:$AE105)</f>
        <v>95</v>
      </c>
      <c r="AG105" s="157" t="str">
        <f>IF(ID!$A$83=AE105,AF105,"")</f>
        <v/>
      </c>
      <c r="AH105" s="157" t="str">
        <f>IFERROR(SMALL($AG$11:$AG$394,ROWS($AG$11:AG105)),"")</f>
        <v/>
      </c>
    </row>
    <row r="106" spans="1:34" s="13" customFormat="1" x14ac:dyDescent="0.25">
      <c r="C106" s="516"/>
      <c r="D106" s="522"/>
      <c r="I106" s="516"/>
      <c r="J106" s="522"/>
      <c r="S106" s="231"/>
      <c r="T106" s="698"/>
      <c r="U106" s="699"/>
      <c r="V106" s="699"/>
      <c r="W106" s="527"/>
      <c r="X106" s="10"/>
      <c r="Y106" s="717"/>
      <c r="Z106" s="717"/>
      <c r="AA106" s="717"/>
      <c r="AB106" s="527"/>
      <c r="AC106" s="10"/>
      <c r="AF106" s="157">
        <f>ROWS(AE$11:$AE106)</f>
        <v>96</v>
      </c>
      <c r="AG106" s="157" t="str">
        <f>IF(ID!$A$83=AE106,AF106,"")</f>
        <v/>
      </c>
      <c r="AH106" s="157" t="str">
        <f>IFERROR(SMALL($AG$11:$AG$394,ROWS($AG$11:AG106)),"")</f>
        <v/>
      </c>
    </row>
    <row r="107" spans="1:34" s="513" customFormat="1" x14ac:dyDescent="0.25">
      <c r="C107" s="519"/>
      <c r="D107" s="525"/>
      <c r="I107" s="519"/>
      <c r="J107" s="525"/>
      <c r="S107" s="514"/>
      <c r="T107" s="514"/>
      <c r="U107" s="514"/>
      <c r="V107" s="514"/>
      <c r="W107" s="514"/>
      <c r="X107" s="514"/>
      <c r="Y107" s="514"/>
      <c r="Z107" s="514"/>
      <c r="AA107" s="514"/>
      <c r="AB107" s="529"/>
      <c r="AF107" s="157">
        <f>ROWS(AE$11:$AE107)</f>
        <v>97</v>
      </c>
      <c r="AG107" s="157" t="str">
        <f>IF(ID!$A$83=AE107,AF107,"")</f>
        <v/>
      </c>
      <c r="AH107" s="157" t="str">
        <f>IFERROR(SMALL($AG$11:$AG$394,ROWS($AG$11:AG107)),"")</f>
        <v/>
      </c>
    </row>
    <row r="108" spans="1:34" s="513" customFormat="1" x14ac:dyDescent="0.25">
      <c r="C108" s="519"/>
      <c r="D108" s="525"/>
      <c r="I108" s="519"/>
      <c r="J108" s="525"/>
      <c r="S108" s="514"/>
      <c r="T108" s="514"/>
      <c r="U108" s="514"/>
      <c r="V108" s="514"/>
      <c r="W108" s="959" t="s">
        <v>545</v>
      </c>
      <c r="X108" s="10"/>
      <c r="Y108" s="717"/>
      <c r="Z108" s="717"/>
      <c r="AA108" s="717"/>
      <c r="AB108" s="959" t="s">
        <v>545</v>
      </c>
      <c r="AF108" s="157">
        <f>ROWS(AE$11:$AE108)</f>
        <v>98</v>
      </c>
      <c r="AG108" s="157" t="str">
        <f>IF(ID!$A$83=AE108,AF108,"")</f>
        <v/>
      </c>
      <c r="AH108" s="157" t="str">
        <f>IFERROR(SMALL($AG$11:$AG$394,ROWS($AG$11:AG108)),"")</f>
        <v/>
      </c>
    </row>
    <row r="109" spans="1:34" x14ac:dyDescent="0.25">
      <c r="B109" s="1099" t="s">
        <v>400</v>
      </c>
      <c r="C109" s="1100"/>
      <c r="D109" s="1100"/>
      <c r="E109" s="1101"/>
      <c r="F109" s="233"/>
      <c r="H109" s="1099" t="s">
        <v>401</v>
      </c>
      <c r="I109" s="1100"/>
      <c r="J109" s="1100"/>
      <c r="K109" s="1101"/>
      <c r="L109" s="233"/>
      <c r="M109" s="1099" t="s">
        <v>195</v>
      </c>
      <c r="N109" s="1100"/>
      <c r="O109" s="1100"/>
      <c r="P109" s="1100"/>
      <c r="Q109" s="1101"/>
      <c r="S109" s="224" t="s">
        <v>48</v>
      </c>
      <c r="T109" s="700" t="s">
        <v>403</v>
      </c>
      <c r="U109" s="701" t="s">
        <v>402</v>
      </c>
      <c r="V109" s="701" t="s">
        <v>192</v>
      </c>
      <c r="W109" s="528" t="s">
        <v>172</v>
      </c>
      <c r="X109" s="197" t="s">
        <v>190</v>
      </c>
      <c r="Y109" s="718" t="s">
        <v>404</v>
      </c>
      <c r="Z109" s="719" t="s">
        <v>405</v>
      </c>
      <c r="AA109" s="719" t="s">
        <v>193</v>
      </c>
      <c r="AB109" s="528" t="s">
        <v>152</v>
      </c>
      <c r="AC109" s="197" t="s">
        <v>191</v>
      </c>
      <c r="AF109" s="157">
        <f>ROWS(AE$11:$AE109)</f>
        <v>99</v>
      </c>
      <c r="AG109" s="157" t="str">
        <f>IF(ID!$A$83=AE109,AF109,"")</f>
        <v/>
      </c>
      <c r="AH109" s="157" t="str">
        <f>IFERROR(SMALL($AG$11:$AG$394,ROWS($AG$11:AG109)),"")</f>
        <v/>
      </c>
    </row>
    <row r="110" spans="1:34" x14ac:dyDescent="0.25">
      <c r="A110" s="928" t="s">
        <v>520</v>
      </c>
      <c r="B110" s="207">
        <v>0</v>
      </c>
      <c r="C110" s="193">
        <v>0</v>
      </c>
      <c r="D110" s="948">
        <v>0</v>
      </c>
      <c r="E110" s="1108" t="s">
        <v>359</v>
      </c>
      <c r="F110" s="237"/>
      <c r="G110" s="928" t="s">
        <v>521</v>
      </c>
      <c r="H110" s="207">
        <v>0</v>
      </c>
      <c r="I110" s="193">
        <v>0</v>
      </c>
      <c r="J110" s="512">
        <v>0</v>
      </c>
      <c r="K110" s="1111" t="s">
        <v>524</v>
      </c>
      <c r="L110" s="237" t="s">
        <v>522</v>
      </c>
      <c r="M110" s="207">
        <v>0</v>
      </c>
      <c r="N110" s="193">
        <v>0</v>
      </c>
      <c r="O110" s="512">
        <v>0</v>
      </c>
      <c r="P110" s="199">
        <v>0.4</v>
      </c>
      <c r="Q110" s="1111" t="s">
        <v>580</v>
      </c>
      <c r="R110" s="236"/>
      <c r="S110" s="207">
        <v>0</v>
      </c>
      <c r="T110" s="702">
        <f>C110</f>
        <v>0</v>
      </c>
      <c r="U110" s="703">
        <f>I110</f>
        <v>0</v>
      </c>
      <c r="V110" s="703">
        <f>N110</f>
        <v>0</v>
      </c>
      <c r="W110" s="499">
        <f>0.5*(MAX(T110:V110)-MIN(T110:V110))</f>
        <v>0</v>
      </c>
      <c r="X110" s="199">
        <f>P110</f>
        <v>0.4</v>
      </c>
      <c r="Y110" s="720">
        <f>D110</f>
        <v>0</v>
      </c>
      <c r="Z110" s="721">
        <f>J110</f>
        <v>0</v>
      </c>
      <c r="AA110" s="721">
        <f>O110</f>
        <v>0</v>
      </c>
      <c r="AB110" s="499">
        <f>0.5*(MAX(Y110:AA110)-MIN(Y110:AA110))</f>
        <v>0</v>
      </c>
      <c r="AC110" s="198">
        <f>P110</f>
        <v>0.4</v>
      </c>
      <c r="AD110" s="9" t="s">
        <v>332</v>
      </c>
      <c r="AE110" s="4" t="s">
        <v>286</v>
      </c>
      <c r="AF110" s="157">
        <f>ROWS(AE$11:$AE110)</f>
        <v>100</v>
      </c>
      <c r="AG110" s="157" t="str">
        <f>IF(ID!$A$83=AE110,AF110,"")</f>
        <v/>
      </c>
      <c r="AH110" s="157" t="str">
        <f>IFERROR(SMALL($AG$11:$AG$394,ROWS($AG$11:AG110)),"")</f>
        <v/>
      </c>
    </row>
    <row r="111" spans="1:34" x14ac:dyDescent="0.25">
      <c r="B111" s="207">
        <v>50</v>
      </c>
      <c r="C111" s="193">
        <v>0.1</v>
      </c>
      <c r="D111" s="948">
        <v>0.1</v>
      </c>
      <c r="E111" s="1109"/>
      <c r="F111" s="237"/>
      <c r="H111" s="207">
        <v>50</v>
      </c>
      <c r="I111" s="193">
        <v>0.1</v>
      </c>
      <c r="J111" s="512">
        <v>0.3</v>
      </c>
      <c r="K111" s="1112"/>
      <c r="L111" s="237"/>
      <c r="M111" s="207">
        <v>50</v>
      </c>
      <c r="N111" s="193">
        <v>0.2</v>
      </c>
      <c r="O111" s="512">
        <v>0.5</v>
      </c>
      <c r="P111" s="199">
        <v>0.4</v>
      </c>
      <c r="Q111" s="1112"/>
      <c r="R111" s="236"/>
      <c r="S111" s="207">
        <v>50</v>
      </c>
      <c r="T111" s="702">
        <f t="shared" ref="T111:T116" si="59">C111</f>
        <v>0.1</v>
      </c>
      <c r="U111" s="703">
        <f t="shared" ref="U111:U116" si="60">I111</f>
        <v>0.1</v>
      </c>
      <c r="V111" s="703">
        <f t="shared" ref="V111:V116" si="61">N111</f>
        <v>0.2</v>
      </c>
      <c r="W111" s="499">
        <f t="shared" ref="W111:W116" si="62">0.5*(MAX(T111:V111)-MIN(T111:V111))</f>
        <v>0.05</v>
      </c>
      <c r="X111" s="199">
        <f t="shared" ref="X111:X116" si="63">P111</f>
        <v>0.4</v>
      </c>
      <c r="Y111" s="720">
        <f t="shared" ref="Y111:Y116" si="64">D111</f>
        <v>0.1</v>
      </c>
      <c r="Z111" s="721">
        <f t="shared" ref="Z111:Z116" si="65">J111</f>
        <v>0.3</v>
      </c>
      <c r="AA111" s="721">
        <f t="shared" ref="AA111:AA116" si="66">O111</f>
        <v>0.5</v>
      </c>
      <c r="AB111" s="499">
        <f t="shared" ref="AB111:AB116" si="67">0.5*(MAX(Y111:AA111)-MIN(Y111:AA111))</f>
        <v>0.2</v>
      </c>
      <c r="AC111" s="198">
        <f t="shared" ref="AC111:AC116" si="68">P111</f>
        <v>0.4</v>
      </c>
      <c r="AD111" s="9" t="s">
        <v>332</v>
      </c>
      <c r="AE111" s="4" t="s">
        <v>286</v>
      </c>
      <c r="AF111" s="157">
        <f>ROWS(AE$11:$AE111)</f>
        <v>101</v>
      </c>
      <c r="AG111" s="157" t="str">
        <f>IF(ID!$A$83=AE111,AF111,"")</f>
        <v/>
      </c>
      <c r="AH111" s="157" t="str">
        <f>IFERROR(SMALL($AG$11:$AG$394,ROWS($AG$11:AG111)),"")</f>
        <v/>
      </c>
    </row>
    <row r="112" spans="1:34" x14ac:dyDescent="0.25">
      <c r="B112" s="207">
        <v>100</v>
      </c>
      <c r="C112" s="193">
        <v>-0.2</v>
      </c>
      <c r="D112" s="948">
        <v>-0.2</v>
      </c>
      <c r="E112" s="1109"/>
      <c r="F112" s="237"/>
      <c r="H112" s="207">
        <v>100</v>
      </c>
      <c r="I112" s="193">
        <v>-0.1</v>
      </c>
      <c r="J112" s="512">
        <v>0</v>
      </c>
      <c r="K112" s="1112"/>
      <c r="L112" s="237"/>
      <c r="M112" s="207">
        <v>100</v>
      </c>
      <c r="N112" s="193">
        <v>0</v>
      </c>
      <c r="O112" s="512">
        <v>0.2</v>
      </c>
      <c r="P112" s="199">
        <v>0.4</v>
      </c>
      <c r="Q112" s="1112"/>
      <c r="R112" s="236"/>
      <c r="S112" s="207">
        <v>100</v>
      </c>
      <c r="T112" s="702">
        <f t="shared" si="59"/>
        <v>-0.2</v>
      </c>
      <c r="U112" s="703">
        <f t="shared" si="60"/>
        <v>-0.1</v>
      </c>
      <c r="V112" s="703">
        <f t="shared" si="61"/>
        <v>0</v>
      </c>
      <c r="W112" s="499">
        <f t="shared" si="62"/>
        <v>0.1</v>
      </c>
      <c r="X112" s="199">
        <f t="shared" si="63"/>
        <v>0.4</v>
      </c>
      <c r="Y112" s="720">
        <f t="shared" si="64"/>
        <v>-0.2</v>
      </c>
      <c r="Z112" s="721">
        <f t="shared" si="65"/>
        <v>0</v>
      </c>
      <c r="AA112" s="721">
        <f t="shared" si="66"/>
        <v>0.2</v>
      </c>
      <c r="AB112" s="499">
        <f t="shared" si="67"/>
        <v>0.2</v>
      </c>
      <c r="AC112" s="198">
        <f t="shared" si="68"/>
        <v>0.4</v>
      </c>
      <c r="AD112" s="9" t="s">
        <v>332</v>
      </c>
      <c r="AE112" s="4" t="s">
        <v>286</v>
      </c>
      <c r="AF112" s="157">
        <f>ROWS(AE$11:$AE112)</f>
        <v>102</v>
      </c>
      <c r="AG112" s="157" t="str">
        <f>IF(ID!$A$83=AE112,AF112,"")</f>
        <v/>
      </c>
      <c r="AH112" s="157" t="str">
        <f>IFERROR(SMALL($AG$11:$AG$394,ROWS($AG$11:AG112)),"")</f>
        <v/>
      </c>
    </row>
    <row r="113" spans="1:34" x14ac:dyDescent="0.25">
      <c r="B113" s="207">
        <v>150</v>
      </c>
      <c r="C113" s="193">
        <v>-0.2</v>
      </c>
      <c r="D113" s="948">
        <v>-0.2</v>
      </c>
      <c r="E113" s="1109"/>
      <c r="F113" s="237"/>
      <c r="H113" s="207">
        <v>150</v>
      </c>
      <c r="I113" s="193">
        <v>-0.1</v>
      </c>
      <c r="J113" s="512">
        <v>0</v>
      </c>
      <c r="K113" s="1112"/>
      <c r="L113" s="237"/>
      <c r="M113" s="207">
        <v>150</v>
      </c>
      <c r="N113" s="193">
        <v>-0.1</v>
      </c>
      <c r="O113" s="512">
        <v>0.4</v>
      </c>
      <c r="P113" s="199">
        <v>0.4</v>
      </c>
      <c r="Q113" s="1112"/>
      <c r="R113" s="236"/>
      <c r="S113" s="207">
        <v>150</v>
      </c>
      <c r="T113" s="702">
        <f t="shared" si="59"/>
        <v>-0.2</v>
      </c>
      <c r="U113" s="703">
        <f t="shared" si="60"/>
        <v>-0.1</v>
      </c>
      <c r="V113" s="703">
        <f t="shared" si="61"/>
        <v>-0.1</v>
      </c>
      <c r="W113" s="499">
        <f t="shared" si="62"/>
        <v>0.05</v>
      </c>
      <c r="X113" s="199">
        <f t="shared" si="63"/>
        <v>0.4</v>
      </c>
      <c r="Y113" s="720">
        <f t="shared" si="64"/>
        <v>-0.2</v>
      </c>
      <c r="Z113" s="721">
        <f t="shared" si="65"/>
        <v>0</v>
      </c>
      <c r="AA113" s="721">
        <f t="shared" si="66"/>
        <v>0.4</v>
      </c>
      <c r="AB113" s="499">
        <f t="shared" si="67"/>
        <v>0.30000000000000004</v>
      </c>
      <c r="AC113" s="198">
        <f t="shared" si="68"/>
        <v>0.4</v>
      </c>
      <c r="AD113" s="9" t="s">
        <v>332</v>
      </c>
      <c r="AE113" s="4" t="s">
        <v>286</v>
      </c>
      <c r="AF113" s="157">
        <f>ROWS(AE$11:$AE113)</f>
        <v>103</v>
      </c>
      <c r="AG113" s="157" t="str">
        <f>IF(ID!$A$83=AE113,AF113,"")</f>
        <v/>
      </c>
      <c r="AH113" s="157" t="str">
        <f>IFERROR(SMALL($AG$11:$AG$394,ROWS($AG$11:AG113)),"")</f>
        <v/>
      </c>
    </row>
    <row r="114" spans="1:34" x14ac:dyDescent="0.25">
      <c r="B114" s="207">
        <v>200</v>
      </c>
      <c r="C114" s="193">
        <v>-0.3</v>
      </c>
      <c r="D114" s="948">
        <v>-0.2</v>
      </c>
      <c r="E114" s="1109"/>
      <c r="F114" s="237"/>
      <c r="H114" s="207">
        <v>200</v>
      </c>
      <c r="I114" s="193">
        <v>-0.2</v>
      </c>
      <c r="J114" s="512">
        <v>-0.1</v>
      </c>
      <c r="K114" s="1112"/>
      <c r="L114" s="237"/>
      <c r="M114" s="207">
        <v>200</v>
      </c>
      <c r="N114" s="193">
        <v>-0.2</v>
      </c>
      <c r="O114" s="512">
        <v>0.3</v>
      </c>
      <c r="P114" s="199">
        <v>0.4</v>
      </c>
      <c r="Q114" s="1112"/>
      <c r="R114" s="236"/>
      <c r="S114" s="207">
        <v>200</v>
      </c>
      <c r="T114" s="702">
        <f t="shared" si="59"/>
        <v>-0.3</v>
      </c>
      <c r="U114" s="703">
        <f t="shared" si="60"/>
        <v>-0.2</v>
      </c>
      <c r="V114" s="703">
        <f t="shared" si="61"/>
        <v>-0.2</v>
      </c>
      <c r="W114" s="499">
        <f t="shared" si="62"/>
        <v>4.9999999999999989E-2</v>
      </c>
      <c r="X114" s="199">
        <f t="shared" si="63"/>
        <v>0.4</v>
      </c>
      <c r="Y114" s="720">
        <f t="shared" si="64"/>
        <v>-0.2</v>
      </c>
      <c r="Z114" s="721">
        <f t="shared" si="65"/>
        <v>-0.1</v>
      </c>
      <c r="AA114" s="721">
        <f t="shared" si="66"/>
        <v>0.3</v>
      </c>
      <c r="AB114" s="499">
        <f t="shared" si="67"/>
        <v>0.25</v>
      </c>
      <c r="AC114" s="198">
        <f t="shared" si="68"/>
        <v>0.4</v>
      </c>
      <c r="AD114" s="9" t="s">
        <v>332</v>
      </c>
      <c r="AE114" s="4" t="s">
        <v>286</v>
      </c>
      <c r="AF114" s="157">
        <f>ROWS(AE$11:$AE114)</f>
        <v>104</v>
      </c>
      <c r="AG114" s="157" t="str">
        <f>IF(ID!$A$83=AE114,AF114,"")</f>
        <v/>
      </c>
      <c r="AH114" s="157" t="str">
        <f>IFERROR(SMALL($AG$11:$AG$394,ROWS($AG$11:AG114)),"")</f>
        <v/>
      </c>
    </row>
    <row r="115" spans="1:34" x14ac:dyDescent="0.25">
      <c r="B115" s="207">
        <v>250</v>
      </c>
      <c r="C115" s="193">
        <v>-0.2</v>
      </c>
      <c r="D115" s="948">
        <v>-0.1</v>
      </c>
      <c r="E115" s="1109"/>
      <c r="F115" s="237"/>
      <c r="H115" s="207">
        <v>250</v>
      </c>
      <c r="I115" s="193">
        <v>-0.1</v>
      </c>
      <c r="J115" s="512">
        <v>-0.1</v>
      </c>
      <c r="K115" s="1112"/>
      <c r="L115" s="237"/>
      <c r="M115" s="207">
        <v>250</v>
      </c>
      <c r="N115" s="193">
        <v>-0.1</v>
      </c>
      <c r="O115" s="512">
        <v>0.4</v>
      </c>
      <c r="P115" s="199">
        <v>0.4</v>
      </c>
      <c r="Q115" s="1112"/>
      <c r="R115" s="236"/>
      <c r="S115" s="207">
        <v>250</v>
      </c>
      <c r="T115" s="702">
        <f t="shared" si="59"/>
        <v>-0.2</v>
      </c>
      <c r="U115" s="703">
        <f t="shared" si="60"/>
        <v>-0.1</v>
      </c>
      <c r="V115" s="703">
        <f t="shared" si="61"/>
        <v>-0.1</v>
      </c>
      <c r="W115" s="499">
        <f t="shared" si="62"/>
        <v>0.05</v>
      </c>
      <c r="X115" s="199">
        <f t="shared" si="63"/>
        <v>0.4</v>
      </c>
      <c r="Y115" s="720">
        <f t="shared" si="64"/>
        <v>-0.1</v>
      </c>
      <c r="Z115" s="721">
        <f t="shared" si="65"/>
        <v>-0.1</v>
      </c>
      <c r="AA115" s="721">
        <f t="shared" si="66"/>
        <v>0.4</v>
      </c>
      <c r="AB115" s="499">
        <f t="shared" si="67"/>
        <v>0.25</v>
      </c>
      <c r="AC115" s="198">
        <f t="shared" si="68"/>
        <v>0.4</v>
      </c>
      <c r="AD115" s="9" t="s">
        <v>332</v>
      </c>
      <c r="AE115" s="4" t="s">
        <v>286</v>
      </c>
      <c r="AF115" s="157">
        <f>ROWS(AE$11:$AE115)</f>
        <v>105</v>
      </c>
      <c r="AG115" s="157" t="str">
        <f>IF(ID!$A$83=AE115,AF115,"")</f>
        <v/>
      </c>
      <c r="AH115" s="157" t="str">
        <f>IFERROR(SMALL($AG$11:$AG$394,ROWS($AG$11:AG115)),"")</f>
        <v/>
      </c>
    </row>
    <row r="116" spans="1:34" x14ac:dyDescent="0.25">
      <c r="B116" s="207">
        <v>300</v>
      </c>
      <c r="C116" s="193">
        <v>-0.3</v>
      </c>
      <c r="D116" s="948">
        <v>-0.2</v>
      </c>
      <c r="E116" s="1110"/>
      <c r="F116" s="237"/>
      <c r="H116" s="207">
        <v>300</v>
      </c>
      <c r="I116" s="193">
        <v>0</v>
      </c>
      <c r="J116" s="512">
        <v>0.1</v>
      </c>
      <c r="K116" s="1113"/>
      <c r="L116" s="237"/>
      <c r="M116" s="207">
        <v>300</v>
      </c>
      <c r="N116" s="193">
        <v>-0.3</v>
      </c>
      <c r="O116" s="512">
        <v>0.3</v>
      </c>
      <c r="P116" s="199">
        <v>0.4</v>
      </c>
      <c r="Q116" s="1113"/>
      <c r="R116" s="236"/>
      <c r="S116" s="207">
        <v>300</v>
      </c>
      <c r="T116" s="702">
        <f t="shared" si="59"/>
        <v>-0.3</v>
      </c>
      <c r="U116" s="703">
        <f t="shared" si="60"/>
        <v>0</v>
      </c>
      <c r="V116" s="703">
        <f t="shared" si="61"/>
        <v>-0.3</v>
      </c>
      <c r="W116" s="499">
        <f t="shared" si="62"/>
        <v>0.15</v>
      </c>
      <c r="X116" s="199">
        <f t="shared" si="63"/>
        <v>0.4</v>
      </c>
      <c r="Y116" s="720">
        <f t="shared" si="64"/>
        <v>-0.2</v>
      </c>
      <c r="Z116" s="721">
        <f t="shared" si="65"/>
        <v>0.1</v>
      </c>
      <c r="AA116" s="721">
        <f t="shared" si="66"/>
        <v>0.3</v>
      </c>
      <c r="AB116" s="499">
        <f t="shared" si="67"/>
        <v>0.25</v>
      </c>
      <c r="AC116" s="198">
        <f t="shared" si="68"/>
        <v>0.4</v>
      </c>
      <c r="AD116" s="9" t="s">
        <v>332</v>
      </c>
      <c r="AE116" s="4" t="s">
        <v>286</v>
      </c>
      <c r="AF116" s="157">
        <f>ROWS(AE$11:$AE116)</f>
        <v>106</v>
      </c>
      <c r="AG116" s="157" t="str">
        <f>IF(ID!$A$83=AE116,AF116,"")</f>
        <v/>
      </c>
      <c r="AH116" s="157" t="str">
        <f>IFERROR(SMALL($AG$11:$AG$394,ROWS($AG$11:AG116)),"")</f>
        <v/>
      </c>
    </row>
    <row r="117" spans="1:34" x14ac:dyDescent="0.25">
      <c r="S117" s="230" t="s">
        <v>104</v>
      </c>
      <c r="T117" s="713"/>
      <c r="U117" s="714" t="s">
        <v>104</v>
      </c>
      <c r="V117" s="714"/>
      <c r="W117" s="534"/>
      <c r="X117" s="201" t="s">
        <v>104</v>
      </c>
      <c r="Y117" s="725"/>
      <c r="Z117" s="725"/>
      <c r="AA117" s="725"/>
      <c r="AB117" s="534"/>
      <c r="AC117" s="201"/>
      <c r="AD117" s="11"/>
      <c r="AE117" s="4"/>
      <c r="AF117" s="157">
        <f>ROWS(AE$11:$AE117)</f>
        <v>107</v>
      </c>
      <c r="AG117" s="157" t="str">
        <f>IF(ID!$A$83=AE117,AF117,"")</f>
        <v/>
      </c>
      <c r="AH117" s="157" t="str">
        <f>IFERROR(SMALL($AG$11:$AG$394,ROWS($AG$11:AG117)),"")</f>
        <v/>
      </c>
    </row>
    <row r="118" spans="1:34" x14ac:dyDescent="0.25">
      <c r="E118" s="13"/>
      <c r="F118" s="13"/>
      <c r="K118" s="13"/>
      <c r="L118" s="13"/>
      <c r="N118" s="13"/>
      <c r="O118" s="13"/>
      <c r="Q118" s="13"/>
      <c r="R118" s="13"/>
      <c r="S118" s="230" t="s">
        <v>104</v>
      </c>
      <c r="T118" s="713"/>
      <c r="U118" s="714" t="s">
        <v>104</v>
      </c>
      <c r="V118" s="714"/>
      <c r="W118" s="534"/>
      <c r="X118" s="201" t="s">
        <v>104</v>
      </c>
      <c r="Y118" s="725"/>
      <c r="Z118" s="725"/>
      <c r="AA118" s="725"/>
      <c r="AB118" s="534"/>
      <c r="AC118" s="201"/>
      <c r="AD118" s="11"/>
      <c r="AE118" s="4"/>
      <c r="AF118" s="157">
        <f>ROWS(AE$11:$AE118)</f>
        <v>108</v>
      </c>
      <c r="AG118" s="157" t="str">
        <f>IF(ID!$A$83=AE118,AF118,"")</f>
        <v/>
      </c>
      <c r="AH118" s="157" t="str">
        <f>IFERROR(SMALL($AG$11:$AG$394,ROWS($AG$11:AG118)),"")</f>
        <v/>
      </c>
    </row>
    <row r="119" spans="1:34" x14ac:dyDescent="0.25">
      <c r="S119" s="230" t="s">
        <v>104</v>
      </c>
      <c r="T119" s="713"/>
      <c r="U119" s="714" t="s">
        <v>104</v>
      </c>
      <c r="V119" s="714"/>
      <c r="W119" s="534"/>
      <c r="X119" s="201" t="s">
        <v>104</v>
      </c>
      <c r="Y119" s="725"/>
      <c r="Z119" s="725"/>
      <c r="AA119" s="725"/>
      <c r="AB119" s="534"/>
      <c r="AC119" s="201"/>
      <c r="AD119" s="11"/>
      <c r="AE119" s="4"/>
      <c r="AF119" s="157">
        <f>ROWS(AE$11:$AE119)</f>
        <v>109</v>
      </c>
      <c r="AG119" s="157" t="str">
        <f>IF(ID!$A$83=AE119,AF119,"")</f>
        <v/>
      </c>
      <c r="AH119" s="157" t="str">
        <f>IFERROR(SMALL($AG$11:$AG$394,ROWS($AG$11:AG119)),"")</f>
        <v/>
      </c>
    </row>
    <row r="120" spans="1:34" x14ac:dyDescent="0.25">
      <c r="S120" s="230" t="s">
        <v>104</v>
      </c>
      <c r="T120" s="713"/>
      <c r="U120" s="714" t="s">
        <v>104</v>
      </c>
      <c r="V120" s="714"/>
      <c r="W120" s="534"/>
      <c r="X120" s="201" t="s">
        <v>104</v>
      </c>
      <c r="Y120" s="725"/>
      <c r="Z120" s="725"/>
      <c r="AA120" s="725"/>
      <c r="AB120" s="534"/>
      <c r="AC120" s="201"/>
      <c r="AD120" s="11"/>
      <c r="AE120" s="4"/>
      <c r="AF120" s="157">
        <f>ROWS(AE$11:$AE120)</f>
        <v>110</v>
      </c>
      <c r="AG120" s="157" t="str">
        <f>IF(ID!$A$83=AE120,AF120,"")</f>
        <v/>
      </c>
      <c r="AH120" s="157" t="str">
        <f>IFERROR(SMALL($AG$11:$AG$394,ROWS($AG$11:AG120)),"")</f>
        <v/>
      </c>
    </row>
    <row r="121" spans="1:34" x14ac:dyDescent="0.25">
      <c r="E121" s="13"/>
      <c r="F121" s="13"/>
      <c r="K121" s="13"/>
      <c r="L121" s="13"/>
      <c r="N121" s="13"/>
      <c r="O121" s="13"/>
      <c r="Q121" s="13"/>
      <c r="R121" s="13"/>
      <c r="S121" s="231"/>
      <c r="AD121" s="13"/>
      <c r="AE121" s="13"/>
      <c r="AF121" s="157">
        <f>ROWS(AE$11:$AE121)</f>
        <v>111</v>
      </c>
      <c r="AG121" s="157" t="str">
        <f>IF(ID!$A$83=AE121,AF121,"")</f>
        <v/>
      </c>
      <c r="AH121" s="157" t="str">
        <f>IFERROR(SMALL($AG$11:$AG$394,ROWS($AG$11:AG121)),"")</f>
        <v/>
      </c>
    </row>
    <row r="122" spans="1:34" s="513" customFormat="1" x14ac:dyDescent="0.25">
      <c r="C122" s="519"/>
      <c r="D122" s="525"/>
      <c r="I122" s="519"/>
      <c r="J122" s="525"/>
      <c r="S122" s="514"/>
      <c r="T122" s="514"/>
      <c r="U122" s="514"/>
      <c r="V122" s="514"/>
      <c r="W122" s="514"/>
      <c r="X122" s="514"/>
      <c r="Y122" s="514"/>
      <c r="Z122" s="514"/>
      <c r="AA122" s="514"/>
      <c r="AB122" s="514"/>
      <c r="AF122" s="157">
        <f>ROWS(AE$11:$AE122)</f>
        <v>112</v>
      </c>
      <c r="AG122" s="157" t="str">
        <f>IF(ID!$A$83=AE122,AF122,"")</f>
        <v/>
      </c>
      <c r="AH122" s="157" t="str">
        <f>IFERROR(SMALL($AG$11:$AG$394,ROWS($AG$11:AG122)),"")</f>
        <v/>
      </c>
    </row>
    <row r="123" spans="1:34" s="513" customFormat="1" x14ac:dyDescent="0.25">
      <c r="C123" s="519"/>
      <c r="D123" s="525"/>
      <c r="I123" s="519"/>
      <c r="J123" s="525"/>
      <c r="S123" s="514"/>
      <c r="T123" s="514"/>
      <c r="U123" s="514"/>
      <c r="V123" s="514"/>
      <c r="W123" s="959" t="s">
        <v>545</v>
      </c>
      <c r="X123" s="10"/>
      <c r="Y123" s="717"/>
      <c r="Z123" s="717"/>
      <c r="AA123" s="717"/>
      <c r="AB123" s="959" t="s">
        <v>545</v>
      </c>
      <c r="AF123" s="157">
        <f>ROWS(AE$11:$AE123)</f>
        <v>113</v>
      </c>
      <c r="AG123" s="157" t="str">
        <f>IF(ID!$A$83=AE123,AF123,"")</f>
        <v/>
      </c>
      <c r="AH123" s="157" t="str">
        <f>IFERROR(SMALL($AG$11:$AG$394,ROWS($AG$11:AG123)),"")</f>
        <v/>
      </c>
    </row>
    <row r="124" spans="1:34" x14ac:dyDescent="0.25">
      <c r="B124" s="1099" t="s">
        <v>400</v>
      </c>
      <c r="C124" s="1100"/>
      <c r="D124" s="1100"/>
      <c r="E124" s="1101"/>
      <c r="F124" s="233"/>
      <c r="H124" s="1099" t="s">
        <v>401</v>
      </c>
      <c r="I124" s="1100"/>
      <c r="J124" s="1100"/>
      <c r="K124" s="1101"/>
      <c r="L124" s="233"/>
      <c r="M124" s="1099" t="s">
        <v>195</v>
      </c>
      <c r="N124" s="1100"/>
      <c r="O124" s="1100"/>
      <c r="P124" s="1100"/>
      <c r="Q124" s="1101"/>
      <c r="S124" s="224" t="s">
        <v>48</v>
      </c>
      <c r="T124" s="700" t="s">
        <v>403</v>
      </c>
      <c r="U124" s="701" t="s">
        <v>402</v>
      </c>
      <c r="V124" s="701" t="s">
        <v>192</v>
      </c>
      <c r="W124" s="528" t="s">
        <v>172</v>
      </c>
      <c r="X124" s="197" t="s">
        <v>190</v>
      </c>
      <c r="Y124" s="718" t="s">
        <v>404</v>
      </c>
      <c r="Z124" s="719" t="s">
        <v>405</v>
      </c>
      <c r="AA124" s="719" t="s">
        <v>193</v>
      </c>
      <c r="AB124" s="528" t="s">
        <v>152</v>
      </c>
      <c r="AC124" s="197" t="s">
        <v>191</v>
      </c>
      <c r="AF124" s="157">
        <f>ROWS(AE$11:$AE124)</f>
        <v>114</v>
      </c>
      <c r="AG124" s="157" t="str">
        <f>IF(ID!$A$83=AE124,AF124,"")</f>
        <v/>
      </c>
      <c r="AH124" s="157" t="str">
        <f>IFERROR(SMALL($AG$11:$AG$394,ROWS($AG$11:AG124)),"")</f>
        <v/>
      </c>
    </row>
    <row r="125" spans="1:34" x14ac:dyDescent="0.25">
      <c r="A125" s="928" t="s">
        <v>520</v>
      </c>
      <c r="B125" s="207">
        <v>0</v>
      </c>
      <c r="C125" s="193">
        <v>0</v>
      </c>
      <c r="D125" s="512">
        <v>0</v>
      </c>
      <c r="E125" s="1108" t="s">
        <v>359</v>
      </c>
      <c r="F125" s="237"/>
      <c r="G125" s="928" t="s">
        <v>521</v>
      </c>
      <c r="H125" s="207">
        <v>0</v>
      </c>
      <c r="I125" s="193">
        <v>0</v>
      </c>
      <c r="J125" s="512">
        <v>0</v>
      </c>
      <c r="K125" s="1108" t="s">
        <v>524</v>
      </c>
      <c r="L125" s="237" t="s">
        <v>522</v>
      </c>
      <c r="M125" s="207">
        <v>0</v>
      </c>
      <c r="N125" s="193">
        <v>0</v>
      </c>
      <c r="O125" s="512">
        <v>0</v>
      </c>
      <c r="P125" s="199">
        <v>0.4</v>
      </c>
      <c r="Q125" s="1111" t="s">
        <v>580</v>
      </c>
      <c r="R125" s="236"/>
      <c r="S125" s="207">
        <v>0</v>
      </c>
      <c r="T125" s="702">
        <f>C125</f>
        <v>0</v>
      </c>
      <c r="U125" s="703">
        <f>I125</f>
        <v>0</v>
      </c>
      <c r="V125" s="703">
        <f>N125</f>
        <v>0</v>
      </c>
      <c r="W125" s="499">
        <f>0.5*(MAX(T125:V125)-MIN(T125:V125))</f>
        <v>0</v>
      </c>
      <c r="X125" s="199">
        <f>P125</f>
        <v>0.4</v>
      </c>
      <c r="Y125" s="720">
        <f>D125</f>
        <v>0</v>
      </c>
      <c r="Z125" s="721">
        <f>J125</f>
        <v>0</v>
      </c>
      <c r="AA125" s="721">
        <f>O125</f>
        <v>0</v>
      </c>
      <c r="AB125" s="499">
        <f>0.5*(MAX(Y125:AA125)-MIN(Y125:AA125))</f>
        <v>0</v>
      </c>
      <c r="AC125" s="198">
        <f>P125</f>
        <v>0.4</v>
      </c>
      <c r="AD125" s="9" t="s">
        <v>332</v>
      </c>
      <c r="AE125" s="4" t="s">
        <v>459</v>
      </c>
      <c r="AF125" s="157">
        <f>ROWS(AE$11:$AE125)</f>
        <v>115</v>
      </c>
      <c r="AG125" s="157" t="str">
        <f>IF(ID!$A$83=AE125,AF125,"")</f>
        <v/>
      </c>
      <c r="AH125" s="157" t="str">
        <f>IFERROR(SMALL($AG$11:$AG$394,ROWS($AG$11:AG125)),"")</f>
        <v/>
      </c>
    </row>
    <row r="126" spans="1:34" x14ac:dyDescent="0.25">
      <c r="B126" s="207">
        <v>50</v>
      </c>
      <c r="C126" s="193">
        <v>0.1</v>
      </c>
      <c r="D126" s="512">
        <v>0.2</v>
      </c>
      <c r="E126" s="1109"/>
      <c r="F126" s="237"/>
      <c r="H126" s="207">
        <v>50</v>
      </c>
      <c r="I126" s="193">
        <v>0.1</v>
      </c>
      <c r="J126" s="512">
        <v>0.3</v>
      </c>
      <c r="K126" s="1109"/>
      <c r="L126" s="237"/>
      <c r="M126" s="207">
        <v>50</v>
      </c>
      <c r="N126" s="193">
        <v>0.1</v>
      </c>
      <c r="O126" s="512">
        <v>0.1</v>
      </c>
      <c r="P126" s="199">
        <v>0.4</v>
      </c>
      <c r="Q126" s="1112"/>
      <c r="R126" s="236"/>
      <c r="S126" s="207">
        <v>50</v>
      </c>
      <c r="T126" s="702">
        <f t="shared" ref="T126:T131" si="69">C126</f>
        <v>0.1</v>
      </c>
      <c r="U126" s="703">
        <f t="shared" ref="U126:U131" si="70">I126</f>
        <v>0.1</v>
      </c>
      <c r="V126" s="703">
        <f t="shared" ref="V126:V131" si="71">N126</f>
        <v>0.1</v>
      </c>
      <c r="W126" s="499">
        <f t="shared" ref="W126:W131" si="72">0.5*(MAX(T126:V126)-MIN(T126:V126))</f>
        <v>0</v>
      </c>
      <c r="X126" s="199">
        <f t="shared" ref="X126:X131" si="73">P126</f>
        <v>0.4</v>
      </c>
      <c r="Y126" s="720">
        <f t="shared" ref="Y126:Y131" si="74">D126</f>
        <v>0.2</v>
      </c>
      <c r="Z126" s="721">
        <f t="shared" ref="Z126:Z131" si="75">J126</f>
        <v>0.3</v>
      </c>
      <c r="AA126" s="721">
        <f t="shared" ref="AA126:AA131" si="76">O126</f>
        <v>0.1</v>
      </c>
      <c r="AB126" s="499">
        <f t="shared" ref="AB126:AB131" si="77">0.5*(MAX(Y126:AA126)-MIN(Y126:AA126))</f>
        <v>9.9999999999999992E-2</v>
      </c>
      <c r="AC126" s="198">
        <f t="shared" ref="AC126:AC131" si="78">P126</f>
        <v>0.4</v>
      </c>
      <c r="AD126" s="9" t="s">
        <v>332</v>
      </c>
      <c r="AE126" s="4" t="s">
        <v>459</v>
      </c>
      <c r="AF126" s="157">
        <f>ROWS(AE$11:$AE126)</f>
        <v>116</v>
      </c>
      <c r="AG126" s="157" t="str">
        <f>IF(ID!$A$83=AE126,AF126,"")</f>
        <v/>
      </c>
      <c r="AH126" s="157" t="str">
        <f>IFERROR(SMALL($AG$11:$AG$394,ROWS($AG$11:AG126)),"")</f>
        <v/>
      </c>
    </row>
    <row r="127" spans="1:34" x14ac:dyDescent="0.25">
      <c r="B127" s="207">
        <v>100</v>
      </c>
      <c r="C127" s="193">
        <v>-0.2</v>
      </c>
      <c r="D127" s="512">
        <v>-0.1</v>
      </c>
      <c r="E127" s="1109"/>
      <c r="F127" s="237"/>
      <c r="H127" s="207">
        <v>100</v>
      </c>
      <c r="I127" s="193">
        <v>-0.1</v>
      </c>
      <c r="J127" s="512">
        <v>-0.1</v>
      </c>
      <c r="K127" s="1109"/>
      <c r="L127" s="237"/>
      <c r="M127" s="207">
        <v>100</v>
      </c>
      <c r="N127" s="193">
        <v>-0.1</v>
      </c>
      <c r="O127" s="512">
        <v>0.3</v>
      </c>
      <c r="P127" s="199">
        <v>0.4</v>
      </c>
      <c r="Q127" s="1112"/>
      <c r="R127" s="236"/>
      <c r="S127" s="207">
        <v>100</v>
      </c>
      <c r="T127" s="702">
        <f t="shared" si="69"/>
        <v>-0.2</v>
      </c>
      <c r="U127" s="703">
        <f t="shared" si="70"/>
        <v>-0.1</v>
      </c>
      <c r="V127" s="703">
        <f t="shared" si="71"/>
        <v>-0.1</v>
      </c>
      <c r="W127" s="499">
        <f t="shared" si="72"/>
        <v>0.05</v>
      </c>
      <c r="X127" s="199">
        <f t="shared" si="73"/>
        <v>0.4</v>
      </c>
      <c r="Y127" s="720">
        <f t="shared" si="74"/>
        <v>-0.1</v>
      </c>
      <c r="Z127" s="721">
        <f t="shared" si="75"/>
        <v>-0.1</v>
      </c>
      <c r="AA127" s="721">
        <f t="shared" si="76"/>
        <v>0.3</v>
      </c>
      <c r="AB127" s="499">
        <f t="shared" si="77"/>
        <v>0.2</v>
      </c>
      <c r="AC127" s="198">
        <f t="shared" si="78"/>
        <v>0.4</v>
      </c>
      <c r="AD127" s="9" t="s">
        <v>332</v>
      </c>
      <c r="AE127" s="4" t="s">
        <v>459</v>
      </c>
      <c r="AF127" s="157">
        <f>ROWS(AE$11:$AE127)</f>
        <v>117</v>
      </c>
      <c r="AG127" s="157" t="str">
        <f>IF(ID!$A$83=AE127,AF127,"")</f>
        <v/>
      </c>
      <c r="AH127" s="157" t="str">
        <f>IFERROR(SMALL($AG$11:$AG$394,ROWS($AG$11:AG127)),"")</f>
        <v/>
      </c>
    </row>
    <row r="128" spans="1:34" x14ac:dyDescent="0.25">
      <c r="B128" s="207">
        <v>150</v>
      </c>
      <c r="C128" s="193">
        <v>-0.2</v>
      </c>
      <c r="D128" s="512">
        <v>-0.1</v>
      </c>
      <c r="E128" s="1109"/>
      <c r="F128" s="237"/>
      <c r="H128" s="207">
        <v>150</v>
      </c>
      <c r="I128" s="193">
        <v>-0.2</v>
      </c>
      <c r="J128" s="512">
        <v>-0.1</v>
      </c>
      <c r="K128" s="1109"/>
      <c r="L128" s="237"/>
      <c r="M128" s="207">
        <v>150</v>
      </c>
      <c r="N128" s="193">
        <v>-0.2</v>
      </c>
      <c r="O128" s="512">
        <v>0.3</v>
      </c>
      <c r="P128" s="199">
        <v>0.4</v>
      </c>
      <c r="Q128" s="1112"/>
      <c r="R128" s="236"/>
      <c r="S128" s="207">
        <v>150</v>
      </c>
      <c r="T128" s="702">
        <f t="shared" si="69"/>
        <v>-0.2</v>
      </c>
      <c r="U128" s="703">
        <f t="shared" si="70"/>
        <v>-0.2</v>
      </c>
      <c r="V128" s="703">
        <f t="shared" si="71"/>
        <v>-0.2</v>
      </c>
      <c r="W128" s="499">
        <f t="shared" si="72"/>
        <v>0</v>
      </c>
      <c r="X128" s="199">
        <f t="shared" si="73"/>
        <v>0.4</v>
      </c>
      <c r="Y128" s="720">
        <f t="shared" si="74"/>
        <v>-0.1</v>
      </c>
      <c r="Z128" s="721">
        <f t="shared" si="75"/>
        <v>-0.1</v>
      </c>
      <c r="AA128" s="721">
        <f t="shared" si="76"/>
        <v>0.3</v>
      </c>
      <c r="AB128" s="499">
        <f t="shared" si="77"/>
        <v>0.2</v>
      </c>
      <c r="AC128" s="198">
        <f t="shared" si="78"/>
        <v>0.4</v>
      </c>
      <c r="AD128" s="9" t="s">
        <v>332</v>
      </c>
      <c r="AE128" s="4" t="s">
        <v>459</v>
      </c>
      <c r="AF128" s="157">
        <f>ROWS(AE$11:$AE128)</f>
        <v>118</v>
      </c>
      <c r="AG128" s="157" t="str">
        <f>IF(ID!$A$83=AE128,AF128,"")</f>
        <v/>
      </c>
      <c r="AH128" s="157" t="str">
        <f>IFERROR(SMALL($AG$11:$AG$394,ROWS($AG$11:AG128)),"")</f>
        <v/>
      </c>
    </row>
    <row r="129" spans="2:34" x14ac:dyDescent="0.25">
      <c r="B129" s="207">
        <v>200</v>
      </c>
      <c r="C129" s="193">
        <v>-0.5</v>
      </c>
      <c r="D129" s="512">
        <v>-0.3</v>
      </c>
      <c r="E129" s="1109"/>
      <c r="F129" s="237"/>
      <c r="H129" s="207">
        <v>200</v>
      </c>
      <c r="I129" s="193">
        <v>-0.4</v>
      </c>
      <c r="J129" s="512">
        <v>-0.3</v>
      </c>
      <c r="K129" s="1109"/>
      <c r="L129" s="237"/>
      <c r="M129" s="207">
        <v>200</v>
      </c>
      <c r="N129" s="193">
        <v>-0.6</v>
      </c>
      <c r="O129" s="512">
        <v>-0.1</v>
      </c>
      <c r="P129" s="199">
        <v>0.4</v>
      </c>
      <c r="Q129" s="1112"/>
      <c r="R129" s="236"/>
      <c r="S129" s="207">
        <v>200</v>
      </c>
      <c r="T129" s="702">
        <f t="shared" si="69"/>
        <v>-0.5</v>
      </c>
      <c r="U129" s="703">
        <f t="shared" si="70"/>
        <v>-0.4</v>
      </c>
      <c r="V129" s="703">
        <f t="shared" si="71"/>
        <v>-0.6</v>
      </c>
      <c r="W129" s="499">
        <f t="shared" si="72"/>
        <v>9.9999999999999978E-2</v>
      </c>
      <c r="X129" s="199">
        <f t="shared" si="73"/>
        <v>0.4</v>
      </c>
      <c r="Y129" s="720">
        <f t="shared" si="74"/>
        <v>-0.3</v>
      </c>
      <c r="Z129" s="721">
        <f t="shared" si="75"/>
        <v>-0.3</v>
      </c>
      <c r="AA129" s="721">
        <f t="shared" si="76"/>
        <v>-0.1</v>
      </c>
      <c r="AB129" s="499">
        <f t="shared" si="77"/>
        <v>9.9999999999999992E-2</v>
      </c>
      <c r="AC129" s="198">
        <f t="shared" si="78"/>
        <v>0.4</v>
      </c>
      <c r="AD129" s="9" t="s">
        <v>332</v>
      </c>
      <c r="AE129" s="4" t="s">
        <v>459</v>
      </c>
      <c r="AF129" s="157">
        <f>ROWS(AE$11:$AE129)</f>
        <v>119</v>
      </c>
      <c r="AG129" s="157" t="str">
        <f>IF(ID!$A$83=AE129,AF129,"")</f>
        <v/>
      </c>
      <c r="AH129" s="157" t="str">
        <f>IFERROR(SMALL($AG$11:$AG$394,ROWS($AG$11:AG129)),"")</f>
        <v/>
      </c>
    </row>
    <row r="130" spans="2:34" x14ac:dyDescent="0.25">
      <c r="B130" s="207">
        <v>250</v>
      </c>
      <c r="C130" s="193">
        <v>-0.3</v>
      </c>
      <c r="D130" s="512">
        <v>-0.2</v>
      </c>
      <c r="E130" s="1109"/>
      <c r="F130" s="237"/>
      <c r="H130" s="207">
        <v>250</v>
      </c>
      <c r="I130" s="193">
        <v>-0.3</v>
      </c>
      <c r="J130" s="512">
        <v>-0.2</v>
      </c>
      <c r="K130" s="1109"/>
      <c r="L130" s="237"/>
      <c r="M130" s="207">
        <v>250</v>
      </c>
      <c r="N130" s="193">
        <v>-0.4</v>
      </c>
      <c r="O130" s="512">
        <v>0</v>
      </c>
      <c r="P130" s="199">
        <v>0.4</v>
      </c>
      <c r="Q130" s="1112"/>
      <c r="R130" s="236"/>
      <c r="S130" s="207">
        <v>250</v>
      </c>
      <c r="T130" s="702">
        <f t="shared" si="69"/>
        <v>-0.3</v>
      </c>
      <c r="U130" s="703">
        <f t="shared" si="70"/>
        <v>-0.3</v>
      </c>
      <c r="V130" s="703">
        <f t="shared" si="71"/>
        <v>-0.4</v>
      </c>
      <c r="W130" s="499">
        <f t="shared" si="72"/>
        <v>5.0000000000000017E-2</v>
      </c>
      <c r="X130" s="199">
        <f t="shared" si="73"/>
        <v>0.4</v>
      </c>
      <c r="Y130" s="720">
        <f t="shared" si="74"/>
        <v>-0.2</v>
      </c>
      <c r="Z130" s="721">
        <f t="shared" si="75"/>
        <v>-0.2</v>
      </c>
      <c r="AA130" s="721">
        <f t="shared" si="76"/>
        <v>0</v>
      </c>
      <c r="AB130" s="499">
        <f t="shared" si="77"/>
        <v>0.1</v>
      </c>
      <c r="AC130" s="198">
        <f t="shared" si="78"/>
        <v>0.4</v>
      </c>
      <c r="AD130" s="9" t="s">
        <v>332</v>
      </c>
      <c r="AE130" s="4" t="s">
        <v>459</v>
      </c>
      <c r="AF130" s="157">
        <f>ROWS(AE$11:$AE130)</f>
        <v>120</v>
      </c>
      <c r="AG130" s="157" t="str">
        <f>IF(ID!$A$83=AE130,AF130,"")</f>
        <v/>
      </c>
      <c r="AH130" s="157" t="str">
        <f>IFERROR(SMALL($AG$11:$AG$394,ROWS($AG$11:AG130)),"")</f>
        <v/>
      </c>
    </row>
    <row r="131" spans="2:34" x14ac:dyDescent="0.25">
      <c r="B131" s="207">
        <v>300</v>
      </c>
      <c r="C131" s="193">
        <v>-0.2</v>
      </c>
      <c r="D131" s="512">
        <v>-0.1</v>
      </c>
      <c r="E131" s="1110"/>
      <c r="F131" s="237"/>
      <c r="H131" s="207">
        <v>300</v>
      </c>
      <c r="I131" s="193">
        <v>-0.2</v>
      </c>
      <c r="J131" s="512">
        <v>-0.1</v>
      </c>
      <c r="K131" s="1110"/>
      <c r="L131" s="237"/>
      <c r="M131" s="207">
        <v>300</v>
      </c>
      <c r="N131" s="193">
        <v>-0.2</v>
      </c>
      <c r="O131" s="512">
        <v>0.2</v>
      </c>
      <c r="P131" s="199">
        <v>0.4</v>
      </c>
      <c r="Q131" s="1113"/>
      <c r="R131" s="236"/>
      <c r="S131" s="207">
        <v>300</v>
      </c>
      <c r="T131" s="702">
        <f t="shared" si="69"/>
        <v>-0.2</v>
      </c>
      <c r="U131" s="703">
        <f t="shared" si="70"/>
        <v>-0.2</v>
      </c>
      <c r="V131" s="703">
        <f t="shared" si="71"/>
        <v>-0.2</v>
      </c>
      <c r="W131" s="499">
        <f t="shared" si="72"/>
        <v>0</v>
      </c>
      <c r="X131" s="199">
        <f t="shared" si="73"/>
        <v>0.4</v>
      </c>
      <c r="Y131" s="720">
        <f t="shared" si="74"/>
        <v>-0.1</v>
      </c>
      <c r="Z131" s="721">
        <f t="shared" si="75"/>
        <v>-0.1</v>
      </c>
      <c r="AA131" s="721">
        <f t="shared" si="76"/>
        <v>0.2</v>
      </c>
      <c r="AB131" s="499">
        <f t="shared" si="77"/>
        <v>0.15000000000000002</v>
      </c>
      <c r="AC131" s="198">
        <f t="shared" si="78"/>
        <v>0.4</v>
      </c>
      <c r="AD131" s="9" t="s">
        <v>332</v>
      </c>
      <c r="AE131" s="4" t="s">
        <v>459</v>
      </c>
      <c r="AF131" s="157">
        <f>ROWS(AE$11:$AE131)</f>
        <v>121</v>
      </c>
      <c r="AG131" s="157" t="str">
        <f>IF(ID!$A$83=AE131,AF131,"")</f>
        <v/>
      </c>
      <c r="AH131" s="157" t="str">
        <f>IFERROR(SMALL($AG$11:$AG$394,ROWS($AG$11:AG131)),"")</f>
        <v/>
      </c>
    </row>
    <row r="132" spans="2:34" x14ac:dyDescent="0.25">
      <c r="S132" s="230" t="s">
        <v>104</v>
      </c>
      <c r="T132" s="713"/>
      <c r="U132" s="714" t="s">
        <v>104</v>
      </c>
      <c r="V132" s="714"/>
      <c r="W132" s="534"/>
      <c r="X132" s="201" t="s">
        <v>104</v>
      </c>
      <c r="Y132" s="725"/>
      <c r="Z132" s="725"/>
      <c r="AA132" s="725"/>
      <c r="AB132" s="534"/>
      <c r="AC132" s="201"/>
      <c r="AD132" s="11"/>
      <c r="AE132" s="4"/>
      <c r="AF132" s="157">
        <f>ROWS(AE$11:$AE132)</f>
        <v>122</v>
      </c>
      <c r="AG132" s="157" t="str">
        <f>IF(ID!$A$83=AE132,AF132,"")</f>
        <v/>
      </c>
      <c r="AH132" s="157" t="str">
        <f>IFERROR(SMALL($AG$11:$AG$394,ROWS($AG$11:AG132)),"")</f>
        <v/>
      </c>
    </row>
    <row r="133" spans="2:34" x14ac:dyDescent="0.25">
      <c r="E133" s="13"/>
      <c r="F133" s="13"/>
      <c r="K133" s="13"/>
      <c r="L133" s="13"/>
      <c r="N133" s="13"/>
      <c r="O133" s="13"/>
      <c r="Q133" s="13"/>
      <c r="R133" s="13"/>
      <c r="S133" s="230" t="s">
        <v>104</v>
      </c>
      <c r="T133" s="713"/>
      <c r="U133" s="714" t="s">
        <v>104</v>
      </c>
      <c r="V133" s="714"/>
      <c r="W133" s="534"/>
      <c r="X133" s="201" t="s">
        <v>104</v>
      </c>
      <c r="Y133" s="725"/>
      <c r="Z133" s="725"/>
      <c r="AA133" s="725"/>
      <c r="AB133" s="534"/>
      <c r="AC133" s="201"/>
      <c r="AD133" s="11"/>
      <c r="AE133" s="4"/>
      <c r="AF133" s="157">
        <f>ROWS(AE$11:$AE133)</f>
        <v>123</v>
      </c>
      <c r="AG133" s="157" t="str">
        <f>IF(ID!$A$83=AE133,AF133,"")</f>
        <v/>
      </c>
      <c r="AH133" s="157" t="str">
        <f>IFERROR(SMALL($AG$11:$AG$394,ROWS($AG$11:AG133)),"")</f>
        <v/>
      </c>
    </row>
    <row r="134" spans="2:34" x14ac:dyDescent="0.25">
      <c r="S134" s="230" t="s">
        <v>104</v>
      </c>
      <c r="T134" s="713"/>
      <c r="U134" s="714" t="s">
        <v>104</v>
      </c>
      <c r="V134" s="714"/>
      <c r="W134" s="534"/>
      <c r="X134" s="201" t="s">
        <v>104</v>
      </c>
      <c r="Y134" s="725"/>
      <c r="Z134" s="725"/>
      <c r="AA134" s="725"/>
      <c r="AB134" s="534"/>
      <c r="AC134" s="201"/>
      <c r="AD134" s="11"/>
      <c r="AE134" s="4"/>
      <c r="AF134" s="157">
        <f>ROWS(AE$11:$AE134)</f>
        <v>124</v>
      </c>
      <c r="AG134" s="157" t="str">
        <f>IF(ID!$A$83=AE134,AF134,"")</f>
        <v/>
      </c>
      <c r="AH134" s="157" t="str">
        <f>IFERROR(SMALL($AG$11:$AG$394,ROWS($AG$11:AG134)),"")</f>
        <v/>
      </c>
    </row>
    <row r="135" spans="2:34" x14ac:dyDescent="0.25">
      <c r="S135" s="230" t="s">
        <v>104</v>
      </c>
      <c r="T135" s="713"/>
      <c r="U135" s="714" t="s">
        <v>104</v>
      </c>
      <c r="V135" s="714"/>
      <c r="W135" s="534"/>
      <c r="X135" s="201" t="s">
        <v>104</v>
      </c>
      <c r="Y135" s="725"/>
      <c r="Z135" s="725"/>
      <c r="AA135" s="725"/>
      <c r="AB135" s="534"/>
      <c r="AC135" s="201"/>
      <c r="AD135" s="11"/>
      <c r="AE135" s="4"/>
      <c r="AF135" s="157">
        <f>ROWS(AE$11:$AE135)</f>
        <v>125</v>
      </c>
      <c r="AG135" s="157" t="str">
        <f>IF(ID!$A$83=AE135,AF135,"")</f>
        <v/>
      </c>
      <c r="AH135" s="157" t="str">
        <f>IFERROR(SMALL($AG$11:$AG$394,ROWS($AG$11:AG135)),"")</f>
        <v/>
      </c>
    </row>
    <row r="136" spans="2:34" x14ac:dyDescent="0.25">
      <c r="E136" s="13"/>
      <c r="F136" s="13"/>
      <c r="K136" s="13"/>
      <c r="L136" s="13"/>
      <c r="N136" s="13"/>
      <c r="O136" s="13"/>
      <c r="Q136" s="13"/>
      <c r="R136" s="13"/>
      <c r="S136" s="231"/>
      <c r="AD136" s="13"/>
      <c r="AE136" s="13"/>
      <c r="AF136" s="157">
        <f>ROWS(AE$11:$AE136)</f>
        <v>126</v>
      </c>
      <c r="AG136" s="157" t="str">
        <f>IF(ID!$A$83=AE136,AF136,"")</f>
        <v/>
      </c>
      <c r="AH136" s="157" t="str">
        <f>IFERROR(SMALL($AG$11:$AG$394,ROWS($AG$11:AG136)),"")</f>
        <v/>
      </c>
    </row>
    <row r="137" spans="2:34" s="513" customFormat="1" x14ac:dyDescent="0.25">
      <c r="C137" s="519"/>
      <c r="D137" s="525"/>
      <c r="I137" s="519"/>
      <c r="J137" s="525"/>
      <c r="S137" s="514"/>
      <c r="T137" s="514"/>
      <c r="U137" s="514"/>
      <c r="V137" s="514"/>
      <c r="W137" s="514"/>
      <c r="X137" s="514"/>
      <c r="Y137" s="514"/>
      <c r="Z137" s="514"/>
      <c r="AA137" s="514"/>
      <c r="AB137" s="529"/>
      <c r="AF137" s="157">
        <f>ROWS(AE$11:$AE137)</f>
        <v>127</v>
      </c>
      <c r="AG137" s="157" t="str">
        <f>IF(ID!$A$83=AE137,AF137,"")</f>
        <v/>
      </c>
      <c r="AH137" s="157" t="str">
        <f>IFERROR(SMALL($AG$11:$AG$394,ROWS($AG$11:AG137)),"")</f>
        <v/>
      </c>
    </row>
    <row r="138" spans="2:34" s="513" customFormat="1" x14ac:dyDescent="0.25">
      <c r="C138" s="519"/>
      <c r="D138" s="525"/>
      <c r="I138" s="519"/>
      <c r="J138" s="525"/>
      <c r="S138" s="514"/>
      <c r="T138" s="514"/>
      <c r="U138" s="514"/>
      <c r="V138" s="514"/>
      <c r="W138" s="959" t="s">
        <v>545</v>
      </c>
      <c r="X138" s="10"/>
      <c r="Y138" s="717"/>
      <c r="Z138" s="717"/>
      <c r="AA138" s="717"/>
      <c r="AB138" s="959" t="s">
        <v>545</v>
      </c>
      <c r="AF138" s="157">
        <f>ROWS(AE$11:$AE138)</f>
        <v>128</v>
      </c>
      <c r="AG138" s="157" t="str">
        <f>IF(ID!$A$83=AE138,AF138,"")</f>
        <v/>
      </c>
      <c r="AH138" s="157" t="str">
        <f>IFERROR(SMALL($AG$11:$AG$394,ROWS($AG$11:AG138)),"")</f>
        <v/>
      </c>
    </row>
    <row r="139" spans="2:34" x14ac:dyDescent="0.25">
      <c r="B139" s="1099" t="s">
        <v>400</v>
      </c>
      <c r="C139" s="1100"/>
      <c r="D139" s="1100"/>
      <c r="E139" s="1101"/>
      <c r="F139" s="233"/>
      <c r="H139" s="1099" t="s">
        <v>401</v>
      </c>
      <c r="I139" s="1100"/>
      <c r="J139" s="1100"/>
      <c r="K139" s="1101"/>
      <c r="L139" s="233"/>
      <c r="M139" s="1099" t="s">
        <v>195</v>
      </c>
      <c r="N139" s="1100"/>
      <c r="O139" s="1100"/>
      <c r="P139" s="1100"/>
      <c r="Q139" s="1101"/>
      <c r="S139" s="224" t="s">
        <v>48</v>
      </c>
      <c r="T139" s="700" t="s">
        <v>403</v>
      </c>
      <c r="U139" s="701" t="s">
        <v>402</v>
      </c>
      <c r="V139" s="701" t="s">
        <v>192</v>
      </c>
      <c r="W139" s="528" t="s">
        <v>172</v>
      </c>
      <c r="X139" s="197" t="s">
        <v>190</v>
      </c>
      <c r="Y139" s="718" t="s">
        <v>404</v>
      </c>
      <c r="Z139" s="719" t="s">
        <v>405</v>
      </c>
      <c r="AA139" s="719" t="s">
        <v>193</v>
      </c>
      <c r="AB139" s="528" t="s">
        <v>152</v>
      </c>
      <c r="AC139" s="197" t="s">
        <v>191</v>
      </c>
      <c r="AF139" s="157">
        <f>ROWS(AE$11:$AE139)</f>
        <v>129</v>
      </c>
      <c r="AG139" s="157" t="str">
        <f>IF(ID!$A$83=AE139,AF139,"")</f>
        <v/>
      </c>
      <c r="AH139" s="157" t="str">
        <f>IFERROR(SMALL($AG$11:$AG$394,ROWS($AG$11:AG139)),"")</f>
        <v/>
      </c>
    </row>
    <row r="140" spans="2:34" x14ac:dyDescent="0.25">
      <c r="B140" s="207">
        <v>0</v>
      </c>
      <c r="C140" s="193">
        <v>0</v>
      </c>
      <c r="D140" s="512">
        <v>0</v>
      </c>
      <c r="E140" s="1111" t="s">
        <v>410</v>
      </c>
      <c r="F140" s="237"/>
      <c r="H140" s="207">
        <v>0</v>
      </c>
      <c r="I140" s="193">
        <v>0</v>
      </c>
      <c r="J140" s="512">
        <v>0</v>
      </c>
      <c r="K140" s="1108" t="s">
        <v>605</v>
      </c>
      <c r="L140" s="237"/>
      <c r="M140" s="207">
        <v>0</v>
      </c>
      <c r="N140" s="193">
        <v>0</v>
      </c>
      <c r="O140" s="512">
        <v>0</v>
      </c>
      <c r="P140" s="199">
        <v>0.4</v>
      </c>
      <c r="Q140" s="1111" t="s">
        <v>581</v>
      </c>
      <c r="R140" s="236"/>
      <c r="S140" s="207">
        <v>0</v>
      </c>
      <c r="T140" s="702">
        <f>C140</f>
        <v>0</v>
      </c>
      <c r="U140" s="703">
        <f>I140</f>
        <v>0</v>
      </c>
      <c r="V140" s="703">
        <f>N140</f>
        <v>0</v>
      </c>
      <c r="W140" s="499">
        <f>0.5*(MAX(T140:V140)-MIN(T140:V140))</f>
        <v>0</v>
      </c>
      <c r="X140" s="199">
        <f>P140</f>
        <v>0.4</v>
      </c>
      <c r="Y140" s="720">
        <f>D140</f>
        <v>0</v>
      </c>
      <c r="Z140" s="721">
        <f>J140</f>
        <v>0</v>
      </c>
      <c r="AA140" s="721">
        <f>O140</f>
        <v>0</v>
      </c>
      <c r="AB140" s="499">
        <f>0.5*(MAX(Y140:AA140)-MIN(Y140:AA140))</f>
        <v>0</v>
      </c>
      <c r="AC140" s="198">
        <f>P140</f>
        <v>0.4</v>
      </c>
      <c r="AD140" s="9" t="s">
        <v>332</v>
      </c>
      <c r="AE140" s="4" t="s">
        <v>460</v>
      </c>
      <c r="AF140" s="157">
        <f>ROWS(AE$11:$AE140)</f>
        <v>130</v>
      </c>
      <c r="AG140" s="157">
        <f>IF(ID!$A$83=AE140,AF140,"")</f>
        <v>130</v>
      </c>
      <c r="AH140" s="157" t="str">
        <f>IFERROR(SMALL($AG$11:$AG$394,ROWS($AG$11:AG140)),"")</f>
        <v/>
      </c>
    </row>
    <row r="141" spans="2:34" x14ac:dyDescent="0.25">
      <c r="B141" s="207">
        <v>50</v>
      </c>
      <c r="C141" s="193">
        <v>-0.1</v>
      </c>
      <c r="D141" s="512">
        <v>-0.1</v>
      </c>
      <c r="E141" s="1112"/>
      <c r="F141" s="237"/>
      <c r="H141" s="207">
        <v>50</v>
      </c>
      <c r="I141" s="193">
        <v>0.1</v>
      </c>
      <c r="J141" s="512">
        <v>0.2</v>
      </c>
      <c r="K141" s="1109"/>
      <c r="L141" s="237"/>
      <c r="M141" s="207">
        <v>50</v>
      </c>
      <c r="N141" s="193">
        <v>-0.1</v>
      </c>
      <c r="O141" s="512">
        <v>-0.3</v>
      </c>
      <c r="P141" s="199">
        <v>0.4</v>
      </c>
      <c r="Q141" s="1112"/>
      <c r="R141" s="236"/>
      <c r="S141" s="207">
        <v>50</v>
      </c>
      <c r="T141" s="702">
        <f t="shared" ref="T141:T146" si="79">C141</f>
        <v>-0.1</v>
      </c>
      <c r="U141" s="703">
        <f t="shared" ref="U141:U146" si="80">I141</f>
        <v>0.1</v>
      </c>
      <c r="V141" s="703">
        <f t="shared" ref="V141:V146" si="81">N141</f>
        <v>-0.1</v>
      </c>
      <c r="W141" s="499">
        <f t="shared" ref="W141:W146" si="82">0.5*(MAX(T141:V141)-MIN(T141:V141))</f>
        <v>0.1</v>
      </c>
      <c r="X141" s="199">
        <f t="shared" ref="X141:X146" si="83">P141</f>
        <v>0.4</v>
      </c>
      <c r="Y141" s="720">
        <f t="shared" ref="Y141:Y146" si="84">D141</f>
        <v>-0.1</v>
      </c>
      <c r="Z141" s="721">
        <f t="shared" ref="Z141:Z146" si="85">J141</f>
        <v>0.2</v>
      </c>
      <c r="AA141" s="721">
        <f t="shared" ref="AA141:AA146" si="86">O141</f>
        <v>-0.3</v>
      </c>
      <c r="AB141" s="499">
        <f t="shared" ref="AB141:AB146" si="87">0.5*(MAX(Y141:AA141)-MIN(Y141:AA141))</f>
        <v>0.25</v>
      </c>
      <c r="AC141" s="198">
        <f t="shared" ref="AC141:AC146" si="88">P141</f>
        <v>0.4</v>
      </c>
      <c r="AD141" s="9" t="s">
        <v>332</v>
      </c>
      <c r="AE141" s="4" t="s">
        <v>460</v>
      </c>
      <c r="AF141" s="157">
        <f>ROWS(AE$11:$AE141)</f>
        <v>131</v>
      </c>
      <c r="AG141" s="157">
        <f>IF(ID!$A$83=AE141,AF141,"")</f>
        <v>131</v>
      </c>
      <c r="AH141" s="157" t="str">
        <f>IFERROR(SMALL($AG$11:$AG$394,ROWS($AG$11:AG141)),"")</f>
        <v/>
      </c>
    </row>
    <row r="142" spans="2:34" x14ac:dyDescent="0.25">
      <c r="B142" s="207">
        <v>100</v>
      </c>
      <c r="C142" s="193">
        <v>0</v>
      </c>
      <c r="D142" s="512">
        <v>0</v>
      </c>
      <c r="E142" s="1112"/>
      <c r="F142" s="237"/>
      <c r="H142" s="207">
        <v>100</v>
      </c>
      <c r="I142" s="193">
        <v>0</v>
      </c>
      <c r="J142" s="512">
        <v>0.1</v>
      </c>
      <c r="K142" s="1109"/>
      <c r="L142" s="237"/>
      <c r="M142" s="207">
        <v>100</v>
      </c>
      <c r="N142" s="193">
        <v>-0.1</v>
      </c>
      <c r="O142" s="512">
        <v>-0.3</v>
      </c>
      <c r="P142" s="199">
        <v>0.4</v>
      </c>
      <c r="Q142" s="1112"/>
      <c r="R142" s="236"/>
      <c r="S142" s="207">
        <v>100</v>
      </c>
      <c r="T142" s="702">
        <f t="shared" si="79"/>
        <v>0</v>
      </c>
      <c r="U142" s="703">
        <f t="shared" si="80"/>
        <v>0</v>
      </c>
      <c r="V142" s="703">
        <f t="shared" si="81"/>
        <v>-0.1</v>
      </c>
      <c r="W142" s="499">
        <f t="shared" si="82"/>
        <v>0.05</v>
      </c>
      <c r="X142" s="199">
        <f t="shared" si="83"/>
        <v>0.4</v>
      </c>
      <c r="Y142" s="720">
        <f t="shared" si="84"/>
        <v>0</v>
      </c>
      <c r="Z142" s="721">
        <f t="shared" si="85"/>
        <v>0.1</v>
      </c>
      <c r="AA142" s="721">
        <f t="shared" si="86"/>
        <v>-0.3</v>
      </c>
      <c r="AB142" s="499">
        <f t="shared" si="87"/>
        <v>0.2</v>
      </c>
      <c r="AC142" s="198">
        <f t="shared" si="88"/>
        <v>0.4</v>
      </c>
      <c r="AD142" s="9" t="s">
        <v>332</v>
      </c>
      <c r="AE142" s="4" t="s">
        <v>460</v>
      </c>
      <c r="AF142" s="157">
        <f>ROWS(AE$11:$AE142)</f>
        <v>132</v>
      </c>
      <c r="AG142" s="157">
        <f>IF(ID!$A$83=AE142,AF142,"")</f>
        <v>132</v>
      </c>
      <c r="AH142" s="157" t="str">
        <f>IFERROR(SMALL($AG$11:$AG$394,ROWS($AG$11:AG142)),"")</f>
        <v/>
      </c>
    </row>
    <row r="143" spans="2:34" x14ac:dyDescent="0.25">
      <c r="B143" s="207">
        <v>150</v>
      </c>
      <c r="C143" s="193">
        <v>0.2</v>
      </c>
      <c r="D143" s="512">
        <v>0.2</v>
      </c>
      <c r="E143" s="1112"/>
      <c r="F143" s="237"/>
      <c r="H143" s="207">
        <v>150</v>
      </c>
      <c r="I143" s="193">
        <v>-0.2</v>
      </c>
      <c r="J143" s="512">
        <v>-0.1</v>
      </c>
      <c r="K143" s="1109"/>
      <c r="L143" s="237"/>
      <c r="M143" s="207">
        <v>150</v>
      </c>
      <c r="N143" s="193">
        <v>0.2</v>
      </c>
      <c r="O143" s="512">
        <v>0</v>
      </c>
      <c r="P143" s="199">
        <v>0.4</v>
      </c>
      <c r="Q143" s="1112"/>
      <c r="R143" s="236"/>
      <c r="S143" s="207">
        <v>150</v>
      </c>
      <c r="T143" s="702">
        <f t="shared" si="79"/>
        <v>0.2</v>
      </c>
      <c r="U143" s="703">
        <f t="shared" si="80"/>
        <v>-0.2</v>
      </c>
      <c r="V143" s="703">
        <f t="shared" si="81"/>
        <v>0.2</v>
      </c>
      <c r="W143" s="499">
        <f t="shared" si="82"/>
        <v>0.2</v>
      </c>
      <c r="X143" s="199">
        <f t="shared" si="83"/>
        <v>0.4</v>
      </c>
      <c r="Y143" s="720">
        <f t="shared" si="84"/>
        <v>0.2</v>
      </c>
      <c r="Z143" s="721">
        <f t="shared" si="85"/>
        <v>-0.1</v>
      </c>
      <c r="AA143" s="721">
        <f t="shared" si="86"/>
        <v>0</v>
      </c>
      <c r="AB143" s="499">
        <f t="shared" si="87"/>
        <v>0.15000000000000002</v>
      </c>
      <c r="AC143" s="198">
        <f t="shared" si="88"/>
        <v>0.4</v>
      </c>
      <c r="AD143" s="9" t="s">
        <v>332</v>
      </c>
      <c r="AE143" s="4" t="s">
        <v>460</v>
      </c>
      <c r="AF143" s="157">
        <f>ROWS(AE$11:$AE143)</f>
        <v>133</v>
      </c>
      <c r="AG143" s="157">
        <f>IF(ID!$A$83=AE143,AF143,"")</f>
        <v>133</v>
      </c>
      <c r="AH143" s="157" t="str">
        <f>IFERROR(SMALL($AG$11:$AG$394,ROWS($AG$11:AG143)),"")</f>
        <v/>
      </c>
    </row>
    <row r="144" spans="2:34" x14ac:dyDescent="0.25">
      <c r="B144" s="207">
        <v>200</v>
      </c>
      <c r="C144" s="193">
        <v>0.2</v>
      </c>
      <c r="D144" s="512">
        <v>0.2</v>
      </c>
      <c r="E144" s="1112"/>
      <c r="F144" s="237"/>
      <c r="H144" s="207">
        <v>200</v>
      </c>
      <c r="I144" s="193">
        <v>-0.2</v>
      </c>
      <c r="J144" s="512">
        <v>-0.1</v>
      </c>
      <c r="K144" s="1109"/>
      <c r="L144" s="237"/>
      <c r="M144" s="207">
        <v>200</v>
      </c>
      <c r="N144" s="193">
        <v>0.2</v>
      </c>
      <c r="O144" s="512">
        <v>0</v>
      </c>
      <c r="P144" s="199">
        <v>0.4</v>
      </c>
      <c r="Q144" s="1112"/>
      <c r="R144" s="236"/>
      <c r="S144" s="207">
        <v>200</v>
      </c>
      <c r="T144" s="702">
        <f t="shared" si="79"/>
        <v>0.2</v>
      </c>
      <c r="U144" s="703">
        <f t="shared" si="80"/>
        <v>-0.2</v>
      </c>
      <c r="V144" s="703">
        <f t="shared" si="81"/>
        <v>0.2</v>
      </c>
      <c r="W144" s="499">
        <f t="shared" si="82"/>
        <v>0.2</v>
      </c>
      <c r="X144" s="199">
        <f t="shared" si="83"/>
        <v>0.4</v>
      </c>
      <c r="Y144" s="720">
        <f t="shared" si="84"/>
        <v>0.2</v>
      </c>
      <c r="Z144" s="721">
        <f t="shared" si="85"/>
        <v>-0.1</v>
      </c>
      <c r="AA144" s="721">
        <f t="shared" si="86"/>
        <v>0</v>
      </c>
      <c r="AB144" s="499">
        <f t="shared" si="87"/>
        <v>0.15000000000000002</v>
      </c>
      <c r="AC144" s="198">
        <f t="shared" si="88"/>
        <v>0.4</v>
      </c>
      <c r="AD144" s="9" t="s">
        <v>332</v>
      </c>
      <c r="AE144" s="4" t="s">
        <v>460</v>
      </c>
      <c r="AF144" s="157">
        <f>ROWS(AE$11:$AE144)</f>
        <v>134</v>
      </c>
      <c r="AG144" s="157">
        <f>IF(ID!$A$83=AE144,AF144,"")</f>
        <v>134</v>
      </c>
      <c r="AH144" s="157" t="str">
        <f>IFERROR(SMALL($AG$11:$AG$394,ROWS($AG$11:AG144)),"")</f>
        <v/>
      </c>
    </row>
    <row r="145" spans="2:34" x14ac:dyDescent="0.25">
      <c r="B145" s="207">
        <v>250</v>
      </c>
      <c r="C145" s="193">
        <v>0.2</v>
      </c>
      <c r="D145" s="512">
        <v>0.2</v>
      </c>
      <c r="E145" s="1112"/>
      <c r="F145" s="237"/>
      <c r="H145" s="207">
        <v>250</v>
      </c>
      <c r="I145" s="193">
        <v>-0.3</v>
      </c>
      <c r="J145" s="512">
        <v>-0.2</v>
      </c>
      <c r="K145" s="1109"/>
      <c r="L145" s="237"/>
      <c r="M145" s="207">
        <v>250</v>
      </c>
      <c r="N145" s="193">
        <v>0.2</v>
      </c>
      <c r="O145" s="512">
        <v>0</v>
      </c>
      <c r="P145" s="199">
        <v>0.4</v>
      </c>
      <c r="Q145" s="1112"/>
      <c r="R145" s="236"/>
      <c r="S145" s="207">
        <v>250</v>
      </c>
      <c r="T145" s="702">
        <f t="shared" si="79"/>
        <v>0.2</v>
      </c>
      <c r="U145" s="703">
        <f t="shared" si="80"/>
        <v>-0.3</v>
      </c>
      <c r="V145" s="703">
        <f t="shared" si="81"/>
        <v>0.2</v>
      </c>
      <c r="W145" s="499">
        <f t="shared" si="82"/>
        <v>0.25</v>
      </c>
      <c r="X145" s="199">
        <f t="shared" si="83"/>
        <v>0.4</v>
      </c>
      <c r="Y145" s="720">
        <f t="shared" si="84"/>
        <v>0.2</v>
      </c>
      <c r="Z145" s="721">
        <f t="shared" si="85"/>
        <v>-0.2</v>
      </c>
      <c r="AA145" s="721">
        <f t="shared" si="86"/>
        <v>0</v>
      </c>
      <c r="AB145" s="499">
        <f t="shared" si="87"/>
        <v>0.2</v>
      </c>
      <c r="AC145" s="198">
        <f t="shared" si="88"/>
        <v>0.4</v>
      </c>
      <c r="AD145" s="9" t="s">
        <v>332</v>
      </c>
      <c r="AE145" s="4" t="s">
        <v>460</v>
      </c>
      <c r="AF145" s="157">
        <f>ROWS(AE$11:$AE145)</f>
        <v>135</v>
      </c>
      <c r="AG145" s="157">
        <f>IF(ID!$A$83=AE145,AF145,"")</f>
        <v>135</v>
      </c>
      <c r="AH145" s="157" t="str">
        <f>IFERROR(SMALL($AG$11:$AG$394,ROWS($AG$11:AG145)),"")</f>
        <v/>
      </c>
    </row>
    <row r="146" spans="2:34" x14ac:dyDescent="0.25">
      <c r="B146" s="207">
        <v>300</v>
      </c>
      <c r="C146" s="193">
        <v>0.1</v>
      </c>
      <c r="D146" s="512">
        <v>0.1</v>
      </c>
      <c r="E146" s="1113"/>
      <c r="F146" s="237"/>
      <c r="H146" s="207">
        <v>300</v>
      </c>
      <c r="I146" s="193">
        <v>-0.2</v>
      </c>
      <c r="J146" s="512">
        <v>-0.1</v>
      </c>
      <c r="K146" s="1110"/>
      <c r="L146" s="237"/>
      <c r="M146" s="207">
        <v>300</v>
      </c>
      <c r="N146" s="193">
        <v>0.1</v>
      </c>
      <c r="O146" s="512">
        <v>0</v>
      </c>
      <c r="P146" s="199">
        <v>0.4</v>
      </c>
      <c r="Q146" s="1113"/>
      <c r="R146" s="236"/>
      <c r="S146" s="207">
        <v>300</v>
      </c>
      <c r="T146" s="702">
        <f t="shared" si="79"/>
        <v>0.1</v>
      </c>
      <c r="U146" s="703">
        <f t="shared" si="80"/>
        <v>-0.2</v>
      </c>
      <c r="V146" s="703">
        <f t="shared" si="81"/>
        <v>0.1</v>
      </c>
      <c r="W146" s="499">
        <f t="shared" si="82"/>
        <v>0.15000000000000002</v>
      </c>
      <c r="X146" s="199">
        <f t="shared" si="83"/>
        <v>0.4</v>
      </c>
      <c r="Y146" s="720">
        <f t="shared" si="84"/>
        <v>0.1</v>
      </c>
      <c r="Z146" s="721">
        <f t="shared" si="85"/>
        <v>-0.1</v>
      </c>
      <c r="AA146" s="721">
        <f t="shared" si="86"/>
        <v>0</v>
      </c>
      <c r="AB146" s="499">
        <f t="shared" si="87"/>
        <v>0.1</v>
      </c>
      <c r="AC146" s="198">
        <f t="shared" si="88"/>
        <v>0.4</v>
      </c>
      <c r="AD146" s="9" t="s">
        <v>332</v>
      </c>
      <c r="AE146" s="4" t="s">
        <v>460</v>
      </c>
      <c r="AF146" s="157">
        <f>ROWS(AE$11:$AE146)</f>
        <v>136</v>
      </c>
      <c r="AG146" s="157">
        <f>IF(ID!$A$83=AE146,AF146,"")</f>
        <v>136</v>
      </c>
      <c r="AH146" s="157" t="str">
        <f>IFERROR(SMALL($AG$11:$AG$394,ROWS($AG$11:AG146)),"")</f>
        <v/>
      </c>
    </row>
    <row r="147" spans="2:34" x14ac:dyDescent="0.25">
      <c r="N147" s="211"/>
      <c r="O147" s="211"/>
      <c r="S147" s="230" t="s">
        <v>104</v>
      </c>
      <c r="T147" s="713"/>
      <c r="U147" s="714" t="s">
        <v>104</v>
      </c>
      <c r="V147" s="714"/>
      <c r="W147" s="534"/>
      <c r="X147" s="201" t="s">
        <v>104</v>
      </c>
      <c r="Y147" s="725"/>
      <c r="Z147" s="725"/>
      <c r="AA147" s="725"/>
      <c r="AB147" s="534"/>
      <c r="AC147" s="201"/>
      <c r="AD147" s="11"/>
      <c r="AE147" s="4"/>
      <c r="AF147" s="157">
        <f>ROWS(AE$11:$AE147)</f>
        <v>137</v>
      </c>
      <c r="AG147" s="157" t="str">
        <f>IF(ID!$A$83=AE147,AF147,"")</f>
        <v/>
      </c>
      <c r="AH147" s="157" t="str">
        <f>IFERROR(SMALL($AG$11:$AG$394,ROWS($AG$11:AG147)),"")</f>
        <v/>
      </c>
    </row>
    <row r="148" spans="2:34" x14ac:dyDescent="0.25">
      <c r="E148" s="13"/>
      <c r="F148" s="13"/>
      <c r="K148" s="13"/>
      <c r="L148" s="13"/>
      <c r="N148" s="13"/>
      <c r="O148" s="13"/>
      <c r="Q148" s="13"/>
      <c r="R148" s="13"/>
      <c r="S148" s="230" t="s">
        <v>104</v>
      </c>
      <c r="T148" s="713"/>
      <c r="U148" s="714" t="s">
        <v>104</v>
      </c>
      <c r="V148" s="714"/>
      <c r="W148" s="534"/>
      <c r="X148" s="201" t="s">
        <v>104</v>
      </c>
      <c r="Y148" s="725"/>
      <c r="Z148" s="725"/>
      <c r="AA148" s="725"/>
      <c r="AB148" s="534"/>
      <c r="AC148" s="201"/>
      <c r="AD148" s="11"/>
      <c r="AE148" s="4"/>
      <c r="AF148" s="157">
        <f>ROWS(AE$11:$AE148)</f>
        <v>138</v>
      </c>
      <c r="AG148" s="157" t="str">
        <f>IF(ID!$A$83=AE148,AF148,"")</f>
        <v/>
      </c>
      <c r="AH148" s="157" t="str">
        <f>IFERROR(SMALL($AG$11:$AG$394,ROWS($AG$11:AG148)),"")</f>
        <v/>
      </c>
    </row>
    <row r="149" spans="2:34" x14ac:dyDescent="0.25">
      <c r="S149" s="230" t="s">
        <v>104</v>
      </c>
      <c r="T149" s="713"/>
      <c r="U149" s="714" t="s">
        <v>104</v>
      </c>
      <c r="V149" s="714"/>
      <c r="W149" s="534"/>
      <c r="X149" s="201" t="s">
        <v>104</v>
      </c>
      <c r="Y149" s="725"/>
      <c r="Z149" s="725"/>
      <c r="AA149" s="725"/>
      <c r="AB149" s="534"/>
      <c r="AC149" s="201"/>
      <c r="AD149" s="11"/>
      <c r="AE149" s="4"/>
      <c r="AF149" s="157">
        <f>ROWS(AE$11:$AE149)</f>
        <v>139</v>
      </c>
      <c r="AG149" s="157" t="str">
        <f>IF(ID!$A$83=AE149,AF149,"")</f>
        <v/>
      </c>
      <c r="AH149" s="157" t="str">
        <f>IFERROR(SMALL($AG$11:$AG$394,ROWS($AG$11:AG149)),"")</f>
        <v/>
      </c>
    </row>
    <row r="150" spans="2:34" x14ac:dyDescent="0.25">
      <c r="S150" s="230" t="s">
        <v>104</v>
      </c>
      <c r="T150" s="713"/>
      <c r="U150" s="714" t="s">
        <v>104</v>
      </c>
      <c r="V150" s="714"/>
      <c r="W150" s="534"/>
      <c r="X150" s="201" t="s">
        <v>104</v>
      </c>
      <c r="Y150" s="725"/>
      <c r="Z150" s="725"/>
      <c r="AA150" s="725"/>
      <c r="AB150" s="534"/>
      <c r="AC150" s="201"/>
      <c r="AD150" s="11"/>
      <c r="AE150" s="4"/>
      <c r="AF150" s="157">
        <f>ROWS(AE$11:$AE150)</f>
        <v>140</v>
      </c>
      <c r="AG150" s="157" t="str">
        <f>IF(ID!$A$83=AE150,AF150,"")</f>
        <v/>
      </c>
      <c r="AH150" s="157" t="str">
        <f>IFERROR(SMALL($AG$11:$AG$394,ROWS($AG$11:AG150)),"")</f>
        <v/>
      </c>
    </row>
    <row r="151" spans="2:34" x14ac:dyDescent="0.25">
      <c r="E151" s="13"/>
      <c r="F151" s="13"/>
      <c r="K151" s="13"/>
      <c r="L151" s="13"/>
      <c r="N151" s="13"/>
      <c r="O151" s="13"/>
      <c r="Q151" s="13"/>
      <c r="R151" s="13"/>
      <c r="S151" s="231"/>
      <c r="AD151" s="13"/>
      <c r="AE151" s="13"/>
      <c r="AF151" s="157">
        <f>ROWS(AE$11:$AE151)</f>
        <v>141</v>
      </c>
      <c r="AG151" s="157" t="str">
        <f>IF(ID!$A$83=AE151,AF151,"")</f>
        <v/>
      </c>
      <c r="AH151" s="157" t="str">
        <f>IFERROR(SMALL($AG$11:$AG$394,ROWS($AG$11:AG151)),"")</f>
        <v/>
      </c>
    </row>
    <row r="152" spans="2:34" s="513" customFormat="1" x14ac:dyDescent="0.25">
      <c r="C152" s="519"/>
      <c r="D152" s="525"/>
      <c r="I152" s="519"/>
      <c r="J152" s="525"/>
      <c r="S152" s="514"/>
      <c r="T152" s="514"/>
      <c r="U152" s="514"/>
      <c r="V152" s="514"/>
      <c r="W152" s="514"/>
      <c r="X152" s="514"/>
      <c r="Y152" s="514"/>
      <c r="Z152" s="514"/>
      <c r="AA152" s="514"/>
      <c r="AB152" s="529"/>
      <c r="AF152" s="157">
        <f>ROWS(AE$11:$AE152)</f>
        <v>142</v>
      </c>
      <c r="AG152" s="157" t="str">
        <f>IF(ID!$A$83=AE152,AF152,"")</f>
        <v/>
      </c>
      <c r="AH152" s="157" t="str">
        <f>IFERROR(SMALL($AG$11:$AG$394,ROWS($AG$11:AG152)),"")</f>
        <v/>
      </c>
    </row>
    <row r="153" spans="2:34" s="513" customFormat="1" x14ac:dyDescent="0.25">
      <c r="C153" s="519"/>
      <c r="D153" s="525"/>
      <c r="I153" s="519"/>
      <c r="J153" s="525"/>
      <c r="S153" s="514"/>
      <c r="T153" s="514"/>
      <c r="U153" s="514"/>
      <c r="V153" s="514"/>
      <c r="W153" s="959" t="s">
        <v>545</v>
      </c>
      <c r="X153" s="10"/>
      <c r="Y153" s="717"/>
      <c r="Z153" s="717"/>
      <c r="AA153" s="717"/>
      <c r="AB153" s="959" t="s">
        <v>545</v>
      </c>
      <c r="AF153" s="157">
        <f>ROWS(AE$11:$AE153)</f>
        <v>143</v>
      </c>
      <c r="AG153" s="157" t="str">
        <f>IF(ID!$A$83=AE153,AF153,"")</f>
        <v/>
      </c>
      <c r="AH153" s="157" t="str">
        <f>IFERROR(SMALL($AG$11:$AG$394,ROWS($AG$11:AG153)),"")</f>
        <v/>
      </c>
    </row>
    <row r="154" spans="2:34" x14ac:dyDescent="0.25">
      <c r="B154" s="1099" t="s">
        <v>400</v>
      </c>
      <c r="C154" s="1100"/>
      <c r="D154" s="1100"/>
      <c r="E154" s="1101"/>
      <c r="F154" s="233"/>
      <c r="H154" s="1099" t="s">
        <v>401</v>
      </c>
      <c r="I154" s="1100"/>
      <c r="J154" s="1100"/>
      <c r="K154" s="1101"/>
      <c r="L154" s="233"/>
      <c r="M154" s="1099" t="s">
        <v>195</v>
      </c>
      <c r="N154" s="1100"/>
      <c r="O154" s="1100"/>
      <c r="P154" s="1100"/>
      <c r="Q154" s="1101"/>
      <c r="S154" s="224" t="s">
        <v>48</v>
      </c>
      <c r="T154" s="700" t="s">
        <v>403</v>
      </c>
      <c r="U154" s="701" t="s">
        <v>402</v>
      </c>
      <c r="V154" s="701" t="s">
        <v>192</v>
      </c>
      <c r="W154" s="528" t="s">
        <v>172</v>
      </c>
      <c r="X154" s="197" t="s">
        <v>190</v>
      </c>
      <c r="Y154" s="718" t="s">
        <v>404</v>
      </c>
      <c r="Z154" s="719" t="s">
        <v>405</v>
      </c>
      <c r="AA154" s="719" t="s">
        <v>193</v>
      </c>
      <c r="AB154" s="528" t="s">
        <v>152</v>
      </c>
      <c r="AC154" s="197" t="s">
        <v>191</v>
      </c>
      <c r="AF154" s="157">
        <f>ROWS(AE$11:$AE154)</f>
        <v>144</v>
      </c>
      <c r="AG154" s="157" t="str">
        <f>IF(ID!$A$83=AE154,AF154,"")</f>
        <v/>
      </c>
      <c r="AH154" s="157" t="str">
        <f>IFERROR(SMALL($AG$11:$AG$394,ROWS($AG$11:AG154)),"")</f>
        <v/>
      </c>
    </row>
    <row r="155" spans="2:34" x14ac:dyDescent="0.25">
      <c r="B155" s="207">
        <v>0</v>
      </c>
      <c r="C155" s="193">
        <v>0</v>
      </c>
      <c r="D155" s="512">
        <v>0</v>
      </c>
      <c r="E155" s="1125" t="s">
        <v>369</v>
      </c>
      <c r="F155" s="237"/>
      <c r="H155" s="207">
        <v>0</v>
      </c>
      <c r="I155" s="193">
        <v>0</v>
      </c>
      <c r="J155" s="512">
        <v>0</v>
      </c>
      <c r="K155" s="1111" t="s">
        <v>606</v>
      </c>
      <c r="L155" s="237"/>
      <c r="M155" s="207">
        <v>0</v>
      </c>
      <c r="N155" s="193">
        <v>0</v>
      </c>
      <c r="O155" s="512">
        <v>0</v>
      </c>
      <c r="P155" s="199">
        <v>0.4</v>
      </c>
      <c r="Q155" s="1111" t="s">
        <v>607</v>
      </c>
      <c r="R155" s="236"/>
      <c r="S155" s="207">
        <v>0</v>
      </c>
      <c r="T155" s="702">
        <f>C155</f>
        <v>0</v>
      </c>
      <c r="U155" s="703">
        <f>I155</f>
        <v>0</v>
      </c>
      <c r="V155" s="703">
        <f>N155</f>
        <v>0</v>
      </c>
      <c r="W155" s="499">
        <f>0.5*(MAX(T155:V155)-MIN(T155:V155))</f>
        <v>0</v>
      </c>
      <c r="X155" s="199">
        <f>P155</f>
        <v>0.4</v>
      </c>
      <c r="Y155" s="720">
        <f>D155</f>
        <v>0</v>
      </c>
      <c r="Z155" s="721">
        <f>J155</f>
        <v>0</v>
      </c>
      <c r="AA155" s="721">
        <f>O155</f>
        <v>0</v>
      </c>
      <c r="AB155" s="499">
        <f>0.5*(MAX(Y155:AA155)-MIN(Y155:AA155))</f>
        <v>0</v>
      </c>
      <c r="AC155" s="198">
        <f>P155</f>
        <v>0.4</v>
      </c>
      <c r="AD155" s="9" t="s">
        <v>332</v>
      </c>
      <c r="AE155" s="4" t="s">
        <v>461</v>
      </c>
      <c r="AF155" s="157">
        <f>ROWS(AE$11:$AE155)</f>
        <v>145</v>
      </c>
      <c r="AG155" s="157" t="str">
        <f>IF(ID!$A$83=AE155,AF155,"")</f>
        <v/>
      </c>
      <c r="AH155" s="157" t="str">
        <f>IFERROR(SMALL($AG$11:$AG$394,ROWS($AG$11:AG155)),"")</f>
        <v/>
      </c>
    </row>
    <row r="156" spans="2:34" x14ac:dyDescent="0.25">
      <c r="B156" s="207">
        <v>50</v>
      </c>
      <c r="C156" s="193">
        <v>-0.1</v>
      </c>
      <c r="D156" s="512">
        <v>-0.2</v>
      </c>
      <c r="E156" s="1126"/>
      <c r="F156" s="237"/>
      <c r="H156" s="207">
        <v>50</v>
      </c>
      <c r="I156" s="193">
        <v>0.1</v>
      </c>
      <c r="J156" s="512">
        <v>0.3</v>
      </c>
      <c r="K156" s="1112"/>
      <c r="L156" s="237"/>
      <c r="M156" s="207">
        <v>50</v>
      </c>
      <c r="N156" s="193">
        <v>-0.2</v>
      </c>
      <c r="O156" s="512">
        <v>-0.3</v>
      </c>
      <c r="P156" s="199">
        <v>0.4</v>
      </c>
      <c r="Q156" s="1112"/>
      <c r="R156" s="236"/>
      <c r="S156" s="207">
        <v>50</v>
      </c>
      <c r="T156" s="702">
        <f t="shared" ref="T156:T161" si="89">C156</f>
        <v>-0.1</v>
      </c>
      <c r="U156" s="703">
        <f t="shared" ref="U156:U161" si="90">I156</f>
        <v>0.1</v>
      </c>
      <c r="V156" s="703">
        <f t="shared" ref="V156:V161" si="91">N156</f>
        <v>-0.2</v>
      </c>
      <c r="W156" s="499">
        <f t="shared" ref="W156:W161" si="92">0.5*(MAX(T156:V156)-MIN(T156:V156))</f>
        <v>0.15000000000000002</v>
      </c>
      <c r="X156" s="199">
        <f t="shared" ref="X156:X161" si="93">P156</f>
        <v>0.4</v>
      </c>
      <c r="Y156" s="720">
        <f t="shared" ref="Y156:Y161" si="94">D156</f>
        <v>-0.2</v>
      </c>
      <c r="Z156" s="721">
        <f t="shared" ref="Z156:Z161" si="95">J156</f>
        <v>0.3</v>
      </c>
      <c r="AA156" s="721">
        <f t="shared" ref="AA156:AA161" si="96">O156</f>
        <v>-0.3</v>
      </c>
      <c r="AB156" s="499">
        <f t="shared" ref="AB156:AB161" si="97">0.5*(MAX(Y156:AA156)-MIN(Y156:AA156))</f>
        <v>0.3</v>
      </c>
      <c r="AC156" s="198">
        <f t="shared" ref="AC156:AC161" si="98">P156</f>
        <v>0.4</v>
      </c>
      <c r="AD156" s="9" t="s">
        <v>332</v>
      </c>
      <c r="AE156" s="4" t="s">
        <v>461</v>
      </c>
      <c r="AF156" s="157">
        <f>ROWS(AE$11:$AE156)</f>
        <v>146</v>
      </c>
      <c r="AG156" s="157" t="str">
        <f>IF(ID!$A$83=AE156,AF156,"")</f>
        <v/>
      </c>
      <c r="AH156" s="157" t="str">
        <f>IFERROR(SMALL($AG$11:$AG$394,ROWS($AG$11:AG156)),"")</f>
        <v/>
      </c>
    </row>
    <row r="157" spans="2:34" x14ac:dyDescent="0.25">
      <c r="B157" s="207">
        <v>100</v>
      </c>
      <c r="C157" s="193">
        <v>-0.1</v>
      </c>
      <c r="D157" s="512">
        <v>-0.1</v>
      </c>
      <c r="E157" s="1126"/>
      <c r="F157" s="237"/>
      <c r="H157" s="207">
        <v>100</v>
      </c>
      <c r="I157" s="193">
        <v>0</v>
      </c>
      <c r="J157" s="512">
        <v>0.2</v>
      </c>
      <c r="K157" s="1112"/>
      <c r="L157" s="237"/>
      <c r="M157" s="207">
        <v>100</v>
      </c>
      <c r="N157" s="193">
        <v>-0.1</v>
      </c>
      <c r="O157" s="512">
        <v>-0.2</v>
      </c>
      <c r="P157" s="199">
        <v>0.4</v>
      </c>
      <c r="Q157" s="1112"/>
      <c r="R157" s="236"/>
      <c r="S157" s="207">
        <v>100</v>
      </c>
      <c r="T157" s="702">
        <f t="shared" si="89"/>
        <v>-0.1</v>
      </c>
      <c r="U157" s="703">
        <f t="shared" si="90"/>
        <v>0</v>
      </c>
      <c r="V157" s="703">
        <f t="shared" si="91"/>
        <v>-0.1</v>
      </c>
      <c r="W157" s="499">
        <f t="shared" si="92"/>
        <v>0.05</v>
      </c>
      <c r="X157" s="199">
        <f t="shared" si="93"/>
        <v>0.4</v>
      </c>
      <c r="Y157" s="720">
        <f t="shared" si="94"/>
        <v>-0.1</v>
      </c>
      <c r="Z157" s="721">
        <f t="shared" si="95"/>
        <v>0.2</v>
      </c>
      <c r="AA157" s="721">
        <f t="shared" si="96"/>
        <v>-0.2</v>
      </c>
      <c r="AB157" s="499">
        <f t="shared" si="97"/>
        <v>0.2</v>
      </c>
      <c r="AC157" s="198">
        <f t="shared" si="98"/>
        <v>0.4</v>
      </c>
      <c r="AD157" s="9" t="s">
        <v>332</v>
      </c>
      <c r="AE157" s="4" t="s">
        <v>461</v>
      </c>
      <c r="AF157" s="157">
        <f>ROWS(AE$11:$AE157)</f>
        <v>147</v>
      </c>
      <c r="AG157" s="157" t="str">
        <f>IF(ID!$A$83=AE157,AF157,"")</f>
        <v/>
      </c>
      <c r="AH157" s="157" t="str">
        <f>IFERROR(SMALL($AG$11:$AG$394,ROWS($AG$11:AG157)),"")</f>
        <v/>
      </c>
    </row>
    <row r="158" spans="2:34" x14ac:dyDescent="0.25">
      <c r="B158" s="207">
        <v>150</v>
      </c>
      <c r="C158" s="193">
        <v>0</v>
      </c>
      <c r="D158" s="512">
        <v>0</v>
      </c>
      <c r="E158" s="1126"/>
      <c r="F158" s="237"/>
      <c r="H158" s="207">
        <v>150</v>
      </c>
      <c r="I158" s="193">
        <v>0.1</v>
      </c>
      <c r="J158" s="512">
        <v>0.2</v>
      </c>
      <c r="K158" s="1112"/>
      <c r="L158" s="237"/>
      <c r="M158" s="207">
        <v>150</v>
      </c>
      <c r="N158" s="193">
        <v>0</v>
      </c>
      <c r="O158" s="512">
        <v>-0.2</v>
      </c>
      <c r="P158" s="199">
        <v>0.4</v>
      </c>
      <c r="Q158" s="1112"/>
      <c r="R158" s="236"/>
      <c r="S158" s="207">
        <v>150</v>
      </c>
      <c r="T158" s="702">
        <f t="shared" si="89"/>
        <v>0</v>
      </c>
      <c r="U158" s="703">
        <f t="shared" si="90"/>
        <v>0.1</v>
      </c>
      <c r="V158" s="703">
        <f t="shared" si="91"/>
        <v>0</v>
      </c>
      <c r="W158" s="499">
        <f t="shared" si="92"/>
        <v>0.05</v>
      </c>
      <c r="X158" s="199">
        <f t="shared" si="93"/>
        <v>0.4</v>
      </c>
      <c r="Y158" s="720">
        <f t="shared" si="94"/>
        <v>0</v>
      </c>
      <c r="Z158" s="721">
        <f t="shared" si="95"/>
        <v>0.2</v>
      </c>
      <c r="AA158" s="721">
        <f t="shared" si="96"/>
        <v>-0.2</v>
      </c>
      <c r="AB158" s="499">
        <f t="shared" si="97"/>
        <v>0.2</v>
      </c>
      <c r="AC158" s="198">
        <f t="shared" si="98"/>
        <v>0.4</v>
      </c>
      <c r="AD158" s="9" t="s">
        <v>332</v>
      </c>
      <c r="AE158" s="4" t="s">
        <v>461</v>
      </c>
      <c r="AF158" s="157">
        <f>ROWS(AE$11:$AE158)</f>
        <v>148</v>
      </c>
      <c r="AG158" s="157" t="str">
        <f>IF(ID!$A$83=AE158,AF158,"")</f>
        <v/>
      </c>
      <c r="AH158" s="157" t="str">
        <f>IFERROR(SMALL($AG$11:$AG$394,ROWS($AG$11:AG158)),"")</f>
        <v/>
      </c>
    </row>
    <row r="159" spans="2:34" x14ac:dyDescent="0.25">
      <c r="B159" s="207">
        <v>200</v>
      </c>
      <c r="C159" s="193">
        <v>-0.3</v>
      </c>
      <c r="D159" s="512">
        <v>-0.3</v>
      </c>
      <c r="E159" s="1126"/>
      <c r="F159" s="237"/>
      <c r="H159" s="207">
        <v>200</v>
      </c>
      <c r="I159" s="193">
        <v>0.2</v>
      </c>
      <c r="J159" s="512">
        <v>0.3</v>
      </c>
      <c r="K159" s="1112"/>
      <c r="L159" s="237"/>
      <c r="M159" s="207">
        <v>200</v>
      </c>
      <c r="N159" s="193">
        <v>-0.2</v>
      </c>
      <c r="O159" s="512">
        <v>-0.3</v>
      </c>
      <c r="P159" s="199">
        <v>0.4</v>
      </c>
      <c r="Q159" s="1112"/>
      <c r="R159" s="236"/>
      <c r="S159" s="207">
        <v>200</v>
      </c>
      <c r="T159" s="702">
        <f t="shared" si="89"/>
        <v>-0.3</v>
      </c>
      <c r="U159" s="703">
        <f t="shared" si="90"/>
        <v>0.2</v>
      </c>
      <c r="V159" s="703">
        <f t="shared" si="91"/>
        <v>-0.2</v>
      </c>
      <c r="W159" s="499">
        <f t="shared" si="92"/>
        <v>0.25</v>
      </c>
      <c r="X159" s="199">
        <f t="shared" si="93"/>
        <v>0.4</v>
      </c>
      <c r="Y159" s="720">
        <f t="shared" si="94"/>
        <v>-0.3</v>
      </c>
      <c r="Z159" s="721">
        <f t="shared" si="95"/>
        <v>0.3</v>
      </c>
      <c r="AA159" s="721">
        <f t="shared" si="96"/>
        <v>-0.3</v>
      </c>
      <c r="AB159" s="499">
        <f t="shared" si="97"/>
        <v>0.3</v>
      </c>
      <c r="AC159" s="198">
        <f t="shared" si="98"/>
        <v>0.4</v>
      </c>
      <c r="AD159" s="9" t="s">
        <v>332</v>
      </c>
      <c r="AE159" s="4" t="s">
        <v>461</v>
      </c>
      <c r="AF159" s="157">
        <f>ROWS(AE$11:$AE159)</f>
        <v>149</v>
      </c>
      <c r="AG159" s="157" t="str">
        <f>IF(ID!$A$83=AE159,AF159,"")</f>
        <v/>
      </c>
      <c r="AH159" s="157" t="str">
        <f>IFERROR(SMALL($AG$11:$AG$394,ROWS($AG$11:AG159)),"")</f>
        <v/>
      </c>
    </row>
    <row r="160" spans="2:34" x14ac:dyDescent="0.25">
      <c r="B160" s="207">
        <v>250</v>
      </c>
      <c r="C160" s="193">
        <v>-0.1</v>
      </c>
      <c r="D160" s="512">
        <v>-0.2</v>
      </c>
      <c r="E160" s="1126"/>
      <c r="F160" s="237"/>
      <c r="H160" s="207">
        <v>250</v>
      </c>
      <c r="I160" s="193">
        <v>0.1</v>
      </c>
      <c r="J160" s="512">
        <v>0.1</v>
      </c>
      <c r="K160" s="1112"/>
      <c r="L160" s="237"/>
      <c r="M160" s="207">
        <v>250</v>
      </c>
      <c r="N160" s="193">
        <v>0</v>
      </c>
      <c r="O160" s="512">
        <v>-0.2</v>
      </c>
      <c r="P160" s="199">
        <v>0.4</v>
      </c>
      <c r="Q160" s="1112"/>
      <c r="R160" s="236"/>
      <c r="S160" s="207">
        <v>250</v>
      </c>
      <c r="T160" s="702">
        <f t="shared" si="89"/>
        <v>-0.1</v>
      </c>
      <c r="U160" s="703">
        <f t="shared" si="90"/>
        <v>0.1</v>
      </c>
      <c r="V160" s="703">
        <f t="shared" si="91"/>
        <v>0</v>
      </c>
      <c r="W160" s="499">
        <f t="shared" si="92"/>
        <v>0.1</v>
      </c>
      <c r="X160" s="199">
        <f t="shared" si="93"/>
        <v>0.4</v>
      </c>
      <c r="Y160" s="720">
        <f t="shared" si="94"/>
        <v>-0.2</v>
      </c>
      <c r="Z160" s="721">
        <f t="shared" si="95"/>
        <v>0.1</v>
      </c>
      <c r="AA160" s="721">
        <f t="shared" si="96"/>
        <v>-0.2</v>
      </c>
      <c r="AB160" s="499">
        <f t="shared" si="97"/>
        <v>0.15000000000000002</v>
      </c>
      <c r="AC160" s="198">
        <f t="shared" si="98"/>
        <v>0.4</v>
      </c>
      <c r="AD160" s="9" t="s">
        <v>332</v>
      </c>
      <c r="AE160" s="4" t="s">
        <v>461</v>
      </c>
      <c r="AF160" s="157">
        <f>ROWS(AE$11:$AE160)</f>
        <v>150</v>
      </c>
      <c r="AG160" s="157" t="str">
        <f>IF(ID!$A$83=AE160,AF160,"")</f>
        <v/>
      </c>
      <c r="AH160" s="157" t="str">
        <f>IFERROR(SMALL($AG$11:$AG$394,ROWS($AG$11:AG160)),"")</f>
        <v/>
      </c>
    </row>
    <row r="161" spans="2:34" x14ac:dyDescent="0.25">
      <c r="B161" s="207">
        <v>300</v>
      </c>
      <c r="C161" s="193">
        <v>0.1</v>
      </c>
      <c r="D161" s="512">
        <v>0</v>
      </c>
      <c r="E161" s="1127"/>
      <c r="F161" s="237"/>
      <c r="H161" s="207">
        <v>300</v>
      </c>
      <c r="I161" s="193">
        <v>0</v>
      </c>
      <c r="J161" s="512">
        <v>0.1</v>
      </c>
      <c r="K161" s="1113"/>
      <c r="L161" s="237"/>
      <c r="M161" s="207">
        <v>300</v>
      </c>
      <c r="N161" s="193">
        <v>0.1</v>
      </c>
      <c r="O161" s="512">
        <v>-0.1</v>
      </c>
      <c r="P161" s="199">
        <v>0.4</v>
      </c>
      <c r="Q161" s="1113"/>
      <c r="R161" s="236"/>
      <c r="S161" s="207">
        <v>300</v>
      </c>
      <c r="T161" s="702">
        <f t="shared" si="89"/>
        <v>0.1</v>
      </c>
      <c r="U161" s="703">
        <f t="shared" si="90"/>
        <v>0</v>
      </c>
      <c r="V161" s="703">
        <f t="shared" si="91"/>
        <v>0.1</v>
      </c>
      <c r="W161" s="499">
        <f t="shared" si="92"/>
        <v>0.05</v>
      </c>
      <c r="X161" s="199">
        <f t="shared" si="93"/>
        <v>0.4</v>
      </c>
      <c r="Y161" s="720">
        <f t="shared" si="94"/>
        <v>0</v>
      </c>
      <c r="Z161" s="721">
        <f t="shared" si="95"/>
        <v>0.1</v>
      </c>
      <c r="AA161" s="721">
        <f t="shared" si="96"/>
        <v>-0.1</v>
      </c>
      <c r="AB161" s="499">
        <f t="shared" si="97"/>
        <v>0.1</v>
      </c>
      <c r="AC161" s="198">
        <f t="shared" si="98"/>
        <v>0.4</v>
      </c>
      <c r="AD161" s="9" t="s">
        <v>332</v>
      </c>
      <c r="AE161" s="4" t="s">
        <v>461</v>
      </c>
      <c r="AF161" s="157">
        <f>ROWS(AE$11:$AE161)</f>
        <v>151</v>
      </c>
      <c r="AG161" s="157" t="str">
        <f>IF(ID!$A$83=AE161,AF161,"")</f>
        <v/>
      </c>
      <c r="AH161" s="157" t="str">
        <f>IFERROR(SMALL($AG$11:$AG$394,ROWS($AG$11:AG161)),"")</f>
        <v/>
      </c>
    </row>
    <row r="162" spans="2:34" x14ac:dyDescent="0.25">
      <c r="S162" s="230" t="s">
        <v>104</v>
      </c>
      <c r="T162" s="713"/>
      <c r="U162" s="714" t="s">
        <v>104</v>
      </c>
      <c r="V162" s="714"/>
      <c r="W162" s="534"/>
      <c r="X162" s="201" t="s">
        <v>104</v>
      </c>
      <c r="Y162" s="725"/>
      <c r="Z162" s="725"/>
      <c r="AA162" s="725"/>
      <c r="AB162" s="534"/>
      <c r="AC162" s="201"/>
      <c r="AD162" s="11"/>
      <c r="AE162" s="4"/>
      <c r="AF162" s="157">
        <f>ROWS(AE$11:$AE162)</f>
        <v>152</v>
      </c>
      <c r="AG162" s="157" t="str">
        <f>IF(ID!$A$83=AE162,AF162,"")</f>
        <v/>
      </c>
      <c r="AH162" s="157" t="str">
        <f>IFERROR(SMALL($AG$11:$AG$394,ROWS($AG$11:AG162)),"")</f>
        <v/>
      </c>
    </row>
    <row r="163" spans="2:34" x14ac:dyDescent="0.25">
      <c r="E163" s="13"/>
      <c r="F163" s="13"/>
      <c r="K163" s="13"/>
      <c r="L163" s="13"/>
      <c r="N163" s="13"/>
      <c r="O163" s="13"/>
      <c r="Q163" s="13"/>
      <c r="R163" s="13"/>
      <c r="S163" s="230" t="s">
        <v>104</v>
      </c>
      <c r="T163" s="713"/>
      <c r="U163" s="714" t="s">
        <v>104</v>
      </c>
      <c r="V163" s="714"/>
      <c r="W163" s="534"/>
      <c r="X163" s="201" t="s">
        <v>104</v>
      </c>
      <c r="Y163" s="725"/>
      <c r="Z163" s="725"/>
      <c r="AA163" s="725"/>
      <c r="AB163" s="534"/>
      <c r="AC163" s="201"/>
      <c r="AD163" s="11"/>
      <c r="AE163" s="4"/>
      <c r="AF163" s="157">
        <f>ROWS(AE$11:$AE163)</f>
        <v>153</v>
      </c>
      <c r="AG163" s="157" t="str">
        <f>IF(ID!$A$83=AE163,AF163,"")</f>
        <v/>
      </c>
      <c r="AH163" s="157" t="str">
        <f>IFERROR(SMALL($AG$11:$AG$394,ROWS($AG$11:AG163)),"")</f>
        <v/>
      </c>
    </row>
    <row r="164" spans="2:34" x14ac:dyDescent="0.25">
      <c r="S164" s="230" t="s">
        <v>104</v>
      </c>
      <c r="T164" s="713"/>
      <c r="U164" s="714" t="s">
        <v>104</v>
      </c>
      <c r="V164" s="714"/>
      <c r="W164" s="534"/>
      <c r="X164" s="201" t="s">
        <v>104</v>
      </c>
      <c r="Y164" s="725"/>
      <c r="Z164" s="725"/>
      <c r="AA164" s="725"/>
      <c r="AB164" s="534"/>
      <c r="AC164" s="201"/>
      <c r="AD164" s="11"/>
      <c r="AE164" s="4"/>
      <c r="AF164" s="157">
        <f>ROWS(AE$11:$AE164)</f>
        <v>154</v>
      </c>
      <c r="AG164" s="157" t="str">
        <f>IF(ID!$A$83=AE164,AF164,"")</f>
        <v/>
      </c>
      <c r="AH164" s="157" t="str">
        <f>IFERROR(SMALL($AG$11:$AG$394,ROWS($AG$11:AG164)),"")</f>
        <v/>
      </c>
    </row>
    <row r="165" spans="2:34" x14ac:dyDescent="0.25">
      <c r="S165" s="230" t="s">
        <v>104</v>
      </c>
      <c r="T165" s="713"/>
      <c r="U165" s="714" t="s">
        <v>104</v>
      </c>
      <c r="V165" s="714"/>
      <c r="W165" s="534"/>
      <c r="X165" s="201" t="s">
        <v>104</v>
      </c>
      <c r="Y165" s="725"/>
      <c r="Z165" s="725"/>
      <c r="AA165" s="725"/>
      <c r="AB165" s="534"/>
      <c r="AC165" s="201"/>
      <c r="AD165" s="11"/>
      <c r="AE165" s="4"/>
      <c r="AF165" s="157">
        <f>ROWS(AE$11:$AE165)</f>
        <v>155</v>
      </c>
      <c r="AG165" s="157" t="str">
        <f>IF(ID!$A$83=AE165,AF165,"")</f>
        <v/>
      </c>
      <c r="AH165" s="157" t="str">
        <f>IFERROR(SMALL($AG$11:$AG$394,ROWS($AG$11:AG165)),"")</f>
        <v/>
      </c>
    </row>
    <row r="166" spans="2:34" s="513" customFormat="1" x14ac:dyDescent="0.25">
      <c r="C166" s="519"/>
      <c r="D166" s="525"/>
      <c r="I166" s="519"/>
      <c r="J166" s="525"/>
      <c r="S166" s="514"/>
      <c r="T166" s="514"/>
      <c r="U166" s="514"/>
      <c r="V166" s="514"/>
      <c r="W166" s="514"/>
      <c r="X166" s="514"/>
      <c r="Y166" s="514"/>
      <c r="Z166" s="514"/>
      <c r="AA166" s="514"/>
      <c r="AB166" s="529"/>
      <c r="AF166" s="157">
        <f>ROWS(AE$11:$AE166)</f>
        <v>156</v>
      </c>
      <c r="AG166" s="157" t="str">
        <f>IF(ID!$A$83=AE166,AF166,"")</f>
        <v/>
      </c>
      <c r="AH166" s="157" t="str">
        <f>IFERROR(SMALL($AG$11:$AG$394,ROWS($AG$11:AG166)),"")</f>
        <v/>
      </c>
    </row>
    <row r="167" spans="2:34" s="513" customFormat="1" x14ac:dyDescent="0.25">
      <c r="C167" s="519"/>
      <c r="D167" s="525"/>
      <c r="I167" s="519"/>
      <c r="J167" s="525"/>
      <c r="S167" s="514"/>
      <c r="T167" s="514"/>
      <c r="U167" s="514"/>
      <c r="V167" s="514"/>
      <c r="W167" s="959" t="s">
        <v>242</v>
      </c>
      <c r="X167" s="10"/>
      <c r="Y167" s="717"/>
      <c r="Z167" s="717"/>
      <c r="AA167" s="717"/>
      <c r="AB167" s="959" t="s">
        <v>242</v>
      </c>
      <c r="AF167" s="157">
        <f>ROWS(AE$11:$AE167)</f>
        <v>157</v>
      </c>
      <c r="AG167" s="157" t="str">
        <f>IF(ID!$A$83=AE167,AF167,"")</f>
        <v/>
      </c>
      <c r="AH167" s="157" t="str">
        <f>IFERROR(SMALL($AG$11:$AG$394,ROWS($AG$11:AG167)),"")</f>
        <v/>
      </c>
    </row>
    <row r="168" spans="2:34" x14ac:dyDescent="0.25">
      <c r="B168" s="1099" t="s">
        <v>400</v>
      </c>
      <c r="C168" s="1100"/>
      <c r="D168" s="1100"/>
      <c r="E168" s="1101"/>
      <c r="F168" s="233"/>
      <c r="H168" s="1099" t="s">
        <v>401</v>
      </c>
      <c r="I168" s="1100"/>
      <c r="J168" s="1100"/>
      <c r="K168" s="1101"/>
      <c r="L168" s="233"/>
      <c r="M168" s="1099" t="s">
        <v>195</v>
      </c>
      <c r="N168" s="1100"/>
      <c r="O168" s="1100"/>
      <c r="P168" s="1100"/>
      <c r="Q168" s="1101"/>
      <c r="S168" s="224" t="s">
        <v>48</v>
      </c>
      <c r="T168" s="700" t="s">
        <v>403</v>
      </c>
      <c r="U168" s="701" t="s">
        <v>402</v>
      </c>
      <c r="V168" s="701" t="s">
        <v>192</v>
      </c>
      <c r="W168" s="528" t="s">
        <v>172</v>
      </c>
      <c r="X168" s="197" t="s">
        <v>190</v>
      </c>
      <c r="Y168" s="718" t="s">
        <v>404</v>
      </c>
      <c r="Z168" s="719" t="s">
        <v>405</v>
      </c>
      <c r="AA168" s="719" t="s">
        <v>193</v>
      </c>
      <c r="AB168" s="528" t="s">
        <v>152</v>
      </c>
      <c r="AC168" s="197" t="s">
        <v>191</v>
      </c>
      <c r="AF168" s="157">
        <f>ROWS(AE$11:$AE168)</f>
        <v>158</v>
      </c>
      <c r="AG168" s="157" t="str">
        <f>IF(ID!$A$83=AE168,AF168,"")</f>
        <v/>
      </c>
      <c r="AH168" s="157" t="str">
        <f>IFERROR(SMALL($AG$11:$AG$394,ROWS($AG$11:AG168)),"")</f>
        <v/>
      </c>
    </row>
    <row r="169" spans="2:34" x14ac:dyDescent="0.25">
      <c r="B169" s="207">
        <v>0</v>
      </c>
      <c r="C169" s="193" t="s">
        <v>134</v>
      </c>
      <c r="D169" s="512" t="s">
        <v>134</v>
      </c>
      <c r="E169" s="1108" t="s">
        <v>134</v>
      </c>
      <c r="F169" s="237"/>
      <c r="H169" s="207">
        <v>0</v>
      </c>
      <c r="I169" s="193" t="s">
        <v>134</v>
      </c>
      <c r="J169" s="512" t="s">
        <v>134</v>
      </c>
      <c r="K169" s="1108" t="s">
        <v>134</v>
      </c>
      <c r="L169" s="237"/>
      <c r="M169" s="207">
        <v>0</v>
      </c>
      <c r="N169" s="193">
        <v>0</v>
      </c>
      <c r="O169" s="948">
        <v>0</v>
      </c>
      <c r="P169" s="12">
        <v>0.1</v>
      </c>
      <c r="Q169" s="1111" t="s">
        <v>375</v>
      </c>
      <c r="R169" s="236"/>
      <c r="S169" s="971">
        <v>0</v>
      </c>
      <c r="T169" s="972" t="str">
        <f>C169</f>
        <v>-</v>
      </c>
      <c r="U169" s="973" t="str">
        <f>I169</f>
        <v>-</v>
      </c>
      <c r="V169" s="973">
        <f>N169</f>
        <v>0</v>
      </c>
      <c r="W169" s="974">
        <f>X169/3</f>
        <v>3.3333333333333333E-2</v>
      </c>
      <c r="X169" s="975">
        <f>P169</f>
        <v>0.1</v>
      </c>
      <c r="Y169" s="976" t="str">
        <f>D169</f>
        <v>-</v>
      </c>
      <c r="Z169" s="977" t="str">
        <f>J169</f>
        <v>-</v>
      </c>
      <c r="AA169" s="977">
        <f>O169</f>
        <v>0</v>
      </c>
      <c r="AB169" s="974">
        <f>AC169/3</f>
        <v>3.3333333333333333E-2</v>
      </c>
      <c r="AC169" s="975">
        <f>P169</f>
        <v>0.1</v>
      </c>
      <c r="AD169" s="982"/>
      <c r="AE169" s="4"/>
      <c r="AF169" s="157">
        <f>ROWS(AE$11:$AE169)</f>
        <v>159</v>
      </c>
      <c r="AG169" s="157" t="str">
        <f>IF(ID!$A$83=AE169,AF169,"")</f>
        <v/>
      </c>
      <c r="AH169" s="157" t="str">
        <f>IFERROR(SMALL($AG$11:$AG$394,ROWS($AG$11:AG169)),"")</f>
        <v/>
      </c>
    </row>
    <row r="170" spans="2:34" x14ac:dyDescent="0.25">
      <c r="B170" s="207">
        <v>50</v>
      </c>
      <c r="C170" s="193" t="s">
        <v>134</v>
      </c>
      <c r="D170" s="512" t="s">
        <v>134</v>
      </c>
      <c r="E170" s="1109"/>
      <c r="F170" s="237"/>
      <c r="H170" s="207">
        <v>50</v>
      </c>
      <c r="I170" s="193" t="s">
        <v>134</v>
      </c>
      <c r="J170" s="512" t="s">
        <v>134</v>
      </c>
      <c r="K170" s="1109"/>
      <c r="L170" s="237"/>
      <c r="M170" s="207">
        <v>50</v>
      </c>
      <c r="N170" s="193">
        <v>0</v>
      </c>
      <c r="O170" s="948">
        <v>0.3</v>
      </c>
      <c r="P170" s="12">
        <v>0.1</v>
      </c>
      <c r="Q170" s="1112"/>
      <c r="R170" s="236"/>
      <c r="S170" s="971">
        <v>50</v>
      </c>
      <c r="T170" s="972" t="str">
        <f t="shared" ref="T170:T175" si="99">C170</f>
        <v>-</v>
      </c>
      <c r="U170" s="973" t="str">
        <f t="shared" ref="U170:U175" si="100">I170</f>
        <v>-</v>
      </c>
      <c r="V170" s="973">
        <f t="shared" ref="V170:V175" si="101">N170</f>
        <v>0</v>
      </c>
      <c r="W170" s="974">
        <f t="shared" ref="W170:W175" si="102">X170/3</f>
        <v>3.3333333333333333E-2</v>
      </c>
      <c r="X170" s="975">
        <f t="shared" ref="X170:X175" si="103">P170</f>
        <v>0.1</v>
      </c>
      <c r="Y170" s="976" t="str">
        <f t="shared" ref="Y170" si="104">D170</f>
        <v>-</v>
      </c>
      <c r="Z170" s="977" t="str">
        <f t="shared" ref="Z170:Z175" si="105">J170</f>
        <v>-</v>
      </c>
      <c r="AA170" s="977">
        <f t="shared" ref="AA170:AA175" si="106">O170</f>
        <v>0.3</v>
      </c>
      <c r="AB170" s="974">
        <f t="shared" ref="AB170:AB175" si="107">AC170/3</f>
        <v>3.3333333333333333E-2</v>
      </c>
      <c r="AC170" s="975">
        <f t="shared" ref="AC170:AC175" si="108">P170</f>
        <v>0.1</v>
      </c>
      <c r="AD170" s="982"/>
      <c r="AE170" s="4"/>
      <c r="AF170" s="157">
        <f>ROWS(AE$11:$AE170)</f>
        <v>160</v>
      </c>
      <c r="AG170" s="157" t="str">
        <f>IF(ID!$A$83=AE170,AF170,"")</f>
        <v/>
      </c>
      <c r="AH170" s="157" t="str">
        <f>IFERROR(SMALL($AG$11:$AG$394,ROWS($AG$11:AG170)),"")</f>
        <v/>
      </c>
    </row>
    <row r="171" spans="2:34" x14ac:dyDescent="0.25">
      <c r="B171" s="207">
        <v>100</v>
      </c>
      <c r="C171" s="193" t="s">
        <v>134</v>
      </c>
      <c r="D171" s="512" t="s">
        <v>134</v>
      </c>
      <c r="E171" s="1109"/>
      <c r="F171" s="237"/>
      <c r="H171" s="207">
        <v>100</v>
      </c>
      <c r="I171" s="193" t="s">
        <v>134</v>
      </c>
      <c r="J171" s="512" t="s">
        <v>134</v>
      </c>
      <c r="K171" s="1109"/>
      <c r="L171" s="237"/>
      <c r="M171" s="207">
        <v>100</v>
      </c>
      <c r="N171" s="193">
        <v>0</v>
      </c>
      <c r="O171" s="948">
        <v>0.1</v>
      </c>
      <c r="P171" s="12">
        <v>0.1</v>
      </c>
      <c r="Q171" s="1112"/>
      <c r="R171" s="236"/>
      <c r="S171" s="971">
        <v>100</v>
      </c>
      <c r="T171" s="972" t="str">
        <f t="shared" si="99"/>
        <v>-</v>
      </c>
      <c r="U171" s="973" t="str">
        <f t="shared" si="100"/>
        <v>-</v>
      </c>
      <c r="V171" s="973">
        <f t="shared" si="101"/>
        <v>0</v>
      </c>
      <c r="W171" s="974">
        <f t="shared" si="102"/>
        <v>3.3333333333333333E-2</v>
      </c>
      <c r="X171" s="975">
        <f t="shared" si="103"/>
        <v>0.1</v>
      </c>
      <c r="Y171" s="976" t="str">
        <f>D171</f>
        <v>-</v>
      </c>
      <c r="Z171" s="977" t="str">
        <f t="shared" si="105"/>
        <v>-</v>
      </c>
      <c r="AA171" s="977">
        <f t="shared" si="106"/>
        <v>0.1</v>
      </c>
      <c r="AB171" s="974">
        <f t="shared" si="107"/>
        <v>3.3333333333333333E-2</v>
      </c>
      <c r="AC171" s="975">
        <f t="shared" si="108"/>
        <v>0.1</v>
      </c>
      <c r="AD171" s="982"/>
      <c r="AE171" s="4"/>
      <c r="AF171" s="157">
        <f>ROWS(AE$11:$AE171)</f>
        <v>161</v>
      </c>
      <c r="AG171" s="157" t="str">
        <f>IF(ID!$A$83=AE171,AF171,"")</f>
        <v/>
      </c>
      <c r="AH171" s="157" t="str">
        <f>IFERROR(SMALL($AG$11:$AG$394,ROWS($AG$11:AG171)),"")</f>
        <v/>
      </c>
    </row>
    <row r="172" spans="2:34" x14ac:dyDescent="0.25">
      <c r="B172" s="207">
        <v>150</v>
      </c>
      <c r="C172" s="193" t="s">
        <v>134</v>
      </c>
      <c r="D172" s="512" t="s">
        <v>134</v>
      </c>
      <c r="E172" s="1109"/>
      <c r="F172" s="237"/>
      <c r="H172" s="207">
        <v>150</v>
      </c>
      <c r="I172" s="193" t="s">
        <v>134</v>
      </c>
      <c r="J172" s="512" t="s">
        <v>134</v>
      </c>
      <c r="K172" s="1109"/>
      <c r="L172" s="237"/>
      <c r="M172" s="207">
        <v>150</v>
      </c>
      <c r="N172" s="193">
        <v>-0.1</v>
      </c>
      <c r="O172" s="948">
        <v>0</v>
      </c>
      <c r="P172" s="12">
        <v>0.1</v>
      </c>
      <c r="Q172" s="1112"/>
      <c r="R172" s="236"/>
      <c r="S172" s="971">
        <v>150</v>
      </c>
      <c r="T172" s="972" t="str">
        <f t="shared" si="99"/>
        <v>-</v>
      </c>
      <c r="U172" s="973" t="str">
        <f t="shared" si="100"/>
        <v>-</v>
      </c>
      <c r="V172" s="973">
        <f t="shared" si="101"/>
        <v>-0.1</v>
      </c>
      <c r="W172" s="974">
        <f t="shared" si="102"/>
        <v>3.3333333333333333E-2</v>
      </c>
      <c r="X172" s="975">
        <f t="shared" si="103"/>
        <v>0.1</v>
      </c>
      <c r="Y172" s="976" t="str">
        <f t="shared" ref="Y172" si="109">D172</f>
        <v>-</v>
      </c>
      <c r="Z172" s="977" t="str">
        <f t="shared" si="105"/>
        <v>-</v>
      </c>
      <c r="AA172" s="977">
        <f t="shared" si="106"/>
        <v>0</v>
      </c>
      <c r="AB172" s="974">
        <f t="shared" si="107"/>
        <v>3.3333333333333333E-2</v>
      </c>
      <c r="AC172" s="975">
        <f t="shared" si="108"/>
        <v>0.1</v>
      </c>
      <c r="AD172" s="982"/>
      <c r="AE172" s="4"/>
      <c r="AF172" s="157">
        <f>ROWS(AE$11:$AE172)</f>
        <v>162</v>
      </c>
      <c r="AG172" s="157" t="str">
        <f>IF(ID!$A$83=AE172,AF172,"")</f>
        <v/>
      </c>
      <c r="AH172" s="157" t="str">
        <f>IFERROR(SMALL($AG$11:$AG$394,ROWS($AG$11:AG172)),"")</f>
        <v/>
      </c>
    </row>
    <row r="173" spans="2:34" x14ac:dyDescent="0.25">
      <c r="B173" s="207">
        <v>200</v>
      </c>
      <c r="C173" s="193" t="s">
        <v>134</v>
      </c>
      <c r="D173" s="512" t="s">
        <v>134</v>
      </c>
      <c r="E173" s="1109"/>
      <c r="F173" s="237"/>
      <c r="H173" s="207">
        <v>200</v>
      </c>
      <c r="I173" s="193" t="s">
        <v>134</v>
      </c>
      <c r="J173" s="512" t="s">
        <v>134</v>
      </c>
      <c r="K173" s="1109"/>
      <c r="L173" s="237"/>
      <c r="M173" s="207">
        <v>200</v>
      </c>
      <c r="N173" s="193">
        <v>-0.1</v>
      </c>
      <c r="O173" s="948">
        <v>-0.1</v>
      </c>
      <c r="P173" s="12">
        <v>0.1</v>
      </c>
      <c r="Q173" s="1112"/>
      <c r="R173" s="236"/>
      <c r="S173" s="971">
        <v>200</v>
      </c>
      <c r="T173" s="972" t="str">
        <f t="shared" si="99"/>
        <v>-</v>
      </c>
      <c r="U173" s="973" t="str">
        <f t="shared" si="100"/>
        <v>-</v>
      </c>
      <c r="V173" s="973">
        <f t="shared" si="101"/>
        <v>-0.1</v>
      </c>
      <c r="W173" s="974">
        <f t="shared" si="102"/>
        <v>3.3333333333333333E-2</v>
      </c>
      <c r="X173" s="975">
        <f t="shared" si="103"/>
        <v>0.1</v>
      </c>
      <c r="Y173" s="976" t="str">
        <f>D173</f>
        <v>-</v>
      </c>
      <c r="Z173" s="977" t="str">
        <f t="shared" si="105"/>
        <v>-</v>
      </c>
      <c r="AA173" s="977">
        <f t="shared" si="106"/>
        <v>-0.1</v>
      </c>
      <c r="AB173" s="974">
        <f t="shared" si="107"/>
        <v>3.3333333333333333E-2</v>
      </c>
      <c r="AC173" s="975">
        <f t="shared" si="108"/>
        <v>0.1</v>
      </c>
      <c r="AD173" s="982"/>
      <c r="AE173" s="4"/>
      <c r="AF173" s="157">
        <f>ROWS(AE$11:$AE173)</f>
        <v>163</v>
      </c>
      <c r="AG173" s="157" t="str">
        <f>IF(ID!$A$83=AE173,AF173,"")</f>
        <v/>
      </c>
      <c r="AH173" s="157" t="str">
        <f>IFERROR(SMALL($AG$11:$AG$394,ROWS($AG$11:AG173)),"")</f>
        <v/>
      </c>
    </row>
    <row r="174" spans="2:34" x14ac:dyDescent="0.25">
      <c r="B174" s="207">
        <v>250</v>
      </c>
      <c r="C174" s="193" t="s">
        <v>134</v>
      </c>
      <c r="D174" s="512" t="s">
        <v>134</v>
      </c>
      <c r="E174" s="1109"/>
      <c r="F174" s="237"/>
      <c r="H174" s="207">
        <v>250</v>
      </c>
      <c r="I174" s="193" t="s">
        <v>134</v>
      </c>
      <c r="J174" s="512" t="s">
        <v>134</v>
      </c>
      <c r="K174" s="1109"/>
      <c r="L174" s="237"/>
      <c r="M174" s="207">
        <v>250</v>
      </c>
      <c r="N174" s="193">
        <v>-0.4</v>
      </c>
      <c r="O174" s="948">
        <v>-0.4</v>
      </c>
      <c r="P174" s="12">
        <v>0.1</v>
      </c>
      <c r="Q174" s="1112"/>
      <c r="R174" s="236"/>
      <c r="S174" s="971">
        <v>250</v>
      </c>
      <c r="T174" s="972" t="str">
        <f t="shared" si="99"/>
        <v>-</v>
      </c>
      <c r="U174" s="973" t="str">
        <f t="shared" si="100"/>
        <v>-</v>
      </c>
      <c r="V174" s="973">
        <f t="shared" si="101"/>
        <v>-0.4</v>
      </c>
      <c r="W174" s="974">
        <f t="shared" si="102"/>
        <v>3.3333333333333333E-2</v>
      </c>
      <c r="X174" s="975">
        <f t="shared" si="103"/>
        <v>0.1</v>
      </c>
      <c r="Y174" s="976" t="str">
        <f t="shared" ref="Y174:Y175" si="110">D174</f>
        <v>-</v>
      </c>
      <c r="Z174" s="977" t="str">
        <f t="shared" si="105"/>
        <v>-</v>
      </c>
      <c r="AA174" s="977">
        <f t="shared" si="106"/>
        <v>-0.4</v>
      </c>
      <c r="AB174" s="974">
        <f t="shared" si="107"/>
        <v>3.3333333333333333E-2</v>
      </c>
      <c r="AC174" s="975">
        <f t="shared" si="108"/>
        <v>0.1</v>
      </c>
      <c r="AD174" s="982"/>
      <c r="AE174" s="4"/>
      <c r="AF174" s="157">
        <f>ROWS(AE$11:$AE174)</f>
        <v>164</v>
      </c>
      <c r="AG174" s="157" t="str">
        <f>IF(ID!$A$83=AE174,AF174,"")</f>
        <v/>
      </c>
      <c r="AH174" s="157" t="str">
        <f>IFERROR(SMALL($AG$11:$AG$394,ROWS($AG$11:AG174)),"")</f>
        <v/>
      </c>
    </row>
    <row r="175" spans="2:34" x14ac:dyDescent="0.25">
      <c r="B175" s="207">
        <v>300</v>
      </c>
      <c r="C175" s="193" t="s">
        <v>134</v>
      </c>
      <c r="D175" s="512" t="s">
        <v>134</v>
      </c>
      <c r="E175" s="1110"/>
      <c r="F175" s="237"/>
      <c r="H175" s="207">
        <v>300</v>
      </c>
      <c r="I175" s="193" t="s">
        <v>134</v>
      </c>
      <c r="J175" s="512" t="s">
        <v>134</v>
      </c>
      <c r="K175" s="1110"/>
      <c r="L175" s="237"/>
      <c r="M175" s="207">
        <v>300</v>
      </c>
      <c r="N175" s="193">
        <v>-0.7</v>
      </c>
      <c r="O175" s="948">
        <v>0.6</v>
      </c>
      <c r="P175" s="12">
        <v>0.1</v>
      </c>
      <c r="Q175" s="1113"/>
      <c r="R175" s="236"/>
      <c r="S175" s="971">
        <v>300</v>
      </c>
      <c r="T175" s="972" t="str">
        <f t="shared" si="99"/>
        <v>-</v>
      </c>
      <c r="U175" s="973" t="str">
        <f t="shared" si="100"/>
        <v>-</v>
      </c>
      <c r="V175" s="973">
        <f t="shared" si="101"/>
        <v>-0.7</v>
      </c>
      <c r="W175" s="974">
        <f t="shared" si="102"/>
        <v>3.3333333333333333E-2</v>
      </c>
      <c r="X175" s="975">
        <f t="shared" si="103"/>
        <v>0.1</v>
      </c>
      <c r="Y175" s="976" t="str">
        <f t="shared" si="110"/>
        <v>-</v>
      </c>
      <c r="Z175" s="977" t="str">
        <f t="shared" si="105"/>
        <v>-</v>
      </c>
      <c r="AA175" s="977">
        <f t="shared" si="106"/>
        <v>0.6</v>
      </c>
      <c r="AB175" s="974">
        <f t="shared" si="107"/>
        <v>3.3333333333333333E-2</v>
      </c>
      <c r="AC175" s="975">
        <f t="shared" si="108"/>
        <v>0.1</v>
      </c>
      <c r="AD175" s="982"/>
      <c r="AE175" s="4"/>
      <c r="AF175" s="157">
        <f>ROWS(AE$11:$AE175)</f>
        <v>165</v>
      </c>
      <c r="AG175" s="157" t="str">
        <f>IF(ID!$A$83=AE175,AF175,"")</f>
        <v/>
      </c>
      <c r="AH175" s="157" t="str">
        <f>IFERROR(SMALL($AG$11:$AG$394,ROWS($AG$11:AG175)),"")</f>
        <v/>
      </c>
    </row>
    <row r="176" spans="2:34" x14ac:dyDescent="0.25">
      <c r="S176" s="991" t="s">
        <v>104</v>
      </c>
      <c r="T176" s="992"/>
      <c r="U176" s="993"/>
      <c r="V176" s="993"/>
      <c r="W176" s="994"/>
      <c r="X176" s="998"/>
      <c r="Y176" s="997"/>
      <c r="Z176" s="997"/>
      <c r="AA176" s="997"/>
      <c r="AB176" s="994"/>
      <c r="AC176" s="998"/>
      <c r="AD176" s="999"/>
      <c r="AE176" s="4"/>
      <c r="AF176" s="157">
        <f>ROWS(AE$11:$AE176)</f>
        <v>166</v>
      </c>
      <c r="AG176" s="157" t="str">
        <f>IF(ID!$A$83=AE176,AF176,"")</f>
        <v/>
      </c>
      <c r="AH176" s="157" t="str">
        <f>IFERROR(SMALL($AG$11:$AG$394,ROWS($AG$11:AG176)),"")</f>
        <v/>
      </c>
    </row>
    <row r="177" spans="1:34" x14ac:dyDescent="0.25">
      <c r="E177" s="13"/>
      <c r="F177" s="13"/>
      <c r="K177" s="13"/>
      <c r="L177" s="13"/>
      <c r="N177" s="13"/>
      <c r="O177" s="13"/>
      <c r="Q177" s="13"/>
      <c r="R177" s="13"/>
      <c r="S177" s="991" t="s">
        <v>104</v>
      </c>
      <c r="T177" s="992"/>
      <c r="U177" s="993" t="s">
        <v>104</v>
      </c>
      <c r="V177" s="993"/>
      <c r="W177" s="994"/>
      <c r="X177" s="998" t="s">
        <v>104</v>
      </c>
      <c r="Y177" s="997"/>
      <c r="Z177" s="997"/>
      <c r="AA177" s="997"/>
      <c r="AB177" s="994"/>
      <c r="AC177" s="998"/>
      <c r="AD177" s="999"/>
      <c r="AE177" s="4"/>
      <c r="AF177" s="157">
        <f>ROWS(AE$11:$AE177)</f>
        <v>167</v>
      </c>
      <c r="AG177" s="157" t="str">
        <f>IF(ID!$A$83=AE177,AF177,"")</f>
        <v/>
      </c>
      <c r="AH177" s="157" t="str">
        <f>IFERROR(SMALL($AG$11:$AG$394,ROWS($AG$11:AG177)),"")</f>
        <v/>
      </c>
    </row>
    <row r="178" spans="1:34" x14ac:dyDescent="0.25">
      <c r="S178" s="230" t="s">
        <v>104</v>
      </c>
      <c r="T178" s="713"/>
      <c r="U178" s="714" t="s">
        <v>104</v>
      </c>
      <c r="V178" s="714"/>
      <c r="W178" s="534"/>
      <c r="X178" s="201" t="s">
        <v>104</v>
      </c>
      <c r="Y178" s="725"/>
      <c r="Z178" s="725"/>
      <c r="AA178" s="725"/>
      <c r="AB178" s="534"/>
      <c r="AC178" s="201"/>
      <c r="AD178" s="95"/>
      <c r="AE178" s="4"/>
      <c r="AF178" s="157">
        <f>ROWS(AE$11:$AE178)</f>
        <v>168</v>
      </c>
      <c r="AG178" s="157" t="str">
        <f>IF(ID!$A$83=AE178,AF178,"")</f>
        <v/>
      </c>
      <c r="AH178" s="157" t="str">
        <f>IFERROR(SMALL($AG$11:$AG$394,ROWS($AG$11:AG178)),"")</f>
        <v/>
      </c>
    </row>
    <row r="179" spans="1:34" x14ac:dyDescent="0.25">
      <c r="S179" s="230" t="s">
        <v>104</v>
      </c>
      <c r="T179" s="713"/>
      <c r="U179" s="714" t="s">
        <v>104</v>
      </c>
      <c r="V179" s="714"/>
      <c r="W179" s="534"/>
      <c r="X179" s="201" t="s">
        <v>104</v>
      </c>
      <c r="Y179" s="725"/>
      <c r="Z179" s="725"/>
      <c r="AA179" s="725"/>
      <c r="AB179" s="534"/>
      <c r="AC179" s="201"/>
      <c r="AD179" s="95"/>
      <c r="AE179" s="4"/>
      <c r="AF179" s="157">
        <f>ROWS(AE$11:$AE179)</f>
        <v>169</v>
      </c>
      <c r="AG179" s="157" t="str">
        <f>IF(ID!$A$83=AE179,AF179,"")</f>
        <v/>
      </c>
      <c r="AH179" s="157" t="str">
        <f>IFERROR(SMALL($AG$11:$AG$394,ROWS($AG$11:AG179)),"")</f>
        <v/>
      </c>
    </row>
    <row r="180" spans="1:34" x14ac:dyDescent="0.25">
      <c r="E180" s="13"/>
      <c r="F180" s="13"/>
      <c r="K180" s="13"/>
      <c r="L180" s="13"/>
      <c r="N180" s="13"/>
      <c r="O180" s="13"/>
      <c r="Q180" s="13"/>
      <c r="R180" s="13"/>
      <c r="S180" s="231"/>
      <c r="AD180" s="13"/>
      <c r="AE180" s="13"/>
      <c r="AF180" s="157">
        <f>ROWS(AE$11:$AE180)</f>
        <v>170</v>
      </c>
      <c r="AG180" s="157" t="str">
        <f>IF(ID!$A$83=AE180,AF180,"")</f>
        <v/>
      </c>
      <c r="AH180" s="157" t="str">
        <f>IFERROR(SMALL($AG$11:$AG$394,ROWS($AG$11:AG180)),"")</f>
        <v/>
      </c>
    </row>
    <row r="181" spans="1:34" s="513" customFormat="1" x14ac:dyDescent="0.25">
      <c r="C181" s="519"/>
      <c r="D181" s="525"/>
      <c r="I181" s="519"/>
      <c r="J181" s="525"/>
      <c r="S181" s="514"/>
      <c r="T181" s="514"/>
      <c r="U181" s="514"/>
      <c r="V181" s="514"/>
      <c r="W181" s="514"/>
      <c r="X181" s="514"/>
      <c r="Y181" s="514"/>
      <c r="Z181" s="514"/>
      <c r="AA181" s="514"/>
      <c r="AB181" s="529"/>
      <c r="AF181" s="157">
        <f>ROWS(AE$11:$AE181)</f>
        <v>171</v>
      </c>
      <c r="AG181" s="157" t="str">
        <f>IF(ID!$A$83=AE181,AF181,"")</f>
        <v/>
      </c>
      <c r="AH181" s="157" t="str">
        <f>IFERROR(SMALL($AG$11:$AG$394,ROWS($AG$11:AG181)),"")</f>
        <v/>
      </c>
    </row>
    <row r="182" spans="1:34" s="513" customFormat="1" x14ac:dyDescent="0.25">
      <c r="C182" s="519"/>
      <c r="D182" s="525"/>
      <c r="I182" s="519"/>
      <c r="J182" s="525"/>
      <c r="S182" s="514"/>
      <c r="T182" s="514"/>
      <c r="U182" s="514"/>
      <c r="V182" s="514"/>
      <c r="W182" s="959" t="s">
        <v>545</v>
      </c>
      <c r="X182" s="10"/>
      <c r="Y182" s="717"/>
      <c r="Z182" s="717"/>
      <c r="AA182" s="717"/>
      <c r="AB182" s="959" t="s">
        <v>545</v>
      </c>
      <c r="AF182" s="157">
        <f>ROWS(AE$11:$AE182)</f>
        <v>172</v>
      </c>
      <c r="AG182" s="157" t="str">
        <f>IF(ID!$A$83=AE182,AF182,"")</f>
        <v/>
      </c>
      <c r="AH182" s="157" t="str">
        <f>IFERROR(SMALL($AG$11:$AG$394,ROWS($AG$11:AG182)),"")</f>
        <v/>
      </c>
    </row>
    <row r="183" spans="1:34" x14ac:dyDescent="0.25">
      <c r="B183" s="1099" t="s">
        <v>400</v>
      </c>
      <c r="C183" s="1100"/>
      <c r="D183" s="1100"/>
      <c r="E183" s="1101"/>
      <c r="F183" s="233"/>
      <c r="H183" s="1099" t="s">
        <v>401</v>
      </c>
      <c r="I183" s="1100"/>
      <c r="J183" s="1100"/>
      <c r="K183" s="1101"/>
      <c r="L183" s="233"/>
      <c r="M183" s="1099" t="s">
        <v>195</v>
      </c>
      <c r="N183" s="1100"/>
      <c r="O183" s="1100"/>
      <c r="P183" s="1100"/>
      <c r="Q183" s="1101"/>
      <c r="S183" s="224" t="s">
        <v>48</v>
      </c>
      <c r="T183" s="700" t="s">
        <v>403</v>
      </c>
      <c r="U183" s="701" t="s">
        <v>402</v>
      </c>
      <c r="V183" s="701" t="s">
        <v>192</v>
      </c>
      <c r="W183" s="528" t="s">
        <v>172</v>
      </c>
      <c r="X183" s="197" t="s">
        <v>190</v>
      </c>
      <c r="Y183" s="718" t="s">
        <v>404</v>
      </c>
      <c r="Z183" s="719" t="s">
        <v>405</v>
      </c>
      <c r="AA183" s="719" t="s">
        <v>193</v>
      </c>
      <c r="AB183" s="528" t="s">
        <v>152</v>
      </c>
      <c r="AC183" s="197" t="s">
        <v>191</v>
      </c>
      <c r="AF183" s="157">
        <f>ROWS(AE$11:$AE183)</f>
        <v>173</v>
      </c>
      <c r="AG183" s="157" t="str">
        <f>IF(ID!$A$83=AE183,AF183,"")</f>
        <v/>
      </c>
      <c r="AH183" s="157" t="str">
        <f>IFERROR(SMALL($AG$11:$AG$394,ROWS($AG$11:AG183)),"")</f>
        <v/>
      </c>
    </row>
    <row r="184" spans="1:34" x14ac:dyDescent="0.25">
      <c r="A184" s="928" t="s">
        <v>520</v>
      </c>
      <c r="B184" s="207">
        <v>0</v>
      </c>
      <c r="C184" s="193">
        <v>0</v>
      </c>
      <c r="D184" s="512">
        <v>0</v>
      </c>
      <c r="E184" s="1108" t="s">
        <v>372</v>
      </c>
      <c r="F184" s="237"/>
      <c r="G184" s="928" t="s">
        <v>521</v>
      </c>
      <c r="H184" s="207">
        <v>0</v>
      </c>
      <c r="I184" s="193">
        <v>0</v>
      </c>
      <c r="J184" s="512">
        <v>0</v>
      </c>
      <c r="K184" s="1111" t="s">
        <v>525</v>
      </c>
      <c r="L184" s="237" t="s">
        <v>522</v>
      </c>
      <c r="M184" s="207">
        <v>0</v>
      </c>
      <c r="N184" s="193">
        <v>0</v>
      </c>
      <c r="O184" s="512">
        <v>0</v>
      </c>
      <c r="P184" s="199">
        <v>0.4</v>
      </c>
      <c r="Q184" s="1111" t="s">
        <v>582</v>
      </c>
      <c r="R184" s="236"/>
      <c r="S184" s="207">
        <v>0</v>
      </c>
      <c r="T184" s="702">
        <f>C184</f>
        <v>0</v>
      </c>
      <c r="U184" s="703">
        <f>I184</f>
        <v>0</v>
      </c>
      <c r="V184" s="703">
        <f>N184</f>
        <v>0</v>
      </c>
      <c r="W184" s="499">
        <f>0.5*(MAX(T184:V184)-MIN(T184:V184))</f>
        <v>0</v>
      </c>
      <c r="X184" s="199">
        <f>P184</f>
        <v>0.4</v>
      </c>
      <c r="Y184" s="720">
        <f>D184</f>
        <v>0</v>
      </c>
      <c r="Z184" s="721">
        <f>J184</f>
        <v>0</v>
      </c>
      <c r="AA184" s="721">
        <f>O184</f>
        <v>0</v>
      </c>
      <c r="AB184" s="499">
        <f>0.5*(MAX(Y184:AA184)-MIN(Y184:AA184))</f>
        <v>0</v>
      </c>
      <c r="AC184" s="198">
        <f>P184</f>
        <v>0.4</v>
      </c>
      <c r="AD184" s="9" t="s">
        <v>332</v>
      </c>
      <c r="AE184" s="4" t="s">
        <v>462</v>
      </c>
      <c r="AF184" s="157">
        <f>ROWS(AE$11:$AE184)</f>
        <v>174</v>
      </c>
      <c r="AG184" s="157" t="str">
        <f>IF(ID!$A$83=AE184,AF184,"")</f>
        <v/>
      </c>
      <c r="AH184" s="157" t="str">
        <f>IFERROR(SMALL($AG$11:$AG$394,ROWS($AG$11:AG184)),"")</f>
        <v/>
      </c>
    </row>
    <row r="185" spans="1:34" x14ac:dyDescent="0.25">
      <c r="B185" s="207">
        <v>50</v>
      </c>
      <c r="C185" s="193">
        <v>0.2</v>
      </c>
      <c r="D185" s="512">
        <v>0.2</v>
      </c>
      <c r="E185" s="1109"/>
      <c r="F185" s="237"/>
      <c r="H185" s="207">
        <v>50</v>
      </c>
      <c r="I185" s="193">
        <v>-0.1</v>
      </c>
      <c r="J185" s="512">
        <v>-0.1</v>
      </c>
      <c r="K185" s="1112"/>
      <c r="L185" s="237"/>
      <c r="M185" s="207">
        <v>50</v>
      </c>
      <c r="N185" s="193">
        <v>-0.1</v>
      </c>
      <c r="O185" s="512">
        <v>0</v>
      </c>
      <c r="P185" s="199">
        <v>0.4</v>
      </c>
      <c r="Q185" s="1112"/>
      <c r="R185" s="236"/>
      <c r="S185" s="207">
        <v>50</v>
      </c>
      <c r="T185" s="702">
        <f t="shared" ref="T185:T190" si="111">C185</f>
        <v>0.2</v>
      </c>
      <c r="U185" s="703">
        <f t="shared" ref="U185:U190" si="112">I185</f>
        <v>-0.1</v>
      </c>
      <c r="V185" s="703">
        <f t="shared" ref="V185:V190" si="113">N185</f>
        <v>-0.1</v>
      </c>
      <c r="W185" s="499">
        <f t="shared" ref="W185:W190" si="114">0.5*(MAX(T185:V185)-MIN(T185:V185))</f>
        <v>0.15000000000000002</v>
      </c>
      <c r="X185" s="199">
        <f t="shared" ref="X185:X190" si="115">P185</f>
        <v>0.4</v>
      </c>
      <c r="Y185" s="720">
        <f t="shared" ref="Y185:Y190" si="116">D185</f>
        <v>0.2</v>
      </c>
      <c r="Z185" s="721">
        <f t="shared" ref="Z185:Z190" si="117">J185</f>
        <v>-0.1</v>
      </c>
      <c r="AA185" s="721">
        <f t="shared" ref="AA185:AA190" si="118">O185</f>
        <v>0</v>
      </c>
      <c r="AB185" s="499">
        <f t="shared" ref="AB185:AB190" si="119">0.5*(MAX(Y185:AA185)-MIN(Y185:AA185))</f>
        <v>0.15000000000000002</v>
      </c>
      <c r="AC185" s="198">
        <f t="shared" ref="AC185:AC190" si="120">P185</f>
        <v>0.4</v>
      </c>
      <c r="AD185" s="9" t="s">
        <v>332</v>
      </c>
      <c r="AE185" s="4" t="s">
        <v>462</v>
      </c>
      <c r="AF185" s="157">
        <f>ROWS(AE$11:$AE185)</f>
        <v>175</v>
      </c>
      <c r="AG185" s="157" t="str">
        <f>IF(ID!$A$83=AE185,AF185,"")</f>
        <v/>
      </c>
      <c r="AH185" s="157" t="str">
        <f>IFERROR(SMALL($AG$11:$AG$394,ROWS($AG$11:AG185)),"")</f>
        <v/>
      </c>
    </row>
    <row r="186" spans="1:34" x14ac:dyDescent="0.25">
      <c r="B186" s="207">
        <v>100</v>
      </c>
      <c r="C186" s="193">
        <v>0.2</v>
      </c>
      <c r="D186" s="512">
        <v>0.3</v>
      </c>
      <c r="E186" s="1109"/>
      <c r="F186" s="237"/>
      <c r="H186" s="207">
        <v>100</v>
      </c>
      <c r="I186" s="193">
        <v>-0.2</v>
      </c>
      <c r="J186" s="512">
        <v>-0.2</v>
      </c>
      <c r="K186" s="1112"/>
      <c r="L186" s="237"/>
      <c r="M186" s="207">
        <v>100</v>
      </c>
      <c r="N186" s="193">
        <v>-0.2</v>
      </c>
      <c r="O186" s="512">
        <v>0</v>
      </c>
      <c r="P186" s="199">
        <v>0.4</v>
      </c>
      <c r="Q186" s="1112"/>
      <c r="R186" s="236"/>
      <c r="S186" s="207">
        <v>100</v>
      </c>
      <c r="T186" s="702">
        <f t="shared" si="111"/>
        <v>0.2</v>
      </c>
      <c r="U186" s="703">
        <f t="shared" si="112"/>
        <v>-0.2</v>
      </c>
      <c r="V186" s="703">
        <f t="shared" si="113"/>
        <v>-0.2</v>
      </c>
      <c r="W186" s="499">
        <f t="shared" si="114"/>
        <v>0.2</v>
      </c>
      <c r="X186" s="199">
        <f t="shared" si="115"/>
        <v>0.4</v>
      </c>
      <c r="Y186" s="720">
        <f t="shared" si="116"/>
        <v>0.3</v>
      </c>
      <c r="Z186" s="721">
        <f t="shared" si="117"/>
        <v>-0.2</v>
      </c>
      <c r="AA186" s="721">
        <f t="shared" si="118"/>
        <v>0</v>
      </c>
      <c r="AB186" s="499">
        <f t="shared" si="119"/>
        <v>0.25</v>
      </c>
      <c r="AC186" s="198">
        <f t="shared" si="120"/>
        <v>0.4</v>
      </c>
      <c r="AD186" s="9" t="s">
        <v>332</v>
      </c>
      <c r="AE186" s="4" t="s">
        <v>462</v>
      </c>
      <c r="AF186" s="157">
        <f>ROWS(AE$11:$AE186)</f>
        <v>176</v>
      </c>
      <c r="AG186" s="157" t="str">
        <f>IF(ID!$A$83=AE186,AF186,"")</f>
        <v/>
      </c>
      <c r="AH186" s="157" t="str">
        <f>IFERROR(SMALL($AG$11:$AG$394,ROWS($AG$11:AG186)),"")</f>
        <v/>
      </c>
    </row>
    <row r="187" spans="1:34" x14ac:dyDescent="0.25">
      <c r="B187" s="207">
        <v>150</v>
      </c>
      <c r="C187" s="193">
        <v>0.4</v>
      </c>
      <c r="D187" s="512">
        <v>0.4</v>
      </c>
      <c r="E187" s="1109"/>
      <c r="F187" s="237"/>
      <c r="H187" s="207">
        <v>150</v>
      </c>
      <c r="I187" s="193">
        <v>-0.3</v>
      </c>
      <c r="J187" s="512">
        <v>-0.3</v>
      </c>
      <c r="K187" s="1112"/>
      <c r="L187" s="237"/>
      <c r="M187" s="207">
        <v>150</v>
      </c>
      <c r="N187" s="193">
        <v>-0.5</v>
      </c>
      <c r="O187" s="512">
        <v>-0.2</v>
      </c>
      <c r="P187" s="199">
        <v>0.4</v>
      </c>
      <c r="Q187" s="1112"/>
      <c r="R187" s="236"/>
      <c r="S187" s="207">
        <v>150</v>
      </c>
      <c r="T187" s="702">
        <f t="shared" si="111"/>
        <v>0.4</v>
      </c>
      <c r="U187" s="703">
        <f t="shared" si="112"/>
        <v>-0.3</v>
      </c>
      <c r="V187" s="703">
        <f t="shared" si="113"/>
        <v>-0.5</v>
      </c>
      <c r="W187" s="499">
        <f t="shared" si="114"/>
        <v>0.45</v>
      </c>
      <c r="X187" s="199">
        <f t="shared" si="115"/>
        <v>0.4</v>
      </c>
      <c r="Y187" s="720">
        <f t="shared" si="116"/>
        <v>0.4</v>
      </c>
      <c r="Z187" s="721">
        <f t="shared" si="117"/>
        <v>-0.3</v>
      </c>
      <c r="AA187" s="721">
        <f t="shared" si="118"/>
        <v>-0.2</v>
      </c>
      <c r="AB187" s="499">
        <f t="shared" si="119"/>
        <v>0.35</v>
      </c>
      <c r="AC187" s="198">
        <f t="shared" si="120"/>
        <v>0.4</v>
      </c>
      <c r="AD187" s="9" t="s">
        <v>332</v>
      </c>
      <c r="AE187" s="4" t="s">
        <v>462</v>
      </c>
      <c r="AF187" s="157">
        <f>ROWS(AE$11:$AE187)</f>
        <v>177</v>
      </c>
      <c r="AG187" s="157" t="str">
        <f>IF(ID!$A$83=AE187,AF187,"")</f>
        <v/>
      </c>
      <c r="AH187" s="157" t="str">
        <f>IFERROR(SMALL($AG$11:$AG$394,ROWS($AG$11:AG187)),"")</f>
        <v/>
      </c>
    </row>
    <row r="188" spans="1:34" x14ac:dyDescent="0.25">
      <c r="B188" s="207">
        <v>200</v>
      </c>
      <c r="C188" s="193">
        <v>0.8</v>
      </c>
      <c r="D188" s="512">
        <v>0.8</v>
      </c>
      <c r="E188" s="1109"/>
      <c r="F188" s="237"/>
      <c r="H188" s="207">
        <v>200</v>
      </c>
      <c r="I188" s="193">
        <v>-0.6</v>
      </c>
      <c r="J188" s="512">
        <v>-0.6</v>
      </c>
      <c r="K188" s="1112"/>
      <c r="L188" s="237"/>
      <c r="M188" s="207">
        <v>200</v>
      </c>
      <c r="N188" s="193">
        <v>-0.7</v>
      </c>
      <c r="O188" s="512">
        <v>-0.4</v>
      </c>
      <c r="P188" s="199">
        <v>0.4</v>
      </c>
      <c r="Q188" s="1112"/>
      <c r="R188" s="236"/>
      <c r="S188" s="207">
        <v>200</v>
      </c>
      <c r="T188" s="702">
        <f t="shared" si="111"/>
        <v>0.8</v>
      </c>
      <c r="U188" s="703">
        <f t="shared" si="112"/>
        <v>-0.6</v>
      </c>
      <c r="V188" s="703">
        <f t="shared" si="113"/>
        <v>-0.7</v>
      </c>
      <c r="W188" s="499">
        <f t="shared" si="114"/>
        <v>0.75</v>
      </c>
      <c r="X188" s="199">
        <f t="shared" si="115"/>
        <v>0.4</v>
      </c>
      <c r="Y188" s="720">
        <f t="shared" si="116"/>
        <v>0.8</v>
      </c>
      <c r="Z188" s="721">
        <f t="shared" si="117"/>
        <v>-0.6</v>
      </c>
      <c r="AA188" s="721">
        <f t="shared" si="118"/>
        <v>-0.4</v>
      </c>
      <c r="AB188" s="499">
        <f t="shared" si="119"/>
        <v>0.7</v>
      </c>
      <c r="AC188" s="198">
        <f t="shared" si="120"/>
        <v>0.4</v>
      </c>
      <c r="AD188" s="9" t="s">
        <v>332</v>
      </c>
      <c r="AE188" s="4" t="s">
        <v>462</v>
      </c>
      <c r="AF188" s="157">
        <f>ROWS(AE$11:$AE188)</f>
        <v>178</v>
      </c>
      <c r="AG188" s="157" t="str">
        <f>IF(ID!$A$83=AE188,AF188,"")</f>
        <v/>
      </c>
      <c r="AH188" s="157" t="str">
        <f>IFERROR(SMALL($AG$11:$AG$394,ROWS($AG$11:AG188)),"")</f>
        <v/>
      </c>
    </row>
    <row r="189" spans="1:34" x14ac:dyDescent="0.25">
      <c r="B189" s="207">
        <v>250</v>
      </c>
      <c r="C189" s="193">
        <v>0.8</v>
      </c>
      <c r="D189" s="512">
        <v>0.8</v>
      </c>
      <c r="E189" s="1109"/>
      <c r="F189" s="237"/>
      <c r="H189" s="207">
        <v>250</v>
      </c>
      <c r="I189" s="193">
        <v>-0.8</v>
      </c>
      <c r="J189" s="512">
        <v>-0.6</v>
      </c>
      <c r="K189" s="1112"/>
      <c r="L189" s="237"/>
      <c r="M189" s="207">
        <v>250</v>
      </c>
      <c r="N189" s="193">
        <v>-0.7</v>
      </c>
      <c r="O189" s="512">
        <v>-0.5</v>
      </c>
      <c r="P189" s="199">
        <v>0.4</v>
      </c>
      <c r="Q189" s="1112"/>
      <c r="R189" s="236"/>
      <c r="S189" s="207">
        <v>250</v>
      </c>
      <c r="T189" s="702">
        <f t="shared" si="111"/>
        <v>0.8</v>
      </c>
      <c r="U189" s="703">
        <f t="shared" si="112"/>
        <v>-0.8</v>
      </c>
      <c r="V189" s="703">
        <f t="shared" si="113"/>
        <v>-0.7</v>
      </c>
      <c r="W189" s="499">
        <f t="shared" si="114"/>
        <v>0.8</v>
      </c>
      <c r="X189" s="199">
        <f t="shared" si="115"/>
        <v>0.4</v>
      </c>
      <c r="Y189" s="720">
        <f t="shared" si="116"/>
        <v>0.8</v>
      </c>
      <c r="Z189" s="721">
        <f t="shared" si="117"/>
        <v>-0.6</v>
      </c>
      <c r="AA189" s="721">
        <f t="shared" si="118"/>
        <v>-0.5</v>
      </c>
      <c r="AB189" s="499">
        <f t="shared" si="119"/>
        <v>0.7</v>
      </c>
      <c r="AC189" s="198">
        <f t="shared" si="120"/>
        <v>0.4</v>
      </c>
      <c r="AD189" s="9" t="s">
        <v>332</v>
      </c>
      <c r="AE189" s="4" t="s">
        <v>462</v>
      </c>
      <c r="AF189" s="157">
        <f>ROWS(AE$11:$AE189)</f>
        <v>179</v>
      </c>
      <c r="AG189" s="157" t="str">
        <f>IF(ID!$A$83=AE189,AF189,"")</f>
        <v/>
      </c>
      <c r="AH189" s="157" t="str">
        <f>IFERROR(SMALL($AG$11:$AG$394,ROWS($AG$11:AG189)),"")</f>
        <v/>
      </c>
    </row>
    <row r="190" spans="1:34" x14ac:dyDescent="0.25">
      <c r="B190" s="207">
        <v>300</v>
      </c>
      <c r="C190" s="193">
        <v>0.8</v>
      </c>
      <c r="D190" s="512">
        <v>0.8</v>
      </c>
      <c r="E190" s="1110"/>
      <c r="F190" s="237"/>
      <c r="H190" s="207">
        <v>300</v>
      </c>
      <c r="I190" s="193">
        <v>-0.4</v>
      </c>
      <c r="J190" s="512">
        <v>-0.3</v>
      </c>
      <c r="K190" s="1113"/>
      <c r="L190" s="237"/>
      <c r="M190" s="207">
        <v>300</v>
      </c>
      <c r="N190" s="193">
        <v>-0.8</v>
      </c>
      <c r="O190" s="512">
        <v>-0.6</v>
      </c>
      <c r="P190" s="199">
        <v>0.4</v>
      </c>
      <c r="Q190" s="1113"/>
      <c r="R190" s="236"/>
      <c r="S190" s="207">
        <v>300</v>
      </c>
      <c r="T190" s="702">
        <f t="shared" si="111"/>
        <v>0.8</v>
      </c>
      <c r="U190" s="703">
        <f t="shared" si="112"/>
        <v>-0.4</v>
      </c>
      <c r="V190" s="703">
        <f t="shared" si="113"/>
        <v>-0.8</v>
      </c>
      <c r="W190" s="499">
        <f t="shared" si="114"/>
        <v>0.8</v>
      </c>
      <c r="X190" s="199">
        <f t="shared" si="115"/>
        <v>0.4</v>
      </c>
      <c r="Y190" s="720">
        <f t="shared" si="116"/>
        <v>0.8</v>
      </c>
      <c r="Z190" s="721">
        <f t="shared" si="117"/>
        <v>-0.3</v>
      </c>
      <c r="AA190" s="721">
        <f t="shared" si="118"/>
        <v>-0.6</v>
      </c>
      <c r="AB190" s="499">
        <f t="shared" si="119"/>
        <v>0.7</v>
      </c>
      <c r="AC190" s="198">
        <f t="shared" si="120"/>
        <v>0.4</v>
      </c>
      <c r="AD190" s="9" t="s">
        <v>332</v>
      </c>
      <c r="AE190" s="4" t="s">
        <v>462</v>
      </c>
      <c r="AF190" s="157">
        <f>ROWS(AE$11:$AE190)</f>
        <v>180</v>
      </c>
      <c r="AG190" s="157" t="str">
        <f>IF(ID!$A$83=AE190,AF190,"")</f>
        <v/>
      </c>
      <c r="AH190" s="157" t="str">
        <f>IFERROR(SMALL($AG$11:$AG$394,ROWS($AG$11:AG190)),"")</f>
        <v/>
      </c>
    </row>
    <row r="191" spans="1:34" x14ac:dyDescent="0.25">
      <c r="S191" s="230" t="s">
        <v>104</v>
      </c>
      <c r="T191" s="713"/>
      <c r="U191" s="714" t="s">
        <v>104</v>
      </c>
      <c r="V191" s="714"/>
      <c r="W191" s="534"/>
      <c r="X191" s="201" t="s">
        <v>104</v>
      </c>
      <c r="Y191" s="725"/>
      <c r="Z191" s="725"/>
      <c r="AA191" s="725"/>
      <c r="AB191" s="534"/>
      <c r="AC191" s="201"/>
      <c r="AD191" s="95"/>
      <c r="AE191" s="4"/>
      <c r="AF191" s="157">
        <f>ROWS(AE$11:$AE191)</f>
        <v>181</v>
      </c>
      <c r="AG191" s="157" t="str">
        <f>IF(ID!$A$83=AE191,AF191,"")</f>
        <v/>
      </c>
      <c r="AH191" s="157" t="str">
        <f>IFERROR(SMALL($AG$11:$AG$394,ROWS($AG$11:AG191)),"")</f>
        <v/>
      </c>
    </row>
    <row r="192" spans="1:34" x14ac:dyDescent="0.25">
      <c r="E192" s="13"/>
      <c r="F192" s="13"/>
      <c r="K192" s="13"/>
      <c r="L192" s="13"/>
      <c r="N192" s="13"/>
      <c r="O192" s="13"/>
      <c r="Q192" s="13"/>
      <c r="R192" s="13"/>
      <c r="S192" s="230" t="s">
        <v>104</v>
      </c>
      <c r="T192" s="713"/>
      <c r="U192" s="714" t="s">
        <v>104</v>
      </c>
      <c r="V192" s="714"/>
      <c r="W192" s="534"/>
      <c r="X192" s="201" t="s">
        <v>104</v>
      </c>
      <c r="Y192" s="725"/>
      <c r="Z192" s="725"/>
      <c r="AA192" s="725"/>
      <c r="AB192" s="534"/>
      <c r="AC192" s="201"/>
      <c r="AD192" s="95"/>
      <c r="AE192" s="4"/>
      <c r="AF192" s="157">
        <f>ROWS(AE$11:$AE192)</f>
        <v>182</v>
      </c>
      <c r="AG192" s="157" t="str">
        <f>IF(ID!$A$83=AE192,AF192,"")</f>
        <v/>
      </c>
      <c r="AH192" s="157" t="str">
        <f>IFERROR(SMALL($AG$11:$AG$394,ROWS($AG$11:AG192)),"")</f>
        <v/>
      </c>
    </row>
    <row r="193" spans="2:34" x14ac:dyDescent="0.25">
      <c r="S193" s="230" t="s">
        <v>104</v>
      </c>
      <c r="T193" s="713"/>
      <c r="U193" s="714" t="s">
        <v>104</v>
      </c>
      <c r="V193" s="714"/>
      <c r="W193" s="534"/>
      <c r="X193" s="201" t="s">
        <v>104</v>
      </c>
      <c r="Y193" s="725"/>
      <c r="Z193" s="725"/>
      <c r="AA193" s="725"/>
      <c r="AB193" s="534"/>
      <c r="AC193" s="201"/>
      <c r="AD193" s="95"/>
      <c r="AE193" s="4"/>
      <c r="AF193" s="157">
        <f>ROWS(AE$11:$AE193)</f>
        <v>183</v>
      </c>
      <c r="AG193" s="157" t="str">
        <f>IF(ID!$A$83=AE193,AF193,"")</f>
        <v/>
      </c>
      <c r="AH193" s="157" t="str">
        <f>IFERROR(SMALL($AG$11:$AG$394,ROWS($AG$11:AG193)),"")</f>
        <v/>
      </c>
    </row>
    <row r="194" spans="2:34" x14ac:dyDescent="0.25">
      <c r="S194" s="230" t="s">
        <v>104</v>
      </c>
      <c r="T194" s="713"/>
      <c r="U194" s="714" t="s">
        <v>104</v>
      </c>
      <c r="V194" s="714"/>
      <c r="W194" s="534"/>
      <c r="X194" s="201" t="s">
        <v>104</v>
      </c>
      <c r="Y194" s="725"/>
      <c r="Z194" s="725"/>
      <c r="AA194" s="725"/>
      <c r="AB194" s="534"/>
      <c r="AC194" s="201"/>
      <c r="AD194" s="95"/>
      <c r="AE194" s="4"/>
      <c r="AF194" s="157">
        <f>ROWS(AE$11:$AE194)</f>
        <v>184</v>
      </c>
      <c r="AG194" s="157" t="str">
        <f>IF(ID!$A$83=AE194,AF194,"")</f>
        <v/>
      </c>
      <c r="AH194" s="157" t="str">
        <f>IFERROR(SMALL($AG$11:$AG$394,ROWS($AG$11:AG194)),"")</f>
        <v/>
      </c>
    </row>
    <row r="195" spans="2:34" x14ac:dyDescent="0.25">
      <c r="E195" s="13"/>
      <c r="F195" s="13"/>
      <c r="K195" s="13"/>
      <c r="L195" s="13"/>
      <c r="N195" s="13"/>
      <c r="O195" s="13"/>
      <c r="Q195" s="13"/>
      <c r="R195" s="13"/>
      <c r="S195" s="231"/>
      <c r="AD195" s="13"/>
      <c r="AE195" s="13"/>
      <c r="AF195" s="157">
        <f>ROWS(AE$11:$AE195)</f>
        <v>185</v>
      </c>
      <c r="AG195" s="157" t="str">
        <f>IF(ID!$A$83=AE195,AF195,"")</f>
        <v/>
      </c>
      <c r="AH195" s="157" t="str">
        <f>IFERROR(SMALL($AG$11:$AG$394,ROWS($AG$11:AG195)),"")</f>
        <v/>
      </c>
    </row>
    <row r="196" spans="2:34" s="513" customFormat="1" x14ac:dyDescent="0.25">
      <c r="C196" s="519"/>
      <c r="D196" s="525"/>
      <c r="I196" s="519"/>
      <c r="J196" s="525"/>
      <c r="S196" s="514"/>
      <c r="T196" s="514"/>
      <c r="U196" s="514"/>
      <c r="V196" s="514"/>
      <c r="W196" s="514"/>
      <c r="X196" s="514"/>
      <c r="Y196" s="514"/>
      <c r="Z196" s="514"/>
      <c r="AA196" s="514"/>
      <c r="AB196" s="529"/>
      <c r="AF196" s="157">
        <f>ROWS(AE$11:$AE196)</f>
        <v>186</v>
      </c>
      <c r="AG196" s="157" t="str">
        <f>IF(ID!$A$83=AE196,AF196,"")</f>
        <v/>
      </c>
      <c r="AH196" s="157" t="str">
        <f>IFERROR(SMALL($AG$11:$AG$394,ROWS($AG$11:AG196)),"")</f>
        <v/>
      </c>
    </row>
    <row r="197" spans="2:34" s="513" customFormat="1" x14ac:dyDescent="0.25">
      <c r="C197" s="519"/>
      <c r="D197" s="525"/>
      <c r="I197" s="519"/>
      <c r="J197" s="525"/>
      <c r="S197" s="514"/>
      <c r="T197" s="514"/>
      <c r="U197" s="514"/>
      <c r="V197" s="514"/>
      <c r="W197" s="514"/>
      <c r="X197" s="514"/>
      <c r="Y197" s="514"/>
      <c r="Z197" s="514"/>
      <c r="AA197" s="514"/>
      <c r="AB197" s="529"/>
      <c r="AF197" s="157">
        <f>ROWS(AE$11:$AE197)</f>
        <v>187</v>
      </c>
      <c r="AG197" s="157" t="str">
        <f>IF(ID!$A$83=AE197,AF197,"")</f>
        <v/>
      </c>
      <c r="AH197" s="157" t="str">
        <f>IFERROR(SMALL($AG$11:$AG$394,ROWS($AG$11:AG197)),"")</f>
        <v/>
      </c>
    </row>
    <row r="198" spans="2:34" s="513" customFormat="1" x14ac:dyDescent="0.25">
      <c r="C198" s="519"/>
      <c r="D198" s="525"/>
      <c r="I198" s="519"/>
      <c r="J198" s="525"/>
      <c r="S198" s="514"/>
      <c r="T198" s="514"/>
      <c r="U198" s="514"/>
      <c r="V198" s="514"/>
      <c r="W198" s="514"/>
      <c r="X198" s="514"/>
      <c r="Y198" s="514"/>
      <c r="Z198" s="514"/>
      <c r="AA198" s="514"/>
      <c r="AB198" s="529"/>
      <c r="AF198" s="157">
        <f>ROWS(AE$11:$AE198)</f>
        <v>188</v>
      </c>
      <c r="AG198" s="157" t="str">
        <f>IF(ID!$A$83=AE198,AF198,"")</f>
        <v/>
      </c>
      <c r="AH198" s="157" t="str">
        <f>IFERROR(SMALL($AG$11:$AG$394,ROWS($AG$11:AG198)),"")</f>
        <v/>
      </c>
    </row>
    <row r="199" spans="2:34" s="513" customFormat="1" x14ac:dyDescent="0.25">
      <c r="C199" s="519"/>
      <c r="D199" s="525"/>
      <c r="I199" s="519"/>
      <c r="J199" s="525"/>
      <c r="S199" s="514"/>
      <c r="T199" s="514"/>
      <c r="U199" s="514"/>
      <c r="V199" s="514"/>
      <c r="W199" s="959" t="s">
        <v>545</v>
      </c>
      <c r="X199" s="10"/>
      <c r="Y199" s="717"/>
      <c r="Z199" s="717"/>
      <c r="AA199" s="717"/>
      <c r="AB199" s="959" t="s">
        <v>545</v>
      </c>
      <c r="AF199" s="157">
        <f>ROWS(AE$11:$AE199)</f>
        <v>189</v>
      </c>
      <c r="AG199" s="157" t="str">
        <f>IF(ID!$A$83=AE199,AF199,"")</f>
        <v/>
      </c>
      <c r="AH199" s="157" t="str">
        <f>IFERROR(SMALL($AG$11:$AG$394,ROWS($AG$11:AG199)),"")</f>
        <v/>
      </c>
    </row>
    <row r="200" spans="2:34" x14ac:dyDescent="0.25">
      <c r="B200" s="1099" t="s">
        <v>400</v>
      </c>
      <c r="C200" s="1100"/>
      <c r="D200" s="1100"/>
      <c r="E200" s="1101"/>
      <c r="F200" s="233"/>
      <c r="H200" s="1099" t="s">
        <v>401</v>
      </c>
      <c r="I200" s="1100"/>
      <c r="J200" s="1100"/>
      <c r="K200" s="1101"/>
      <c r="L200" s="233"/>
      <c r="M200" s="1099" t="s">
        <v>195</v>
      </c>
      <c r="N200" s="1100"/>
      <c r="O200" s="1100"/>
      <c r="P200" s="1100"/>
      <c r="Q200" s="1101"/>
      <c r="S200" s="224" t="s">
        <v>48</v>
      </c>
      <c r="T200" s="700" t="s">
        <v>403</v>
      </c>
      <c r="U200" s="701" t="s">
        <v>402</v>
      </c>
      <c r="V200" s="701" t="s">
        <v>192</v>
      </c>
      <c r="W200" s="528" t="s">
        <v>172</v>
      </c>
      <c r="X200" s="197" t="s">
        <v>190</v>
      </c>
      <c r="Y200" s="718" t="s">
        <v>404</v>
      </c>
      <c r="Z200" s="719" t="s">
        <v>405</v>
      </c>
      <c r="AA200" s="719" t="s">
        <v>193</v>
      </c>
      <c r="AB200" s="528" t="s">
        <v>152</v>
      </c>
      <c r="AC200" s="197" t="s">
        <v>191</v>
      </c>
      <c r="AF200" s="157">
        <f>ROWS(AE$11:$AE200)</f>
        <v>190</v>
      </c>
      <c r="AG200" s="157" t="str">
        <f>IF(ID!$A$83=AE200,AF200,"")</f>
        <v/>
      </c>
      <c r="AH200" s="157" t="str">
        <f>IFERROR(SMALL($AG$11:$AG$394,ROWS($AG$11:AG200)),"")</f>
        <v/>
      </c>
    </row>
    <row r="201" spans="2:34" x14ac:dyDescent="0.25">
      <c r="B201" s="207">
        <v>0</v>
      </c>
      <c r="C201" s="949" t="s">
        <v>134</v>
      </c>
      <c r="D201" s="950" t="s">
        <v>134</v>
      </c>
      <c r="E201" s="1108" t="s">
        <v>134</v>
      </c>
      <c r="F201" s="237"/>
      <c r="H201" s="207">
        <v>0</v>
      </c>
      <c r="I201" s="193">
        <v>0</v>
      </c>
      <c r="J201" s="512">
        <v>0</v>
      </c>
      <c r="K201" s="1108" t="s">
        <v>248</v>
      </c>
      <c r="L201" s="237"/>
      <c r="M201" s="207">
        <v>0</v>
      </c>
      <c r="N201" s="193">
        <v>0</v>
      </c>
      <c r="O201" s="512">
        <v>0</v>
      </c>
      <c r="P201" s="199">
        <v>0.1</v>
      </c>
      <c r="Q201" s="1111" t="s">
        <v>359</v>
      </c>
      <c r="R201" s="236"/>
      <c r="S201" s="971">
        <v>0</v>
      </c>
      <c r="T201" s="972" t="str">
        <f>C201</f>
        <v>-</v>
      </c>
      <c r="U201" s="973">
        <f>I201</f>
        <v>0</v>
      </c>
      <c r="V201" s="973">
        <f>N201</f>
        <v>0</v>
      </c>
      <c r="W201" s="974">
        <f>0.5*(MAX(T201:V201)-MIN(T201:V201))</f>
        <v>0</v>
      </c>
      <c r="X201" s="975">
        <f>P201</f>
        <v>0.1</v>
      </c>
      <c r="Y201" s="976" t="str">
        <f>D201</f>
        <v>-</v>
      </c>
      <c r="Z201" s="977">
        <f>J201</f>
        <v>0</v>
      </c>
      <c r="AA201" s="977">
        <f>O201</f>
        <v>0</v>
      </c>
      <c r="AB201" s="974">
        <f>0.5*(MAX(Y201:AA201)-MIN(Y201:AA201))</f>
        <v>0</v>
      </c>
      <c r="AC201" s="975">
        <f>P201</f>
        <v>0.1</v>
      </c>
      <c r="AD201" s="982"/>
      <c r="AE201" s="4"/>
      <c r="AF201" s="157">
        <f>ROWS(AE$11:$AE201)</f>
        <v>191</v>
      </c>
      <c r="AG201" s="157" t="str">
        <f>IF(ID!$A$83=AE201,AF201,"")</f>
        <v/>
      </c>
      <c r="AH201" s="157" t="str">
        <f>IFERROR(SMALL($AG$11:$AG$394,ROWS($AG$11:AG201)),"")</f>
        <v/>
      </c>
    </row>
    <row r="202" spans="2:34" x14ac:dyDescent="0.25">
      <c r="B202" s="207">
        <v>50</v>
      </c>
      <c r="C202" s="949" t="s">
        <v>134</v>
      </c>
      <c r="D202" s="950" t="s">
        <v>134</v>
      </c>
      <c r="E202" s="1109"/>
      <c r="F202" s="237"/>
      <c r="H202" s="207">
        <v>50</v>
      </c>
      <c r="I202" s="193">
        <v>0</v>
      </c>
      <c r="J202" s="512">
        <v>0</v>
      </c>
      <c r="K202" s="1109"/>
      <c r="L202" s="237"/>
      <c r="M202" s="207">
        <v>50</v>
      </c>
      <c r="N202" s="193">
        <v>0</v>
      </c>
      <c r="O202" s="512">
        <v>0</v>
      </c>
      <c r="P202" s="199">
        <v>0.1</v>
      </c>
      <c r="Q202" s="1112"/>
      <c r="R202" s="236"/>
      <c r="S202" s="971">
        <v>50</v>
      </c>
      <c r="T202" s="972" t="str">
        <f t="shared" ref="T202:T207" si="121">C202</f>
        <v>-</v>
      </c>
      <c r="U202" s="973">
        <f t="shared" ref="U202:U207" si="122">I202</f>
        <v>0</v>
      </c>
      <c r="V202" s="973">
        <f t="shared" ref="V202:V207" si="123">N202</f>
        <v>0</v>
      </c>
      <c r="W202" s="974">
        <f t="shared" ref="W202:W207" si="124">0.5*(MAX(T202:V202)-MIN(T202:V202))</f>
        <v>0</v>
      </c>
      <c r="X202" s="975">
        <f t="shared" ref="X202:X207" si="125">P202</f>
        <v>0.1</v>
      </c>
      <c r="Y202" s="976" t="str">
        <f t="shared" ref="Y202:Y207" si="126">D202</f>
        <v>-</v>
      </c>
      <c r="Z202" s="977">
        <f t="shared" ref="Z202:Z207" si="127">J202</f>
        <v>0</v>
      </c>
      <c r="AA202" s="977">
        <f t="shared" ref="AA202:AA207" si="128">O202</f>
        <v>0</v>
      </c>
      <c r="AB202" s="974">
        <f t="shared" ref="AB202:AB207" si="129">0.5*(MAX(Y202:AA202)-MIN(Y202:AA202))</f>
        <v>0</v>
      </c>
      <c r="AC202" s="975">
        <f t="shared" ref="AC202:AC207" si="130">P202</f>
        <v>0.1</v>
      </c>
      <c r="AD202" s="982"/>
      <c r="AE202" s="4"/>
      <c r="AF202" s="157">
        <f>ROWS(AE$11:$AE202)</f>
        <v>192</v>
      </c>
      <c r="AG202" s="157" t="str">
        <f>IF(ID!$A$83=AE202,AF202,"")</f>
        <v/>
      </c>
      <c r="AH202" s="157" t="str">
        <f>IFERROR(SMALL($AG$11:$AG$394,ROWS($AG$11:AG202)),"")</f>
        <v/>
      </c>
    </row>
    <row r="203" spans="2:34" x14ac:dyDescent="0.25">
      <c r="B203" s="207">
        <v>100</v>
      </c>
      <c r="C203" s="949" t="s">
        <v>134</v>
      </c>
      <c r="D203" s="950" t="s">
        <v>134</v>
      </c>
      <c r="E203" s="1109"/>
      <c r="F203" s="237"/>
      <c r="H203" s="207">
        <v>100</v>
      </c>
      <c r="I203" s="193">
        <v>-0.1</v>
      </c>
      <c r="J203" s="512">
        <v>-0.1</v>
      </c>
      <c r="K203" s="1109"/>
      <c r="L203" s="237"/>
      <c r="M203" s="207">
        <v>100</v>
      </c>
      <c r="N203" s="193">
        <v>0.4</v>
      </c>
      <c r="O203" s="512">
        <v>0.4</v>
      </c>
      <c r="P203" s="199">
        <v>0.1</v>
      </c>
      <c r="Q203" s="1112"/>
      <c r="R203" s="236"/>
      <c r="S203" s="971">
        <v>100</v>
      </c>
      <c r="T203" s="972" t="str">
        <f t="shared" si="121"/>
        <v>-</v>
      </c>
      <c r="U203" s="973">
        <f t="shared" si="122"/>
        <v>-0.1</v>
      </c>
      <c r="V203" s="973">
        <f t="shared" si="123"/>
        <v>0.4</v>
      </c>
      <c r="W203" s="974">
        <f t="shared" si="124"/>
        <v>0.25</v>
      </c>
      <c r="X203" s="975">
        <f t="shared" si="125"/>
        <v>0.1</v>
      </c>
      <c r="Y203" s="976" t="str">
        <f t="shared" si="126"/>
        <v>-</v>
      </c>
      <c r="Z203" s="977">
        <f t="shared" si="127"/>
        <v>-0.1</v>
      </c>
      <c r="AA203" s="977">
        <f t="shared" si="128"/>
        <v>0.4</v>
      </c>
      <c r="AB203" s="974">
        <f t="shared" si="129"/>
        <v>0.25</v>
      </c>
      <c r="AC203" s="975">
        <f t="shared" si="130"/>
        <v>0.1</v>
      </c>
      <c r="AD203" s="982"/>
      <c r="AE203" s="4"/>
      <c r="AF203" s="157">
        <f>ROWS(AE$11:$AE203)</f>
        <v>193</v>
      </c>
      <c r="AG203" s="157" t="str">
        <f>IF(ID!$A$83=AE203,AF203,"")</f>
        <v/>
      </c>
      <c r="AH203" s="157" t="str">
        <f>IFERROR(SMALL($AG$11:$AG$394,ROWS($AG$11:AG203)),"")</f>
        <v/>
      </c>
    </row>
    <row r="204" spans="2:34" x14ac:dyDescent="0.25">
      <c r="B204" s="207">
        <v>150</v>
      </c>
      <c r="C204" s="949" t="s">
        <v>134</v>
      </c>
      <c r="D204" s="950" t="s">
        <v>134</v>
      </c>
      <c r="E204" s="1109"/>
      <c r="F204" s="237"/>
      <c r="H204" s="207">
        <v>150</v>
      </c>
      <c r="I204" s="193">
        <v>0</v>
      </c>
      <c r="J204" s="512">
        <v>0</v>
      </c>
      <c r="K204" s="1109"/>
      <c r="L204" s="237"/>
      <c r="M204" s="207">
        <v>150</v>
      </c>
      <c r="N204" s="193">
        <v>0.4</v>
      </c>
      <c r="O204" s="512">
        <v>0.5</v>
      </c>
      <c r="P204" s="199">
        <v>0.1</v>
      </c>
      <c r="Q204" s="1112"/>
      <c r="R204" s="236"/>
      <c r="S204" s="971">
        <v>150</v>
      </c>
      <c r="T204" s="972" t="str">
        <f t="shared" si="121"/>
        <v>-</v>
      </c>
      <c r="U204" s="973">
        <f t="shared" si="122"/>
        <v>0</v>
      </c>
      <c r="V204" s="973">
        <f t="shared" si="123"/>
        <v>0.4</v>
      </c>
      <c r="W204" s="974">
        <f t="shared" si="124"/>
        <v>0.2</v>
      </c>
      <c r="X204" s="975">
        <f t="shared" si="125"/>
        <v>0.1</v>
      </c>
      <c r="Y204" s="976" t="str">
        <f t="shared" si="126"/>
        <v>-</v>
      </c>
      <c r="Z204" s="977">
        <f t="shared" si="127"/>
        <v>0</v>
      </c>
      <c r="AA204" s="977">
        <f t="shared" si="128"/>
        <v>0.5</v>
      </c>
      <c r="AB204" s="974">
        <f t="shared" si="129"/>
        <v>0.25</v>
      </c>
      <c r="AC204" s="975">
        <f t="shared" si="130"/>
        <v>0.1</v>
      </c>
      <c r="AD204" s="982"/>
      <c r="AE204" s="4"/>
      <c r="AF204" s="157">
        <f>ROWS(AE$11:$AE204)</f>
        <v>194</v>
      </c>
      <c r="AG204" s="157" t="str">
        <f>IF(ID!$A$83=AE204,AF204,"")</f>
        <v/>
      </c>
      <c r="AH204" s="157" t="str">
        <f>IFERROR(SMALL($AG$11:$AG$394,ROWS($AG$11:AG204)),"")</f>
        <v/>
      </c>
    </row>
    <row r="205" spans="2:34" x14ac:dyDescent="0.25">
      <c r="B205" s="207">
        <v>200</v>
      </c>
      <c r="C205" s="949" t="s">
        <v>134</v>
      </c>
      <c r="D205" s="950" t="s">
        <v>134</v>
      </c>
      <c r="E205" s="1109"/>
      <c r="F205" s="237"/>
      <c r="H205" s="207">
        <v>200</v>
      </c>
      <c r="I205" s="193">
        <v>-0.2</v>
      </c>
      <c r="J205" s="512">
        <v>-0.2</v>
      </c>
      <c r="K205" s="1109"/>
      <c r="L205" s="237"/>
      <c r="M205" s="207">
        <v>200</v>
      </c>
      <c r="N205" s="193">
        <v>0.5</v>
      </c>
      <c r="O205" s="512">
        <v>0.6</v>
      </c>
      <c r="P205" s="199">
        <v>0.1</v>
      </c>
      <c r="Q205" s="1112"/>
      <c r="R205" s="236"/>
      <c r="S205" s="971">
        <v>200</v>
      </c>
      <c r="T205" s="972" t="str">
        <f t="shared" si="121"/>
        <v>-</v>
      </c>
      <c r="U205" s="973">
        <f t="shared" si="122"/>
        <v>-0.2</v>
      </c>
      <c r="V205" s="973">
        <f t="shared" si="123"/>
        <v>0.5</v>
      </c>
      <c r="W205" s="974">
        <f t="shared" si="124"/>
        <v>0.35</v>
      </c>
      <c r="X205" s="975">
        <f t="shared" si="125"/>
        <v>0.1</v>
      </c>
      <c r="Y205" s="976" t="str">
        <f t="shared" si="126"/>
        <v>-</v>
      </c>
      <c r="Z205" s="977">
        <f t="shared" si="127"/>
        <v>-0.2</v>
      </c>
      <c r="AA205" s="977">
        <f t="shared" si="128"/>
        <v>0.6</v>
      </c>
      <c r="AB205" s="974">
        <f t="shared" si="129"/>
        <v>0.4</v>
      </c>
      <c r="AC205" s="975">
        <f t="shared" si="130"/>
        <v>0.1</v>
      </c>
      <c r="AD205" s="982"/>
      <c r="AE205" s="4"/>
      <c r="AF205" s="157">
        <f>ROWS(AE$11:$AE205)</f>
        <v>195</v>
      </c>
      <c r="AG205" s="157" t="str">
        <f>IF(ID!$A$83=AE205,AF205,"")</f>
        <v/>
      </c>
      <c r="AH205" s="157" t="str">
        <f>IFERROR(SMALL($AG$11:$AG$394,ROWS($AG$11:AG205)),"")</f>
        <v/>
      </c>
    </row>
    <row r="206" spans="2:34" x14ac:dyDescent="0.25">
      <c r="B206" s="207">
        <v>250</v>
      </c>
      <c r="C206" s="949" t="s">
        <v>134</v>
      </c>
      <c r="D206" s="950" t="s">
        <v>134</v>
      </c>
      <c r="E206" s="1109"/>
      <c r="F206" s="237"/>
      <c r="H206" s="207">
        <v>250</v>
      </c>
      <c r="I206" s="193">
        <v>-0.4</v>
      </c>
      <c r="J206" s="512">
        <v>-0.4</v>
      </c>
      <c r="K206" s="1109"/>
      <c r="L206" s="237"/>
      <c r="M206" s="207">
        <v>250</v>
      </c>
      <c r="N206" s="193">
        <v>0.9</v>
      </c>
      <c r="O206" s="512">
        <v>0.9</v>
      </c>
      <c r="P206" s="199">
        <v>0.1</v>
      </c>
      <c r="Q206" s="1112"/>
      <c r="R206" s="236"/>
      <c r="S206" s="971">
        <v>250</v>
      </c>
      <c r="T206" s="972" t="str">
        <f t="shared" si="121"/>
        <v>-</v>
      </c>
      <c r="U206" s="973">
        <f t="shared" si="122"/>
        <v>-0.4</v>
      </c>
      <c r="V206" s="973">
        <f t="shared" si="123"/>
        <v>0.9</v>
      </c>
      <c r="W206" s="974">
        <f t="shared" si="124"/>
        <v>0.65</v>
      </c>
      <c r="X206" s="975">
        <f t="shared" si="125"/>
        <v>0.1</v>
      </c>
      <c r="Y206" s="976" t="str">
        <f t="shared" si="126"/>
        <v>-</v>
      </c>
      <c r="Z206" s="977">
        <f t="shared" si="127"/>
        <v>-0.4</v>
      </c>
      <c r="AA206" s="977">
        <f t="shared" si="128"/>
        <v>0.9</v>
      </c>
      <c r="AB206" s="974">
        <f t="shared" si="129"/>
        <v>0.65</v>
      </c>
      <c r="AC206" s="975">
        <f t="shared" si="130"/>
        <v>0.1</v>
      </c>
      <c r="AD206" s="982"/>
      <c r="AE206" s="4"/>
      <c r="AF206" s="157">
        <f>ROWS(AE$11:$AE206)</f>
        <v>196</v>
      </c>
      <c r="AG206" s="157" t="str">
        <f>IF(ID!$A$83=AE206,AF206,"")</f>
        <v/>
      </c>
      <c r="AH206" s="157" t="str">
        <f>IFERROR(SMALL($AG$11:$AG$394,ROWS($AG$11:AG206)),"")</f>
        <v/>
      </c>
    </row>
    <row r="207" spans="2:34" x14ac:dyDescent="0.25">
      <c r="B207" s="207">
        <v>300</v>
      </c>
      <c r="C207" s="949" t="s">
        <v>134</v>
      </c>
      <c r="D207" s="950" t="s">
        <v>134</v>
      </c>
      <c r="E207" s="1110"/>
      <c r="F207" s="237"/>
      <c r="H207" s="207">
        <v>300</v>
      </c>
      <c r="I207" s="193">
        <v>-0.6</v>
      </c>
      <c r="J207" s="512">
        <v>-0.6</v>
      </c>
      <c r="K207" s="1110"/>
      <c r="L207" s="237"/>
      <c r="M207" s="207">
        <v>300</v>
      </c>
      <c r="N207" s="193">
        <v>1.1000000000000001</v>
      </c>
      <c r="O207" s="512">
        <v>1.1000000000000001</v>
      </c>
      <c r="P207" s="199">
        <v>0.1</v>
      </c>
      <c r="Q207" s="1113"/>
      <c r="R207" s="236"/>
      <c r="S207" s="971">
        <v>300</v>
      </c>
      <c r="T207" s="972" t="str">
        <f t="shared" si="121"/>
        <v>-</v>
      </c>
      <c r="U207" s="973">
        <f t="shared" si="122"/>
        <v>-0.6</v>
      </c>
      <c r="V207" s="973">
        <f t="shared" si="123"/>
        <v>1.1000000000000001</v>
      </c>
      <c r="W207" s="974">
        <f t="shared" si="124"/>
        <v>0.85000000000000009</v>
      </c>
      <c r="X207" s="975">
        <f t="shared" si="125"/>
        <v>0.1</v>
      </c>
      <c r="Y207" s="976" t="str">
        <f t="shared" si="126"/>
        <v>-</v>
      </c>
      <c r="Z207" s="977">
        <f t="shared" si="127"/>
        <v>-0.6</v>
      </c>
      <c r="AA207" s="977">
        <f t="shared" si="128"/>
        <v>1.1000000000000001</v>
      </c>
      <c r="AB207" s="974">
        <f t="shared" si="129"/>
        <v>0.85000000000000009</v>
      </c>
      <c r="AC207" s="975">
        <f t="shared" si="130"/>
        <v>0.1</v>
      </c>
      <c r="AD207" s="982"/>
      <c r="AE207" s="4"/>
      <c r="AF207" s="157">
        <f>ROWS(AE$11:$AE207)</f>
        <v>197</v>
      </c>
      <c r="AG207" s="157" t="str">
        <f>IF(ID!$A$83=AE207,AF207,"")</f>
        <v/>
      </c>
      <c r="AH207" s="157" t="str">
        <f>IFERROR(SMALL($AG$11:$AG$394,ROWS($AG$11:AG207)),"")</f>
        <v/>
      </c>
    </row>
    <row r="208" spans="2:34" x14ac:dyDescent="0.25">
      <c r="S208" s="230" t="s">
        <v>104</v>
      </c>
      <c r="T208" s="713"/>
      <c r="U208" s="714" t="s">
        <v>104</v>
      </c>
      <c r="V208" s="714"/>
      <c r="W208" s="534"/>
      <c r="X208" s="511" t="s">
        <v>104</v>
      </c>
      <c r="Y208" s="726"/>
      <c r="Z208" s="725"/>
      <c r="AA208" s="725"/>
      <c r="AB208" s="534"/>
      <c r="AC208" s="201"/>
      <c r="AD208" s="95"/>
      <c r="AE208" s="4"/>
      <c r="AF208" s="157">
        <f>ROWS(AE$11:$AE208)</f>
        <v>198</v>
      </c>
      <c r="AG208" s="157" t="str">
        <f>IF(ID!$A$83=AE208,AF208,"")</f>
        <v/>
      </c>
      <c r="AH208" s="157" t="str">
        <f>IFERROR(SMALL($AG$11:$AG$394,ROWS($AG$11:AG208)),"")</f>
        <v/>
      </c>
    </row>
    <row r="209" spans="2:34" x14ac:dyDescent="0.25">
      <c r="E209" s="13"/>
      <c r="F209" s="13"/>
      <c r="K209" s="13"/>
      <c r="L209" s="13"/>
      <c r="N209" s="13"/>
      <c r="O209" s="13"/>
      <c r="Q209" s="13"/>
      <c r="R209" s="13"/>
      <c r="S209" s="230" t="s">
        <v>104</v>
      </c>
      <c r="T209" s="713"/>
      <c r="U209" s="714" t="s">
        <v>104</v>
      </c>
      <c r="V209" s="714"/>
      <c r="W209" s="534"/>
      <c r="X209" s="201" t="s">
        <v>104</v>
      </c>
      <c r="Y209" s="725"/>
      <c r="Z209" s="725"/>
      <c r="AA209" s="725"/>
      <c r="AB209" s="534"/>
      <c r="AC209" s="201"/>
      <c r="AD209" s="95"/>
      <c r="AE209" s="4"/>
      <c r="AF209" s="157">
        <f>ROWS(AE$11:$AE209)</f>
        <v>199</v>
      </c>
      <c r="AG209" s="157" t="str">
        <f>IF(ID!$A$83=AE209,AF209,"")</f>
        <v/>
      </c>
      <c r="AH209" s="157" t="str">
        <f>IFERROR(SMALL($AG$11:$AG$394,ROWS($AG$11:AG209)),"")</f>
        <v/>
      </c>
    </row>
    <row r="210" spans="2:34" x14ac:dyDescent="0.25">
      <c r="S210" s="230" t="s">
        <v>104</v>
      </c>
      <c r="T210" s="713"/>
      <c r="U210" s="714" t="s">
        <v>104</v>
      </c>
      <c r="V210" s="714"/>
      <c r="W210" s="534"/>
      <c r="X210" s="201" t="s">
        <v>104</v>
      </c>
      <c r="Y210" s="725"/>
      <c r="Z210" s="725"/>
      <c r="AA210" s="725"/>
      <c r="AB210" s="534"/>
      <c r="AC210" s="201"/>
      <c r="AD210" s="95"/>
      <c r="AE210" s="4"/>
      <c r="AF210" s="157">
        <f>ROWS(AE$11:$AE210)</f>
        <v>200</v>
      </c>
      <c r="AG210" s="157" t="str">
        <f>IF(ID!$A$83=AE210,AF210,"")</f>
        <v/>
      </c>
      <c r="AH210" s="157" t="str">
        <f>IFERROR(SMALL($AG$11:$AG$394,ROWS($AG$11:AG210)),"")</f>
        <v/>
      </c>
    </row>
    <row r="211" spans="2:34" x14ac:dyDescent="0.25">
      <c r="S211" s="230" t="s">
        <v>104</v>
      </c>
      <c r="T211" s="713"/>
      <c r="U211" s="714" t="s">
        <v>104</v>
      </c>
      <c r="V211" s="714"/>
      <c r="W211" s="534"/>
      <c r="X211" s="201" t="s">
        <v>104</v>
      </c>
      <c r="Y211" s="725"/>
      <c r="Z211" s="725"/>
      <c r="AA211" s="725"/>
      <c r="AB211" s="534"/>
      <c r="AC211" s="201"/>
      <c r="AD211" s="95"/>
      <c r="AE211" s="4"/>
      <c r="AF211" s="157">
        <f>ROWS(AE$11:$AE211)</f>
        <v>201</v>
      </c>
      <c r="AG211" s="157" t="str">
        <f>IF(ID!$A$83=AE211,AF211,"")</f>
        <v/>
      </c>
      <c r="AH211" s="157" t="str">
        <f>IFERROR(SMALL($AG$11:$AG$394,ROWS($AG$11:AG211)),"")</f>
        <v/>
      </c>
    </row>
    <row r="212" spans="2:34" x14ac:dyDescent="0.25">
      <c r="E212" s="13"/>
      <c r="F212" s="13"/>
      <c r="K212" s="13"/>
      <c r="L212" s="13"/>
      <c r="N212" s="13"/>
      <c r="O212" s="13"/>
      <c r="Q212" s="13"/>
      <c r="R212" s="13"/>
      <c r="S212" s="231"/>
      <c r="AD212" s="13"/>
      <c r="AE212" s="13"/>
      <c r="AF212" s="157">
        <f>ROWS(AE$11:$AE212)</f>
        <v>202</v>
      </c>
      <c r="AG212" s="157" t="str">
        <f>IF(ID!$A$83=AE212,AF212,"")</f>
        <v/>
      </c>
      <c r="AH212" s="157" t="str">
        <f>IFERROR(SMALL($AG$11:$AG$394,ROWS($AG$11:AG212)),"")</f>
        <v/>
      </c>
    </row>
    <row r="213" spans="2:34" s="513" customFormat="1" x14ac:dyDescent="0.25">
      <c r="C213" s="519"/>
      <c r="D213" s="525"/>
      <c r="I213" s="519"/>
      <c r="J213" s="525"/>
      <c r="S213" s="514"/>
      <c r="T213" s="514"/>
      <c r="U213" s="514"/>
      <c r="V213" s="514"/>
      <c r="W213" s="514"/>
      <c r="X213" s="514"/>
      <c r="Y213" s="514"/>
      <c r="Z213" s="514"/>
      <c r="AA213" s="514"/>
      <c r="AB213" s="514"/>
      <c r="AF213" s="157">
        <f>ROWS(AE$11:$AE213)</f>
        <v>203</v>
      </c>
      <c r="AG213" s="157" t="str">
        <f>IF(ID!$A$83=AE213,AF213,"")</f>
        <v/>
      </c>
      <c r="AH213" s="157" t="str">
        <f>IFERROR(SMALL($AG$11:$AG$394,ROWS($AG$11:AG213)),"")</f>
        <v/>
      </c>
    </row>
    <row r="214" spans="2:34" s="513" customFormat="1" x14ac:dyDescent="0.25">
      <c r="C214" s="519"/>
      <c r="D214" s="525"/>
      <c r="I214" s="519"/>
      <c r="J214" s="525"/>
      <c r="S214" s="514"/>
      <c r="T214" s="514"/>
      <c r="U214" s="514"/>
      <c r="V214" s="514"/>
      <c r="W214" s="514"/>
      <c r="X214" s="514"/>
      <c r="Y214" s="514"/>
      <c r="Z214" s="514"/>
      <c r="AA214" s="514"/>
      <c r="AB214" s="514"/>
      <c r="AF214" s="157">
        <f>ROWS(AE$11:$AE214)</f>
        <v>204</v>
      </c>
      <c r="AG214" s="157" t="str">
        <f>IF(ID!$A$83=AE214,AF214,"")</f>
        <v/>
      </c>
      <c r="AH214" s="157" t="str">
        <f>IFERROR(SMALL($AG$11:$AG$394,ROWS($AG$11:AG214)),"")</f>
        <v/>
      </c>
    </row>
    <row r="215" spans="2:34" s="513" customFormat="1" x14ac:dyDescent="0.25">
      <c r="C215" s="519"/>
      <c r="D215" s="525"/>
      <c r="I215" s="519"/>
      <c r="J215" s="525"/>
      <c r="S215" s="514"/>
      <c r="T215" s="514"/>
      <c r="U215" s="514"/>
      <c r="V215" s="514"/>
      <c r="W215" s="514"/>
      <c r="X215" s="514"/>
      <c r="Y215" s="514"/>
      <c r="Z215" s="514"/>
      <c r="AA215" s="514"/>
      <c r="AB215" s="514"/>
      <c r="AF215" s="157">
        <f>ROWS(AE$11:$AE215)</f>
        <v>205</v>
      </c>
      <c r="AG215" s="157" t="str">
        <f>IF(ID!$A$83=AE215,AF215,"")</f>
        <v/>
      </c>
      <c r="AH215" s="157" t="str">
        <f>IFERROR(SMALL($AG$11:$AG$394,ROWS($AG$11:AG215)),"")</f>
        <v/>
      </c>
    </row>
    <row r="216" spans="2:34" s="513" customFormat="1" x14ac:dyDescent="0.25">
      <c r="C216" s="519"/>
      <c r="D216" s="525"/>
      <c r="I216" s="519"/>
      <c r="J216" s="525"/>
      <c r="S216" s="514"/>
      <c r="T216" s="514"/>
      <c r="U216" s="514"/>
      <c r="V216" s="514"/>
      <c r="W216" s="959" t="s">
        <v>242</v>
      </c>
      <c r="X216" s="10"/>
      <c r="Y216" s="717"/>
      <c r="Z216" s="717"/>
      <c r="AA216" s="717"/>
      <c r="AB216" s="959" t="s">
        <v>242</v>
      </c>
      <c r="AF216" s="157">
        <f>ROWS(AE$11:$AE216)</f>
        <v>206</v>
      </c>
      <c r="AG216" s="157" t="str">
        <f>IF(ID!$A$83=AE216,AF216,"")</f>
        <v/>
      </c>
      <c r="AH216" s="157" t="str">
        <f>IFERROR(SMALL($AG$11:$AG$394,ROWS($AG$11:AG216)),"")</f>
        <v/>
      </c>
    </row>
    <row r="217" spans="2:34" x14ac:dyDescent="0.25">
      <c r="B217" s="1099" t="s">
        <v>400</v>
      </c>
      <c r="C217" s="1100"/>
      <c r="D217" s="1100"/>
      <c r="E217" s="1101"/>
      <c r="F217" s="233"/>
      <c r="H217" s="1099" t="s">
        <v>401</v>
      </c>
      <c r="I217" s="1100"/>
      <c r="J217" s="1100"/>
      <c r="K217" s="1101"/>
      <c r="L217" s="233"/>
      <c r="M217" s="1099" t="s">
        <v>195</v>
      </c>
      <c r="N217" s="1100"/>
      <c r="O217" s="1100"/>
      <c r="P217" s="1100"/>
      <c r="Q217" s="1101"/>
      <c r="S217" s="224" t="s">
        <v>48</v>
      </c>
      <c r="T217" s="700" t="s">
        <v>403</v>
      </c>
      <c r="U217" s="701" t="s">
        <v>402</v>
      </c>
      <c r="V217" s="701" t="s">
        <v>192</v>
      </c>
      <c r="W217" s="528" t="s">
        <v>172</v>
      </c>
      <c r="X217" s="197" t="s">
        <v>190</v>
      </c>
      <c r="Y217" s="718" t="s">
        <v>404</v>
      </c>
      <c r="Z217" s="719" t="s">
        <v>405</v>
      </c>
      <c r="AA217" s="719" t="s">
        <v>193</v>
      </c>
      <c r="AB217" s="528" t="s">
        <v>152</v>
      </c>
      <c r="AC217" s="197" t="s">
        <v>191</v>
      </c>
      <c r="AF217" s="157">
        <f>ROWS(AE$11:$AE217)</f>
        <v>207</v>
      </c>
      <c r="AG217" s="157" t="str">
        <f>IF(ID!$A$83=AE217,AF217,"")</f>
        <v/>
      </c>
      <c r="AH217" s="157" t="str">
        <f>IFERROR(SMALL($AG$11:$AG$394,ROWS($AG$11:AG217)),"")</f>
        <v/>
      </c>
    </row>
    <row r="218" spans="2:34" x14ac:dyDescent="0.25">
      <c r="B218" s="207">
        <v>0</v>
      </c>
      <c r="C218" s="193" t="s">
        <v>134</v>
      </c>
      <c r="D218" s="512" t="s">
        <v>134</v>
      </c>
      <c r="E218" s="1108" t="s">
        <v>134</v>
      </c>
      <c r="F218" s="237"/>
      <c r="H218" s="207">
        <v>0</v>
      </c>
      <c r="I218" s="193" t="s">
        <v>134</v>
      </c>
      <c r="J218" s="512" t="s">
        <v>134</v>
      </c>
      <c r="K218" s="1108" t="s">
        <v>134</v>
      </c>
      <c r="L218" s="237"/>
      <c r="M218" s="207">
        <v>0</v>
      </c>
      <c r="N218" s="193">
        <v>0</v>
      </c>
      <c r="O218" s="512">
        <v>0</v>
      </c>
      <c r="P218" s="510">
        <v>0.18</v>
      </c>
      <c r="Q218" s="1111" t="s">
        <v>248</v>
      </c>
      <c r="R218" s="236"/>
      <c r="S218" s="971">
        <v>0</v>
      </c>
      <c r="T218" s="972" t="str">
        <f>C218</f>
        <v>-</v>
      </c>
      <c r="U218" s="973" t="str">
        <f>I218</f>
        <v>-</v>
      </c>
      <c r="V218" s="973">
        <f>N218</f>
        <v>0</v>
      </c>
      <c r="W218" s="974">
        <f>X218/3</f>
        <v>0.06</v>
      </c>
      <c r="X218" s="975">
        <f>P218</f>
        <v>0.18</v>
      </c>
      <c r="Y218" s="976" t="str">
        <f>D218</f>
        <v>-</v>
      </c>
      <c r="Z218" s="977" t="str">
        <f>J218</f>
        <v>-</v>
      </c>
      <c r="AA218" s="977">
        <f>O218</f>
        <v>0</v>
      </c>
      <c r="AB218" s="974">
        <f>AC218/3</f>
        <v>0.06</v>
      </c>
      <c r="AC218" s="975">
        <f>P218</f>
        <v>0.18</v>
      </c>
      <c r="AD218" s="9"/>
      <c r="AE218" s="4"/>
      <c r="AF218" s="157">
        <f>ROWS(AE$11:$AE218)</f>
        <v>208</v>
      </c>
      <c r="AG218" s="157" t="str">
        <f>IF(ID!$A$83=AE218,AF218,"")</f>
        <v/>
      </c>
      <c r="AH218" s="157" t="str">
        <f>IFERROR(SMALL($AG$11:$AG$394,ROWS($AG$11:AG218)),"")</f>
        <v/>
      </c>
    </row>
    <row r="219" spans="2:34" x14ac:dyDescent="0.25">
      <c r="B219" s="207">
        <v>50</v>
      </c>
      <c r="C219" s="193" t="s">
        <v>134</v>
      </c>
      <c r="D219" s="512" t="s">
        <v>134</v>
      </c>
      <c r="E219" s="1109"/>
      <c r="F219" s="237"/>
      <c r="H219" s="207">
        <v>50</v>
      </c>
      <c r="I219" s="193" t="s">
        <v>134</v>
      </c>
      <c r="J219" s="512" t="s">
        <v>134</v>
      </c>
      <c r="K219" s="1109"/>
      <c r="L219" s="237"/>
      <c r="M219" s="207">
        <v>50</v>
      </c>
      <c r="N219" s="193">
        <v>0.20000000000000284</v>
      </c>
      <c r="O219" s="512">
        <v>0.20000000000000284</v>
      </c>
      <c r="P219" s="510">
        <v>0.18</v>
      </c>
      <c r="Q219" s="1112"/>
      <c r="R219" s="236"/>
      <c r="S219" s="971">
        <v>50</v>
      </c>
      <c r="T219" s="972" t="str">
        <f t="shared" ref="T219:T224" si="131">C219</f>
        <v>-</v>
      </c>
      <c r="U219" s="973" t="str">
        <f t="shared" ref="U219:U224" si="132">I219</f>
        <v>-</v>
      </c>
      <c r="V219" s="973">
        <f t="shared" ref="V219:V224" si="133">N219</f>
        <v>0.20000000000000284</v>
      </c>
      <c r="W219" s="974">
        <f t="shared" ref="W219:W224" si="134">X219/3</f>
        <v>0.06</v>
      </c>
      <c r="X219" s="975">
        <f t="shared" ref="X219:X224" si="135">P219</f>
        <v>0.18</v>
      </c>
      <c r="Y219" s="976" t="str">
        <f t="shared" ref="Y219" si="136">D219</f>
        <v>-</v>
      </c>
      <c r="Z219" s="977" t="str">
        <f t="shared" ref="Z219:Z224" si="137">J219</f>
        <v>-</v>
      </c>
      <c r="AA219" s="977">
        <f t="shared" ref="AA219:AA224" si="138">O219</f>
        <v>0.20000000000000284</v>
      </c>
      <c r="AB219" s="974">
        <f t="shared" ref="AB219:AB224" si="139">AC219/3</f>
        <v>0.06</v>
      </c>
      <c r="AC219" s="975">
        <f t="shared" ref="AC219:AC224" si="140">P219</f>
        <v>0.18</v>
      </c>
      <c r="AD219" s="9"/>
      <c r="AE219" s="4"/>
      <c r="AF219" s="157">
        <f>ROWS(AE$11:$AE219)</f>
        <v>209</v>
      </c>
      <c r="AG219" s="157" t="str">
        <f>IF(ID!$A$83=AE219,AF219,"")</f>
        <v/>
      </c>
      <c r="AH219" s="157" t="str">
        <f>IFERROR(SMALL($AG$11:$AG$394,ROWS($AG$11:AG219)),"")</f>
        <v/>
      </c>
    </row>
    <row r="220" spans="2:34" x14ac:dyDescent="0.25">
      <c r="B220" s="207">
        <v>100</v>
      </c>
      <c r="C220" s="193" t="s">
        <v>134</v>
      </c>
      <c r="D220" s="512" t="s">
        <v>134</v>
      </c>
      <c r="E220" s="1109"/>
      <c r="F220" s="237"/>
      <c r="H220" s="207">
        <v>100</v>
      </c>
      <c r="I220" s="193" t="s">
        <v>134</v>
      </c>
      <c r="J220" s="512" t="s">
        <v>134</v>
      </c>
      <c r="K220" s="1109"/>
      <c r="L220" s="237"/>
      <c r="M220" s="207">
        <v>100</v>
      </c>
      <c r="N220" s="193">
        <v>9.9999999999994316E-2</v>
      </c>
      <c r="O220" s="512">
        <v>9.9999999999994316E-2</v>
      </c>
      <c r="P220" s="510">
        <v>0.18</v>
      </c>
      <c r="Q220" s="1112"/>
      <c r="R220" s="236"/>
      <c r="S220" s="971">
        <v>100</v>
      </c>
      <c r="T220" s="972" t="str">
        <f t="shared" si="131"/>
        <v>-</v>
      </c>
      <c r="U220" s="973" t="str">
        <f t="shared" si="132"/>
        <v>-</v>
      </c>
      <c r="V220" s="973">
        <f t="shared" si="133"/>
        <v>9.9999999999994316E-2</v>
      </c>
      <c r="W220" s="974">
        <f t="shared" si="134"/>
        <v>0.06</v>
      </c>
      <c r="X220" s="975">
        <f t="shared" si="135"/>
        <v>0.18</v>
      </c>
      <c r="Y220" s="976" t="str">
        <f>D220</f>
        <v>-</v>
      </c>
      <c r="Z220" s="977" t="str">
        <f t="shared" si="137"/>
        <v>-</v>
      </c>
      <c r="AA220" s="977">
        <f t="shared" si="138"/>
        <v>9.9999999999994316E-2</v>
      </c>
      <c r="AB220" s="974">
        <f t="shared" si="139"/>
        <v>0.06</v>
      </c>
      <c r="AC220" s="975">
        <f t="shared" si="140"/>
        <v>0.18</v>
      </c>
      <c r="AD220" s="9"/>
      <c r="AE220" s="4"/>
      <c r="AF220" s="157">
        <f>ROWS(AE$11:$AE220)</f>
        <v>210</v>
      </c>
      <c r="AG220" s="157" t="str">
        <f>IF(ID!$A$83=AE220,AF220,"")</f>
        <v/>
      </c>
      <c r="AH220" s="157" t="str">
        <f>IFERROR(SMALL($AG$11:$AG$394,ROWS($AG$11:AG220)),"")</f>
        <v/>
      </c>
    </row>
    <row r="221" spans="2:34" x14ac:dyDescent="0.25">
      <c r="B221" s="207">
        <v>150</v>
      </c>
      <c r="C221" s="193" t="s">
        <v>134</v>
      </c>
      <c r="D221" s="512" t="s">
        <v>134</v>
      </c>
      <c r="E221" s="1109"/>
      <c r="F221" s="237"/>
      <c r="H221" s="207">
        <v>150</v>
      </c>
      <c r="I221" s="193" t="s">
        <v>134</v>
      </c>
      <c r="J221" s="512" t="s">
        <v>134</v>
      </c>
      <c r="K221" s="1109"/>
      <c r="L221" s="237"/>
      <c r="M221" s="207">
        <v>150</v>
      </c>
      <c r="N221" s="193">
        <v>-9.9999999999994316E-2</v>
      </c>
      <c r="O221" s="512">
        <v>-9.9999999999994316E-2</v>
      </c>
      <c r="P221" s="510">
        <v>0.18</v>
      </c>
      <c r="Q221" s="1112"/>
      <c r="R221" s="236"/>
      <c r="S221" s="971">
        <v>150</v>
      </c>
      <c r="T221" s="972" t="str">
        <f t="shared" si="131"/>
        <v>-</v>
      </c>
      <c r="U221" s="973" t="str">
        <f t="shared" si="132"/>
        <v>-</v>
      </c>
      <c r="V221" s="973">
        <f t="shared" si="133"/>
        <v>-9.9999999999994316E-2</v>
      </c>
      <c r="W221" s="974">
        <f t="shared" si="134"/>
        <v>0.06</v>
      </c>
      <c r="X221" s="975">
        <f t="shared" si="135"/>
        <v>0.18</v>
      </c>
      <c r="Y221" s="976" t="str">
        <f t="shared" ref="Y221" si="141">D221</f>
        <v>-</v>
      </c>
      <c r="Z221" s="977" t="str">
        <f t="shared" si="137"/>
        <v>-</v>
      </c>
      <c r="AA221" s="977">
        <f t="shared" si="138"/>
        <v>-9.9999999999994316E-2</v>
      </c>
      <c r="AB221" s="974">
        <f t="shared" si="139"/>
        <v>0.06</v>
      </c>
      <c r="AC221" s="975">
        <f t="shared" si="140"/>
        <v>0.18</v>
      </c>
      <c r="AD221" s="9"/>
      <c r="AE221" s="4"/>
      <c r="AF221" s="157">
        <f>ROWS(AE$11:$AE221)</f>
        <v>211</v>
      </c>
      <c r="AG221" s="157" t="str">
        <f>IF(ID!$A$83=AE221,AF221,"")</f>
        <v/>
      </c>
      <c r="AH221" s="157" t="str">
        <f>IFERROR(SMALL($AG$11:$AG$394,ROWS($AG$11:AG221)),"")</f>
        <v/>
      </c>
    </row>
    <row r="222" spans="2:34" x14ac:dyDescent="0.25">
      <c r="B222" s="207">
        <v>200</v>
      </c>
      <c r="C222" s="193" t="s">
        <v>134</v>
      </c>
      <c r="D222" s="512" t="s">
        <v>134</v>
      </c>
      <c r="E222" s="1109"/>
      <c r="F222" s="237"/>
      <c r="H222" s="207">
        <v>200</v>
      </c>
      <c r="I222" s="193" t="s">
        <v>134</v>
      </c>
      <c r="J222" s="512" t="s">
        <v>134</v>
      </c>
      <c r="K222" s="1109"/>
      <c r="L222" s="237"/>
      <c r="M222" s="207">
        <v>200</v>
      </c>
      <c r="N222" s="193">
        <v>-9.9999999999994316E-2</v>
      </c>
      <c r="O222" s="512">
        <v>-9.9999999999994316E-2</v>
      </c>
      <c r="P222" s="510">
        <v>0.18</v>
      </c>
      <c r="Q222" s="1112"/>
      <c r="R222" s="236"/>
      <c r="S222" s="971">
        <v>200</v>
      </c>
      <c r="T222" s="972" t="str">
        <f t="shared" si="131"/>
        <v>-</v>
      </c>
      <c r="U222" s="973" t="str">
        <f t="shared" si="132"/>
        <v>-</v>
      </c>
      <c r="V222" s="973">
        <f t="shared" si="133"/>
        <v>-9.9999999999994316E-2</v>
      </c>
      <c r="W222" s="974">
        <f t="shared" si="134"/>
        <v>0.06</v>
      </c>
      <c r="X222" s="975">
        <f t="shared" si="135"/>
        <v>0.18</v>
      </c>
      <c r="Y222" s="976" t="str">
        <f>D222</f>
        <v>-</v>
      </c>
      <c r="Z222" s="977" t="str">
        <f t="shared" si="137"/>
        <v>-</v>
      </c>
      <c r="AA222" s="977">
        <f t="shared" si="138"/>
        <v>-9.9999999999994316E-2</v>
      </c>
      <c r="AB222" s="974">
        <f t="shared" si="139"/>
        <v>0.06</v>
      </c>
      <c r="AC222" s="975">
        <f t="shared" si="140"/>
        <v>0.18</v>
      </c>
      <c r="AD222" s="9"/>
      <c r="AE222" s="4"/>
      <c r="AF222" s="157">
        <f>ROWS(AE$11:$AE222)</f>
        <v>212</v>
      </c>
      <c r="AG222" s="157" t="str">
        <f>IF(ID!$A$83=AE222,AF222,"")</f>
        <v/>
      </c>
      <c r="AH222" s="157" t="str">
        <f>IFERROR(SMALL($AG$11:$AG$394,ROWS($AG$11:AG222)),"")</f>
        <v/>
      </c>
    </row>
    <row r="223" spans="2:34" x14ac:dyDescent="0.25">
      <c r="B223" s="207">
        <v>250</v>
      </c>
      <c r="C223" s="193" t="s">
        <v>134</v>
      </c>
      <c r="D223" s="512" t="s">
        <v>134</v>
      </c>
      <c r="E223" s="1109"/>
      <c r="F223" s="237"/>
      <c r="H223" s="207">
        <v>250</v>
      </c>
      <c r="I223" s="193" t="s">
        <v>134</v>
      </c>
      <c r="J223" s="512" t="s">
        <v>134</v>
      </c>
      <c r="K223" s="1109"/>
      <c r="L223" s="237"/>
      <c r="M223" s="207">
        <v>250</v>
      </c>
      <c r="N223" s="193">
        <v>-0.30000000000001137</v>
      </c>
      <c r="O223" s="512">
        <v>-0.30000000000001137</v>
      </c>
      <c r="P223" s="510">
        <v>0.18</v>
      </c>
      <c r="Q223" s="1112"/>
      <c r="R223" s="236"/>
      <c r="S223" s="971">
        <v>250</v>
      </c>
      <c r="T223" s="972" t="str">
        <f t="shared" si="131"/>
        <v>-</v>
      </c>
      <c r="U223" s="973" t="str">
        <f t="shared" si="132"/>
        <v>-</v>
      </c>
      <c r="V223" s="973">
        <f t="shared" si="133"/>
        <v>-0.30000000000001137</v>
      </c>
      <c r="W223" s="974">
        <f t="shared" si="134"/>
        <v>0.06</v>
      </c>
      <c r="X223" s="975">
        <f t="shared" si="135"/>
        <v>0.18</v>
      </c>
      <c r="Y223" s="976" t="str">
        <f t="shared" ref="Y223:Y224" si="142">D223</f>
        <v>-</v>
      </c>
      <c r="Z223" s="977" t="str">
        <f t="shared" si="137"/>
        <v>-</v>
      </c>
      <c r="AA223" s="977">
        <f t="shared" si="138"/>
        <v>-0.30000000000001137</v>
      </c>
      <c r="AB223" s="974">
        <f t="shared" si="139"/>
        <v>0.06</v>
      </c>
      <c r="AC223" s="975">
        <f t="shared" si="140"/>
        <v>0.18</v>
      </c>
      <c r="AD223" s="9"/>
      <c r="AE223" s="4"/>
      <c r="AF223" s="157">
        <f>ROWS(AE$11:$AE223)</f>
        <v>213</v>
      </c>
      <c r="AG223" s="157" t="str">
        <f>IF(ID!$A$83=AE223,AF223,"")</f>
        <v/>
      </c>
      <c r="AH223" s="157" t="str">
        <f>IFERROR(SMALL($AG$11:$AG$394,ROWS($AG$11:AG223)),"")</f>
        <v/>
      </c>
    </row>
    <row r="224" spans="2:34" x14ac:dyDescent="0.25">
      <c r="B224" s="207">
        <v>300</v>
      </c>
      <c r="C224" s="193" t="s">
        <v>134</v>
      </c>
      <c r="D224" s="512" t="s">
        <v>134</v>
      </c>
      <c r="E224" s="1110"/>
      <c r="F224" s="237"/>
      <c r="H224" s="207">
        <v>300</v>
      </c>
      <c r="I224" s="193" t="s">
        <v>134</v>
      </c>
      <c r="J224" s="512" t="s">
        <v>134</v>
      </c>
      <c r="K224" s="1110"/>
      <c r="L224" s="237"/>
      <c r="M224" s="207">
        <v>300</v>
      </c>
      <c r="N224" s="193">
        <v>-0.60000000000002274</v>
      </c>
      <c r="O224" s="512">
        <v>-0.60000000000002274</v>
      </c>
      <c r="P224" s="510">
        <v>0.18</v>
      </c>
      <c r="Q224" s="1113"/>
      <c r="R224" s="236"/>
      <c r="S224" s="971">
        <v>300</v>
      </c>
      <c r="T224" s="972" t="str">
        <f t="shared" si="131"/>
        <v>-</v>
      </c>
      <c r="U224" s="973" t="str">
        <f t="shared" si="132"/>
        <v>-</v>
      </c>
      <c r="V224" s="973">
        <f t="shared" si="133"/>
        <v>-0.60000000000002274</v>
      </c>
      <c r="W224" s="974">
        <f t="shared" si="134"/>
        <v>0.06</v>
      </c>
      <c r="X224" s="975">
        <f t="shared" si="135"/>
        <v>0.18</v>
      </c>
      <c r="Y224" s="976" t="str">
        <f t="shared" si="142"/>
        <v>-</v>
      </c>
      <c r="Z224" s="977" t="str">
        <f t="shared" si="137"/>
        <v>-</v>
      </c>
      <c r="AA224" s="977">
        <f t="shared" si="138"/>
        <v>-0.60000000000002274</v>
      </c>
      <c r="AB224" s="974">
        <f t="shared" si="139"/>
        <v>0.06</v>
      </c>
      <c r="AC224" s="975">
        <f t="shared" si="140"/>
        <v>0.18</v>
      </c>
      <c r="AD224" s="9"/>
      <c r="AE224" s="4"/>
      <c r="AF224" s="157">
        <f>ROWS(AE$11:$AE224)</f>
        <v>214</v>
      </c>
      <c r="AG224" s="157" t="str">
        <f>IF(ID!$A$83=AE224,AF224,"")</f>
        <v/>
      </c>
      <c r="AH224" s="157" t="str">
        <f>IFERROR(SMALL($AG$11:$AG$394,ROWS($AG$11:AG224)),"")</f>
        <v/>
      </c>
    </row>
    <row r="225" spans="2:34" x14ac:dyDescent="0.25">
      <c r="S225" s="230" t="s">
        <v>104</v>
      </c>
      <c r="T225" s="713"/>
      <c r="U225" s="714" t="s">
        <v>104</v>
      </c>
      <c r="V225" s="714"/>
      <c r="W225" s="534"/>
      <c r="X225" s="511" t="s">
        <v>104</v>
      </c>
      <c r="Y225" s="726"/>
      <c r="Z225" s="725"/>
      <c r="AA225" s="725"/>
      <c r="AB225" s="534"/>
      <c r="AC225" s="201"/>
      <c r="AD225" s="95"/>
      <c r="AE225" s="4"/>
      <c r="AF225" s="157">
        <f>ROWS(AE$11:$AE225)</f>
        <v>215</v>
      </c>
      <c r="AG225" s="157" t="str">
        <f>IF(ID!$A$83=AE225,AF225,"")</f>
        <v/>
      </c>
      <c r="AH225" s="157" t="str">
        <f>IFERROR(SMALL($AG$11:$AG$394,ROWS($AG$11:AG225)),"")</f>
        <v/>
      </c>
    </row>
    <row r="226" spans="2:34" x14ac:dyDescent="0.25">
      <c r="E226" s="13"/>
      <c r="F226" s="13"/>
      <c r="K226" s="13"/>
      <c r="L226" s="13"/>
      <c r="N226" s="13"/>
      <c r="O226" s="13"/>
      <c r="Q226" s="13"/>
      <c r="R226" s="13"/>
      <c r="S226" s="230" t="s">
        <v>104</v>
      </c>
      <c r="T226" s="713"/>
      <c r="U226" s="714" t="s">
        <v>104</v>
      </c>
      <c r="V226" s="714"/>
      <c r="W226" s="534"/>
      <c r="X226" s="201" t="s">
        <v>104</v>
      </c>
      <c r="Y226" s="725"/>
      <c r="Z226" s="725"/>
      <c r="AA226" s="725"/>
      <c r="AB226" s="534"/>
      <c r="AC226" s="201"/>
      <c r="AD226" s="95"/>
      <c r="AE226" s="4"/>
      <c r="AF226" s="157">
        <f>ROWS(AE$11:$AE226)</f>
        <v>216</v>
      </c>
      <c r="AG226" s="157" t="str">
        <f>IF(ID!$A$83=AE226,AF226,"")</f>
        <v/>
      </c>
      <c r="AH226" s="157" t="str">
        <f>IFERROR(SMALL($AG$11:$AG$394,ROWS($AG$11:AG226)),"")</f>
        <v/>
      </c>
    </row>
    <row r="227" spans="2:34" x14ac:dyDescent="0.25">
      <c r="S227" s="230" t="s">
        <v>104</v>
      </c>
      <c r="T227" s="713"/>
      <c r="U227" s="714" t="s">
        <v>104</v>
      </c>
      <c r="V227" s="714"/>
      <c r="W227" s="534"/>
      <c r="X227" s="201" t="s">
        <v>104</v>
      </c>
      <c r="Y227" s="725"/>
      <c r="Z227" s="725"/>
      <c r="AA227" s="725"/>
      <c r="AB227" s="534"/>
      <c r="AC227" s="201"/>
      <c r="AD227" s="95"/>
      <c r="AE227" s="4"/>
      <c r="AF227" s="157">
        <f>ROWS(AE$11:$AE227)</f>
        <v>217</v>
      </c>
      <c r="AG227" s="157" t="str">
        <f>IF(ID!$A$83=AE227,AF227,"")</f>
        <v/>
      </c>
      <c r="AH227" s="157" t="str">
        <f>IFERROR(SMALL($AG$11:$AG$394,ROWS($AG$11:AG227)),"")</f>
        <v/>
      </c>
    </row>
    <row r="228" spans="2:34" x14ac:dyDescent="0.25">
      <c r="S228" s="230" t="s">
        <v>104</v>
      </c>
      <c r="T228" s="713"/>
      <c r="U228" s="714" t="s">
        <v>104</v>
      </c>
      <c r="V228" s="714"/>
      <c r="W228" s="534"/>
      <c r="X228" s="201" t="s">
        <v>104</v>
      </c>
      <c r="Y228" s="725"/>
      <c r="Z228" s="725"/>
      <c r="AA228" s="725"/>
      <c r="AB228" s="534"/>
      <c r="AC228" s="201"/>
      <c r="AD228" s="95"/>
      <c r="AE228" s="4"/>
      <c r="AF228" s="157">
        <f>ROWS(AE$11:$AE228)</f>
        <v>218</v>
      </c>
      <c r="AG228" s="157" t="str">
        <f>IF(ID!$A$83=AE228,AF228,"")</f>
        <v/>
      </c>
      <c r="AH228" s="157" t="str">
        <f>IFERROR(SMALL($AG$11:$AG$394,ROWS($AG$11:AG228)),"")</f>
        <v/>
      </c>
    </row>
    <row r="229" spans="2:34" x14ac:dyDescent="0.25">
      <c r="E229" s="13"/>
      <c r="F229" s="13"/>
      <c r="K229" s="13"/>
      <c r="L229" s="13"/>
      <c r="N229" s="13"/>
      <c r="O229" s="13"/>
      <c r="Q229" s="13"/>
      <c r="R229" s="13"/>
      <c r="S229" s="231"/>
      <c r="AD229" s="13"/>
      <c r="AE229" s="13"/>
      <c r="AF229" s="157">
        <f>ROWS(AE$11:$AE229)</f>
        <v>219</v>
      </c>
      <c r="AG229" s="157" t="str">
        <f>IF(ID!$A$83=AE229,AF229,"")</f>
        <v/>
      </c>
      <c r="AH229" s="157" t="str">
        <f>IFERROR(SMALL($AG$11:$AG$394,ROWS($AG$11:AG229)),"")</f>
        <v/>
      </c>
    </row>
    <row r="230" spans="2:34" s="513" customFormat="1" x14ac:dyDescent="0.25">
      <c r="C230" s="519"/>
      <c r="D230" s="525"/>
      <c r="I230" s="519"/>
      <c r="J230" s="525"/>
      <c r="S230" s="514"/>
      <c r="T230" s="514"/>
      <c r="U230" s="514"/>
      <c r="V230" s="514"/>
      <c r="W230" s="514"/>
      <c r="X230" s="514"/>
      <c r="Y230" s="514"/>
      <c r="Z230" s="514"/>
      <c r="AA230" s="514"/>
      <c r="AB230" s="529"/>
      <c r="AF230" s="157">
        <f>ROWS(AE$11:$AE230)</f>
        <v>220</v>
      </c>
      <c r="AG230" s="157" t="str">
        <f>IF(ID!$A$83=AE230,AF230,"")</f>
        <v/>
      </c>
      <c r="AH230" s="157" t="str">
        <f>IFERROR(SMALL($AG$11:$AG$394,ROWS($AG$11:AG230)),"")</f>
        <v/>
      </c>
    </row>
    <row r="231" spans="2:34" s="513" customFormat="1" x14ac:dyDescent="0.25">
      <c r="C231" s="519"/>
      <c r="D231" s="525"/>
      <c r="I231" s="519"/>
      <c r="J231" s="525"/>
      <c r="S231" s="514"/>
      <c r="T231" s="514"/>
      <c r="U231" s="514"/>
      <c r="V231" s="514"/>
      <c r="W231" s="514"/>
      <c r="X231" s="514"/>
      <c r="Y231" s="514"/>
      <c r="Z231" s="514"/>
      <c r="AA231" s="514"/>
      <c r="AB231" s="529"/>
      <c r="AF231" s="157">
        <f>ROWS(AE$11:$AE231)</f>
        <v>221</v>
      </c>
      <c r="AG231" s="157" t="str">
        <f>IF(ID!$A$83=AE231,AF231,"")</f>
        <v/>
      </c>
      <c r="AH231" s="157" t="str">
        <f>IFERROR(SMALL($AG$11:$AG$394,ROWS($AG$11:AG231)),"")</f>
        <v/>
      </c>
    </row>
    <row r="232" spans="2:34" s="513" customFormat="1" x14ac:dyDescent="0.25">
      <c r="C232" s="519"/>
      <c r="D232" s="525"/>
      <c r="I232" s="519"/>
      <c r="J232" s="525"/>
      <c r="S232" s="514"/>
      <c r="T232" s="514"/>
      <c r="U232" s="514"/>
      <c r="V232" s="514"/>
      <c r="W232" s="514"/>
      <c r="X232" s="514"/>
      <c r="Y232" s="514"/>
      <c r="Z232" s="514"/>
      <c r="AA232" s="514"/>
      <c r="AB232" s="529"/>
      <c r="AF232" s="157">
        <f>ROWS(AE$11:$AE232)</f>
        <v>222</v>
      </c>
      <c r="AG232" s="157" t="str">
        <f>IF(ID!$A$83=AE232,AF232,"")</f>
        <v/>
      </c>
      <c r="AH232" s="157" t="str">
        <f>IFERROR(SMALL($AG$11:$AG$394,ROWS($AG$11:AG232)),"")</f>
        <v/>
      </c>
    </row>
    <row r="233" spans="2:34" s="513" customFormat="1" x14ac:dyDescent="0.25">
      <c r="C233" s="519"/>
      <c r="D233" s="525"/>
      <c r="I233" s="519"/>
      <c r="J233" s="525"/>
      <c r="S233" s="514"/>
      <c r="T233" s="514"/>
      <c r="U233" s="514"/>
      <c r="V233" s="514"/>
      <c r="W233" s="959" t="s">
        <v>545</v>
      </c>
      <c r="X233" s="10"/>
      <c r="Y233" s="717"/>
      <c r="Z233" s="717"/>
      <c r="AA233" s="717"/>
      <c r="AB233" s="959" t="s">
        <v>545</v>
      </c>
      <c r="AF233" s="157">
        <f>ROWS(AE$11:$AE233)</f>
        <v>223</v>
      </c>
      <c r="AG233" s="157" t="str">
        <f>IF(ID!$A$83=AE233,AF233,"")</f>
        <v/>
      </c>
      <c r="AH233" s="157" t="str">
        <f>IFERROR(SMALL($AG$11:$AG$394,ROWS($AG$11:AG233)),"")</f>
        <v/>
      </c>
    </row>
    <row r="234" spans="2:34" x14ac:dyDescent="0.25">
      <c r="B234" s="1099" t="s">
        <v>400</v>
      </c>
      <c r="C234" s="1100"/>
      <c r="D234" s="1100"/>
      <c r="E234" s="1101"/>
      <c r="F234" s="233"/>
      <c r="H234" s="1099" t="s">
        <v>401</v>
      </c>
      <c r="I234" s="1100"/>
      <c r="J234" s="1100"/>
      <c r="K234" s="1101"/>
      <c r="L234" s="233"/>
      <c r="M234" s="1099" t="s">
        <v>195</v>
      </c>
      <c r="N234" s="1100"/>
      <c r="O234" s="1100"/>
      <c r="P234" s="1100"/>
      <c r="Q234" s="1101"/>
      <c r="S234" s="224" t="s">
        <v>48</v>
      </c>
      <c r="T234" s="700" t="s">
        <v>403</v>
      </c>
      <c r="U234" s="701" t="s">
        <v>402</v>
      </c>
      <c r="V234" s="701" t="s">
        <v>192</v>
      </c>
      <c r="W234" s="528" t="s">
        <v>172</v>
      </c>
      <c r="X234" s="197" t="s">
        <v>190</v>
      </c>
      <c r="Y234" s="718" t="s">
        <v>404</v>
      </c>
      <c r="Z234" s="719" t="s">
        <v>405</v>
      </c>
      <c r="AA234" s="719" t="s">
        <v>193</v>
      </c>
      <c r="AB234" s="528" t="s">
        <v>152</v>
      </c>
      <c r="AC234" s="197" t="s">
        <v>191</v>
      </c>
      <c r="AF234" s="157">
        <f>ROWS(AE$11:$AE234)</f>
        <v>224</v>
      </c>
      <c r="AG234" s="157" t="str">
        <f>IF(ID!$A$83=AE234,AF234,"")</f>
        <v/>
      </c>
      <c r="AH234" s="157" t="str">
        <f>IFERROR(SMALL($AG$11:$AG$394,ROWS($AG$11:AG234)),"")</f>
        <v/>
      </c>
    </row>
    <row r="235" spans="2:34" x14ac:dyDescent="0.25">
      <c r="B235" s="207">
        <v>0</v>
      </c>
      <c r="C235" s="949" t="s">
        <v>134</v>
      </c>
      <c r="D235" s="949" t="s">
        <v>134</v>
      </c>
      <c r="E235" s="1108" t="s">
        <v>134</v>
      </c>
      <c r="F235" s="237"/>
      <c r="H235" s="207">
        <v>0</v>
      </c>
      <c r="I235" s="193">
        <v>0</v>
      </c>
      <c r="J235" s="512">
        <v>0</v>
      </c>
      <c r="K235" s="1108" t="s">
        <v>248</v>
      </c>
      <c r="L235" s="237"/>
      <c r="M235" s="207">
        <v>0</v>
      </c>
      <c r="N235" s="193">
        <v>0</v>
      </c>
      <c r="O235" s="512">
        <v>0</v>
      </c>
      <c r="P235" s="199">
        <v>0.1</v>
      </c>
      <c r="Q235" s="1111" t="s">
        <v>370</v>
      </c>
      <c r="R235" s="236"/>
      <c r="S235" s="971">
        <v>0</v>
      </c>
      <c r="T235" s="972" t="str">
        <f>C235</f>
        <v>-</v>
      </c>
      <c r="U235" s="973">
        <f>I235</f>
        <v>0</v>
      </c>
      <c r="V235" s="973">
        <f>N235</f>
        <v>0</v>
      </c>
      <c r="W235" s="974">
        <f>0.5*(MAX(T235:V235)-MIN(T235:V235))</f>
        <v>0</v>
      </c>
      <c r="X235" s="975">
        <f>P235</f>
        <v>0.1</v>
      </c>
      <c r="Y235" s="976" t="str">
        <f>D235</f>
        <v>-</v>
      </c>
      <c r="Z235" s="977">
        <f>J235</f>
        <v>0</v>
      </c>
      <c r="AA235" s="977">
        <f>O235</f>
        <v>0</v>
      </c>
      <c r="AB235" s="974">
        <f>0.5*(MAX(Y235:AA235)-MIN(Y235:AA235))</f>
        <v>0</v>
      </c>
      <c r="AC235" s="975">
        <f>P235</f>
        <v>0.1</v>
      </c>
      <c r="AD235" s="9"/>
      <c r="AE235" s="4"/>
      <c r="AF235" s="157">
        <f>ROWS(AE$11:$AE235)</f>
        <v>225</v>
      </c>
      <c r="AG235" s="157" t="str">
        <f>IF(ID!$A$83=AE235,AF235,"")</f>
        <v/>
      </c>
      <c r="AH235" s="157" t="str">
        <f>IFERROR(SMALL($AG$11:$AG$394,ROWS($AG$11:AG235)),"")</f>
        <v/>
      </c>
    </row>
    <row r="236" spans="2:34" x14ac:dyDescent="0.25">
      <c r="B236" s="207">
        <v>50</v>
      </c>
      <c r="C236" s="949" t="s">
        <v>134</v>
      </c>
      <c r="D236" s="949" t="s">
        <v>134</v>
      </c>
      <c r="E236" s="1109"/>
      <c r="F236" s="237"/>
      <c r="H236" s="207">
        <v>50</v>
      </c>
      <c r="I236" s="193">
        <v>0.1</v>
      </c>
      <c r="J236" s="512">
        <v>0.1</v>
      </c>
      <c r="K236" s="1109"/>
      <c r="L236" s="237"/>
      <c r="M236" s="207">
        <v>50</v>
      </c>
      <c r="N236" s="193">
        <v>0</v>
      </c>
      <c r="O236" s="512">
        <v>0.1</v>
      </c>
      <c r="P236" s="199">
        <v>0.1</v>
      </c>
      <c r="Q236" s="1112"/>
      <c r="R236" s="236"/>
      <c r="S236" s="971">
        <v>50</v>
      </c>
      <c r="T236" s="972" t="str">
        <f t="shared" ref="T236:T241" si="143">C236</f>
        <v>-</v>
      </c>
      <c r="U236" s="973">
        <f t="shared" ref="U236:U241" si="144">I236</f>
        <v>0.1</v>
      </c>
      <c r="V236" s="973">
        <f t="shared" ref="V236:V241" si="145">N236</f>
        <v>0</v>
      </c>
      <c r="W236" s="974">
        <f t="shared" ref="W236:W241" si="146">0.5*(MAX(T236:V236)-MIN(T236:V236))</f>
        <v>0.05</v>
      </c>
      <c r="X236" s="975">
        <f t="shared" ref="X236:X241" si="147">P236</f>
        <v>0.1</v>
      </c>
      <c r="Y236" s="976" t="str">
        <f t="shared" ref="Y236:Y241" si="148">D236</f>
        <v>-</v>
      </c>
      <c r="Z236" s="977">
        <f t="shared" ref="Z236:Z241" si="149">J236</f>
        <v>0.1</v>
      </c>
      <c r="AA236" s="977">
        <f t="shared" ref="AA236:AA241" si="150">O236</f>
        <v>0.1</v>
      </c>
      <c r="AB236" s="974">
        <f t="shared" ref="AB236:AB241" si="151">0.5*(MAX(Y236:AA236)-MIN(Y236:AA236))</f>
        <v>0</v>
      </c>
      <c r="AC236" s="975">
        <f t="shared" ref="AC236:AC241" si="152">P236</f>
        <v>0.1</v>
      </c>
      <c r="AD236" s="9"/>
      <c r="AE236" s="4"/>
      <c r="AF236" s="157">
        <f>ROWS(AE$11:$AE236)</f>
        <v>226</v>
      </c>
      <c r="AG236" s="157" t="str">
        <f>IF(ID!$A$83=AE236,AF236,"")</f>
        <v/>
      </c>
      <c r="AH236" s="157" t="str">
        <f>IFERROR(SMALL($AG$11:$AG$394,ROWS($AG$11:AG236)),"")</f>
        <v/>
      </c>
    </row>
    <row r="237" spans="2:34" x14ac:dyDescent="0.25">
      <c r="B237" s="207">
        <v>100</v>
      </c>
      <c r="C237" s="949" t="s">
        <v>134</v>
      </c>
      <c r="D237" s="949" t="s">
        <v>134</v>
      </c>
      <c r="E237" s="1109"/>
      <c r="F237" s="237"/>
      <c r="H237" s="207">
        <v>100</v>
      </c>
      <c r="I237" s="193">
        <v>-0.2</v>
      </c>
      <c r="J237" s="512">
        <v>-0.2</v>
      </c>
      <c r="K237" s="1109"/>
      <c r="L237" s="237"/>
      <c r="M237" s="207">
        <v>100</v>
      </c>
      <c r="N237" s="193">
        <v>0.2</v>
      </c>
      <c r="O237" s="512">
        <v>0.3</v>
      </c>
      <c r="P237" s="199">
        <v>0.1</v>
      </c>
      <c r="Q237" s="1112"/>
      <c r="R237" s="236"/>
      <c r="S237" s="971">
        <v>100</v>
      </c>
      <c r="T237" s="972" t="str">
        <f t="shared" si="143"/>
        <v>-</v>
      </c>
      <c r="U237" s="973">
        <f t="shared" si="144"/>
        <v>-0.2</v>
      </c>
      <c r="V237" s="973">
        <f t="shared" si="145"/>
        <v>0.2</v>
      </c>
      <c r="W237" s="974">
        <f t="shared" si="146"/>
        <v>0.2</v>
      </c>
      <c r="X237" s="975">
        <f t="shared" si="147"/>
        <v>0.1</v>
      </c>
      <c r="Y237" s="976" t="str">
        <f t="shared" si="148"/>
        <v>-</v>
      </c>
      <c r="Z237" s="977">
        <f t="shared" si="149"/>
        <v>-0.2</v>
      </c>
      <c r="AA237" s="977">
        <f t="shared" si="150"/>
        <v>0.3</v>
      </c>
      <c r="AB237" s="974">
        <f t="shared" si="151"/>
        <v>0.25</v>
      </c>
      <c r="AC237" s="975">
        <f t="shared" si="152"/>
        <v>0.1</v>
      </c>
      <c r="AD237" s="9"/>
      <c r="AE237" s="4"/>
      <c r="AF237" s="157">
        <f>ROWS(AE$11:$AE237)</f>
        <v>227</v>
      </c>
      <c r="AG237" s="157" t="str">
        <f>IF(ID!$A$83=AE237,AF237,"")</f>
        <v/>
      </c>
      <c r="AH237" s="157" t="str">
        <f>IFERROR(SMALL($AG$11:$AG$394,ROWS($AG$11:AG237)),"")</f>
        <v/>
      </c>
    </row>
    <row r="238" spans="2:34" x14ac:dyDescent="0.25">
      <c r="B238" s="207">
        <v>150</v>
      </c>
      <c r="C238" s="949" t="s">
        <v>134</v>
      </c>
      <c r="D238" s="949" t="s">
        <v>134</v>
      </c>
      <c r="E238" s="1109"/>
      <c r="F238" s="237"/>
      <c r="H238" s="207">
        <v>150</v>
      </c>
      <c r="I238" s="193">
        <v>-0.1</v>
      </c>
      <c r="J238" s="512">
        <v>-0.1</v>
      </c>
      <c r="K238" s="1109"/>
      <c r="L238" s="237"/>
      <c r="M238" s="207">
        <v>150</v>
      </c>
      <c r="N238" s="193">
        <v>0.3</v>
      </c>
      <c r="O238" s="512">
        <v>0.4</v>
      </c>
      <c r="P238" s="199">
        <v>0.1</v>
      </c>
      <c r="Q238" s="1112"/>
      <c r="R238" s="236"/>
      <c r="S238" s="971">
        <v>150</v>
      </c>
      <c r="T238" s="972" t="str">
        <f t="shared" si="143"/>
        <v>-</v>
      </c>
      <c r="U238" s="973">
        <f t="shared" si="144"/>
        <v>-0.1</v>
      </c>
      <c r="V238" s="973">
        <f t="shared" si="145"/>
        <v>0.3</v>
      </c>
      <c r="W238" s="974">
        <f t="shared" si="146"/>
        <v>0.2</v>
      </c>
      <c r="X238" s="975">
        <f t="shared" si="147"/>
        <v>0.1</v>
      </c>
      <c r="Y238" s="976" t="str">
        <f t="shared" si="148"/>
        <v>-</v>
      </c>
      <c r="Z238" s="977">
        <f t="shared" si="149"/>
        <v>-0.1</v>
      </c>
      <c r="AA238" s="977">
        <f t="shared" si="150"/>
        <v>0.4</v>
      </c>
      <c r="AB238" s="974">
        <f t="shared" si="151"/>
        <v>0.25</v>
      </c>
      <c r="AC238" s="975">
        <f t="shared" si="152"/>
        <v>0.1</v>
      </c>
      <c r="AD238" s="9"/>
      <c r="AE238" s="4"/>
      <c r="AF238" s="157">
        <f>ROWS(AE$11:$AE238)</f>
        <v>228</v>
      </c>
      <c r="AG238" s="157" t="str">
        <f>IF(ID!$A$83=AE238,AF238,"")</f>
        <v/>
      </c>
      <c r="AH238" s="157" t="str">
        <f>IFERROR(SMALL($AG$11:$AG$394,ROWS($AG$11:AG238)),"")</f>
        <v/>
      </c>
    </row>
    <row r="239" spans="2:34" x14ac:dyDescent="0.25">
      <c r="B239" s="207">
        <v>200</v>
      </c>
      <c r="C239" s="949" t="s">
        <v>134</v>
      </c>
      <c r="D239" s="949" t="s">
        <v>134</v>
      </c>
      <c r="E239" s="1109"/>
      <c r="F239" s="237"/>
      <c r="H239" s="207">
        <v>200</v>
      </c>
      <c r="I239" s="193">
        <v>-0.2</v>
      </c>
      <c r="J239" s="512">
        <v>-0.2</v>
      </c>
      <c r="K239" s="1109"/>
      <c r="L239" s="237"/>
      <c r="M239" s="207">
        <v>200</v>
      </c>
      <c r="N239" s="193">
        <v>0.3</v>
      </c>
      <c r="O239" s="512">
        <v>0.4</v>
      </c>
      <c r="P239" s="199">
        <v>0.1</v>
      </c>
      <c r="Q239" s="1112"/>
      <c r="R239" s="236"/>
      <c r="S239" s="971">
        <v>200</v>
      </c>
      <c r="T239" s="972" t="str">
        <f t="shared" si="143"/>
        <v>-</v>
      </c>
      <c r="U239" s="973">
        <f t="shared" si="144"/>
        <v>-0.2</v>
      </c>
      <c r="V239" s="973">
        <f t="shared" si="145"/>
        <v>0.3</v>
      </c>
      <c r="W239" s="974">
        <f t="shared" si="146"/>
        <v>0.25</v>
      </c>
      <c r="X239" s="975">
        <f t="shared" si="147"/>
        <v>0.1</v>
      </c>
      <c r="Y239" s="976" t="str">
        <f t="shared" si="148"/>
        <v>-</v>
      </c>
      <c r="Z239" s="977">
        <f t="shared" si="149"/>
        <v>-0.2</v>
      </c>
      <c r="AA239" s="977">
        <f t="shared" si="150"/>
        <v>0.4</v>
      </c>
      <c r="AB239" s="974">
        <f t="shared" si="151"/>
        <v>0.30000000000000004</v>
      </c>
      <c r="AC239" s="975">
        <f t="shared" si="152"/>
        <v>0.1</v>
      </c>
      <c r="AD239" s="9"/>
      <c r="AE239" s="4"/>
      <c r="AF239" s="157">
        <f>ROWS(AE$11:$AE239)</f>
        <v>229</v>
      </c>
      <c r="AG239" s="157" t="str">
        <f>IF(ID!$A$83=AE239,AF239,"")</f>
        <v/>
      </c>
      <c r="AH239" s="157" t="str">
        <f>IFERROR(SMALL($AG$11:$AG$394,ROWS($AG$11:AG239)),"")</f>
        <v/>
      </c>
    </row>
    <row r="240" spans="2:34" x14ac:dyDescent="0.25">
      <c r="B240" s="207">
        <v>250</v>
      </c>
      <c r="C240" s="949" t="s">
        <v>134</v>
      </c>
      <c r="D240" s="949" t="s">
        <v>134</v>
      </c>
      <c r="E240" s="1109"/>
      <c r="F240" s="237"/>
      <c r="H240" s="207">
        <v>250</v>
      </c>
      <c r="I240" s="193">
        <v>-0.3</v>
      </c>
      <c r="J240" s="512">
        <v>-0.3</v>
      </c>
      <c r="K240" s="1109"/>
      <c r="L240" s="237"/>
      <c r="M240" s="207">
        <v>250</v>
      </c>
      <c r="N240" s="193">
        <v>0.6</v>
      </c>
      <c r="O240" s="512">
        <v>0.6</v>
      </c>
      <c r="P240" s="199">
        <v>0.1</v>
      </c>
      <c r="Q240" s="1112"/>
      <c r="R240" s="236"/>
      <c r="S240" s="971">
        <v>250</v>
      </c>
      <c r="T240" s="972" t="str">
        <f t="shared" si="143"/>
        <v>-</v>
      </c>
      <c r="U240" s="973">
        <f t="shared" si="144"/>
        <v>-0.3</v>
      </c>
      <c r="V240" s="973">
        <f t="shared" si="145"/>
        <v>0.6</v>
      </c>
      <c r="W240" s="974">
        <f t="shared" si="146"/>
        <v>0.44999999999999996</v>
      </c>
      <c r="X240" s="975">
        <f t="shared" si="147"/>
        <v>0.1</v>
      </c>
      <c r="Y240" s="976" t="str">
        <f t="shared" si="148"/>
        <v>-</v>
      </c>
      <c r="Z240" s="977">
        <f t="shared" si="149"/>
        <v>-0.3</v>
      </c>
      <c r="AA240" s="977">
        <f t="shared" si="150"/>
        <v>0.6</v>
      </c>
      <c r="AB240" s="974">
        <f t="shared" si="151"/>
        <v>0.44999999999999996</v>
      </c>
      <c r="AC240" s="975">
        <f t="shared" si="152"/>
        <v>0.1</v>
      </c>
      <c r="AD240" s="9"/>
      <c r="AE240" s="4"/>
      <c r="AF240" s="157">
        <f>ROWS(AE$11:$AE240)</f>
        <v>230</v>
      </c>
      <c r="AG240" s="157" t="str">
        <f>IF(ID!$A$83=AE240,AF240,"")</f>
        <v/>
      </c>
      <c r="AH240" s="157" t="str">
        <f>IFERROR(SMALL($AG$11:$AG$394,ROWS($AG$11:AG240)),"")</f>
        <v/>
      </c>
    </row>
    <row r="241" spans="2:34" x14ac:dyDescent="0.25">
      <c r="B241" s="207">
        <v>300</v>
      </c>
      <c r="C241" s="949" t="s">
        <v>134</v>
      </c>
      <c r="D241" s="949" t="s">
        <v>134</v>
      </c>
      <c r="E241" s="1110"/>
      <c r="F241" s="237"/>
      <c r="H241" s="207">
        <v>300</v>
      </c>
      <c r="I241" s="193">
        <v>-0.4</v>
      </c>
      <c r="J241" s="512">
        <v>-0.4</v>
      </c>
      <c r="K241" s="1110"/>
      <c r="L241" s="237"/>
      <c r="M241" s="207">
        <v>300</v>
      </c>
      <c r="N241" s="193">
        <v>0.7</v>
      </c>
      <c r="O241" s="512">
        <v>0.7</v>
      </c>
      <c r="P241" s="199">
        <v>0.1</v>
      </c>
      <c r="Q241" s="1113"/>
      <c r="R241" s="236"/>
      <c r="S241" s="971">
        <v>300</v>
      </c>
      <c r="T241" s="972" t="str">
        <f t="shared" si="143"/>
        <v>-</v>
      </c>
      <c r="U241" s="973">
        <f t="shared" si="144"/>
        <v>-0.4</v>
      </c>
      <c r="V241" s="973">
        <f t="shared" si="145"/>
        <v>0.7</v>
      </c>
      <c r="W241" s="974">
        <f t="shared" si="146"/>
        <v>0.55000000000000004</v>
      </c>
      <c r="X241" s="975">
        <f t="shared" si="147"/>
        <v>0.1</v>
      </c>
      <c r="Y241" s="976" t="str">
        <f t="shared" si="148"/>
        <v>-</v>
      </c>
      <c r="Z241" s="977">
        <f t="shared" si="149"/>
        <v>-0.4</v>
      </c>
      <c r="AA241" s="977">
        <f t="shared" si="150"/>
        <v>0.7</v>
      </c>
      <c r="AB241" s="974">
        <f t="shared" si="151"/>
        <v>0.55000000000000004</v>
      </c>
      <c r="AC241" s="975">
        <f t="shared" si="152"/>
        <v>0.1</v>
      </c>
      <c r="AD241" s="9"/>
      <c r="AE241" s="4"/>
      <c r="AF241" s="157">
        <f>ROWS(AE$11:$AE241)</f>
        <v>231</v>
      </c>
      <c r="AG241" s="157" t="str">
        <f>IF(ID!$A$83=AE241,AF241,"")</f>
        <v/>
      </c>
      <c r="AH241" s="157" t="str">
        <f>IFERROR(SMALL($AG$11:$AG$394,ROWS($AG$11:AG241)),"")</f>
        <v/>
      </c>
    </row>
    <row r="242" spans="2:34" x14ac:dyDescent="0.25">
      <c r="S242" s="991" t="s">
        <v>104</v>
      </c>
      <c r="T242" s="992"/>
      <c r="U242" s="993" t="s">
        <v>104</v>
      </c>
      <c r="V242" s="993"/>
      <c r="W242" s="994"/>
      <c r="X242" s="995" t="s">
        <v>104</v>
      </c>
      <c r="Y242" s="996"/>
      <c r="Z242" s="997"/>
      <c r="AA242" s="997"/>
      <c r="AB242" s="994"/>
      <c r="AC242" s="998"/>
      <c r="AD242" s="95"/>
      <c r="AE242" s="4"/>
      <c r="AF242" s="157">
        <f>ROWS(AE$11:$AE242)</f>
        <v>232</v>
      </c>
      <c r="AG242" s="157" t="str">
        <f>IF(ID!$A$83=AE242,AF242,"")</f>
        <v/>
      </c>
      <c r="AH242" s="157" t="str">
        <f>IFERROR(SMALL($AG$11:$AG$394,ROWS($AG$11:AG242)),"")</f>
        <v/>
      </c>
    </row>
    <row r="243" spans="2:34" x14ac:dyDescent="0.25">
      <c r="E243" s="13"/>
      <c r="F243" s="13"/>
      <c r="K243" s="13"/>
      <c r="L243" s="13"/>
      <c r="N243" s="13"/>
      <c r="O243" s="13"/>
      <c r="Q243" s="13"/>
      <c r="R243" s="13"/>
      <c r="S243" s="991" t="s">
        <v>104</v>
      </c>
      <c r="T243" s="992"/>
      <c r="U243" s="993" t="s">
        <v>104</v>
      </c>
      <c r="V243" s="993"/>
      <c r="W243" s="994"/>
      <c r="X243" s="998" t="s">
        <v>104</v>
      </c>
      <c r="Y243" s="997"/>
      <c r="Z243" s="997"/>
      <c r="AA243" s="997"/>
      <c r="AB243" s="994"/>
      <c r="AC243" s="998"/>
      <c r="AD243" s="95"/>
      <c r="AE243" s="4"/>
      <c r="AF243" s="157">
        <f>ROWS(AE$11:$AE243)</f>
        <v>233</v>
      </c>
      <c r="AG243" s="157" t="str">
        <f>IF(ID!$A$83=AE243,AF243,"")</f>
        <v/>
      </c>
      <c r="AH243" s="157" t="str">
        <f>IFERROR(SMALL($AG$11:$AG$394,ROWS($AG$11:AG243)),"")</f>
        <v/>
      </c>
    </row>
    <row r="244" spans="2:34" x14ac:dyDescent="0.25">
      <c r="S244" s="991" t="s">
        <v>104</v>
      </c>
      <c r="T244" s="992"/>
      <c r="U244" s="993" t="s">
        <v>104</v>
      </c>
      <c r="V244" s="993"/>
      <c r="W244" s="994"/>
      <c r="X244" s="998" t="s">
        <v>104</v>
      </c>
      <c r="Y244" s="997"/>
      <c r="Z244" s="997"/>
      <c r="AA244" s="997"/>
      <c r="AB244" s="994"/>
      <c r="AC244" s="998"/>
      <c r="AD244" s="95"/>
      <c r="AE244" s="4"/>
      <c r="AF244" s="157">
        <f>ROWS(AE$11:$AE244)</f>
        <v>234</v>
      </c>
      <c r="AG244" s="157" t="str">
        <f>IF(ID!$A$83=AE244,AF244,"")</f>
        <v/>
      </c>
      <c r="AH244" s="157" t="str">
        <f>IFERROR(SMALL($AG$11:$AG$394,ROWS($AG$11:AG244)),"")</f>
        <v/>
      </c>
    </row>
    <row r="245" spans="2:34" x14ac:dyDescent="0.25">
      <c r="S245" s="991" t="s">
        <v>104</v>
      </c>
      <c r="T245" s="992"/>
      <c r="U245" s="993" t="s">
        <v>104</v>
      </c>
      <c r="V245" s="993"/>
      <c r="W245" s="994"/>
      <c r="X245" s="998" t="s">
        <v>104</v>
      </c>
      <c r="Y245" s="997"/>
      <c r="Z245" s="997"/>
      <c r="AA245" s="997"/>
      <c r="AB245" s="994"/>
      <c r="AC245" s="998"/>
      <c r="AD245" s="95"/>
      <c r="AE245" s="4"/>
      <c r="AF245" s="157">
        <f>ROWS(AE$11:$AE245)</f>
        <v>235</v>
      </c>
      <c r="AG245" s="157" t="str">
        <f>IF(ID!$A$83=AE245,AF245,"")</f>
        <v/>
      </c>
      <c r="AH245" s="157" t="str">
        <f>IFERROR(SMALL($AG$11:$AG$394,ROWS($AG$11:AG245)),"")</f>
        <v/>
      </c>
    </row>
    <row r="246" spans="2:34" x14ac:dyDescent="0.25">
      <c r="E246" s="13"/>
      <c r="F246" s="13"/>
      <c r="K246" s="13"/>
      <c r="L246" s="13"/>
      <c r="N246" s="13"/>
      <c r="O246" s="13"/>
      <c r="Q246" s="13"/>
      <c r="R246" s="13"/>
      <c r="S246" s="1012"/>
      <c r="T246" s="1013"/>
      <c r="U246" s="1014"/>
      <c r="V246" s="1014"/>
      <c r="W246" s="1015"/>
      <c r="X246" s="1005"/>
      <c r="Y246" s="1016"/>
      <c r="Z246" s="1016"/>
      <c r="AA246" s="1016"/>
      <c r="AB246" s="1015"/>
      <c r="AC246" s="1005"/>
      <c r="AD246" s="13"/>
      <c r="AE246" s="13"/>
      <c r="AF246" s="157">
        <f>ROWS(AE$11:$AE246)</f>
        <v>236</v>
      </c>
      <c r="AG246" s="157" t="str">
        <f>IF(ID!$A$83=AE246,AF246,"")</f>
        <v/>
      </c>
      <c r="AH246" s="157" t="str">
        <f>IFERROR(SMALL($AG$11:$AG$394,ROWS($AG$11:AG246)),"")</f>
        <v/>
      </c>
    </row>
    <row r="247" spans="2:34" s="513" customFormat="1" x14ac:dyDescent="0.25">
      <c r="C247" s="519"/>
      <c r="D247" s="525"/>
      <c r="I247" s="519"/>
      <c r="J247" s="525"/>
      <c r="S247" s="1017"/>
      <c r="T247" s="1017"/>
      <c r="U247" s="1017"/>
      <c r="V247" s="1017"/>
      <c r="W247" s="1017"/>
      <c r="X247" s="1017"/>
      <c r="Y247" s="1017"/>
      <c r="Z247" s="1017"/>
      <c r="AA247" s="1017"/>
      <c r="AB247" s="1018"/>
      <c r="AC247" s="1019"/>
      <c r="AF247" s="157">
        <f>ROWS(AE$11:$AE247)</f>
        <v>237</v>
      </c>
      <c r="AG247" s="157" t="str">
        <f>IF(ID!$A$83=AE247,AF247,"")</f>
        <v/>
      </c>
      <c r="AH247" s="157" t="str">
        <f>IFERROR(SMALL($AG$11:$AG$394,ROWS($AG$11:AG247)),"")</f>
        <v/>
      </c>
    </row>
    <row r="248" spans="2:34" s="513" customFormat="1" x14ac:dyDescent="0.25">
      <c r="C248" s="519"/>
      <c r="D248" s="525"/>
      <c r="I248" s="519"/>
      <c r="J248" s="525"/>
      <c r="S248" s="1017"/>
      <c r="T248" s="1017"/>
      <c r="U248" s="1017"/>
      <c r="V248" s="1017"/>
      <c r="W248" s="1017"/>
      <c r="X248" s="1017"/>
      <c r="Y248" s="1017"/>
      <c r="Z248" s="1017"/>
      <c r="AA248" s="1017"/>
      <c r="AB248" s="1018"/>
      <c r="AC248" s="1019"/>
      <c r="AF248" s="157">
        <f>ROWS(AE$11:$AE248)</f>
        <v>238</v>
      </c>
      <c r="AG248" s="157" t="str">
        <f>IF(ID!$A$83=AE248,AF248,"")</f>
        <v/>
      </c>
      <c r="AH248" s="157" t="str">
        <f>IFERROR(SMALL($AG$11:$AG$394,ROWS($AG$11:AG248)),"")</f>
        <v/>
      </c>
    </row>
    <row r="249" spans="2:34" s="513" customFormat="1" x14ac:dyDescent="0.25">
      <c r="C249" s="519"/>
      <c r="D249" s="525"/>
      <c r="I249" s="519"/>
      <c r="J249" s="525"/>
      <c r="S249" s="1017"/>
      <c r="T249" s="1017"/>
      <c r="U249" s="1017"/>
      <c r="V249" s="1017"/>
      <c r="W249" s="1017"/>
      <c r="X249" s="1017"/>
      <c r="Y249" s="1017"/>
      <c r="Z249" s="1017"/>
      <c r="AA249" s="1017"/>
      <c r="AB249" s="1018"/>
      <c r="AC249" s="1019"/>
      <c r="AF249" s="157">
        <f>ROWS(AE$11:$AE249)</f>
        <v>239</v>
      </c>
      <c r="AG249" s="157" t="str">
        <f>IF(ID!$A$83=AE249,AF249,"")</f>
        <v/>
      </c>
      <c r="AH249" s="157" t="str">
        <f>IFERROR(SMALL($AG$11:$AG$394,ROWS($AG$11:AG249)),"")</f>
        <v/>
      </c>
    </row>
    <row r="250" spans="2:34" s="513" customFormat="1" x14ac:dyDescent="0.25">
      <c r="C250" s="519"/>
      <c r="D250" s="525"/>
      <c r="I250" s="519"/>
      <c r="J250" s="525"/>
      <c r="S250" s="1017"/>
      <c r="T250" s="1017"/>
      <c r="U250" s="1017"/>
      <c r="V250" s="1017"/>
      <c r="W250" s="1020" t="s">
        <v>545</v>
      </c>
      <c r="X250" s="1005"/>
      <c r="Y250" s="1016"/>
      <c r="Z250" s="1016"/>
      <c r="AA250" s="1016"/>
      <c r="AB250" s="1020" t="s">
        <v>545</v>
      </c>
      <c r="AC250" s="1019"/>
      <c r="AF250" s="157">
        <f>ROWS(AE$11:$AE250)</f>
        <v>240</v>
      </c>
      <c r="AG250" s="157" t="str">
        <f>IF(ID!$A$83=AE250,AF250,"")</f>
        <v/>
      </c>
      <c r="AH250" s="157" t="str">
        <f>IFERROR(SMALL($AG$11:$AG$394,ROWS($AG$11:AG250)),"")</f>
        <v/>
      </c>
    </row>
    <row r="251" spans="2:34" x14ac:dyDescent="0.25">
      <c r="B251" s="1099" t="s">
        <v>400</v>
      </c>
      <c r="C251" s="1100"/>
      <c r="D251" s="1100"/>
      <c r="E251" s="1101"/>
      <c r="F251" s="233"/>
      <c r="H251" s="1099" t="s">
        <v>401</v>
      </c>
      <c r="I251" s="1100"/>
      <c r="J251" s="1100"/>
      <c r="K251" s="1101"/>
      <c r="L251" s="233"/>
      <c r="M251" s="1099" t="s">
        <v>195</v>
      </c>
      <c r="N251" s="1100"/>
      <c r="O251" s="1100"/>
      <c r="P251" s="1100"/>
      <c r="Q251" s="1101"/>
      <c r="S251" s="1022" t="s">
        <v>48</v>
      </c>
      <c r="T251" s="701" t="s">
        <v>403</v>
      </c>
      <c r="U251" s="701" t="s">
        <v>402</v>
      </c>
      <c r="V251" s="701" t="s">
        <v>192</v>
      </c>
      <c r="W251" s="528" t="s">
        <v>172</v>
      </c>
      <c r="X251" s="232" t="s">
        <v>190</v>
      </c>
      <c r="Y251" s="719" t="s">
        <v>404</v>
      </c>
      <c r="Z251" s="719" t="s">
        <v>405</v>
      </c>
      <c r="AA251" s="719" t="s">
        <v>193</v>
      </c>
      <c r="AB251" s="528" t="s">
        <v>152</v>
      </c>
      <c r="AC251" s="232" t="s">
        <v>191</v>
      </c>
      <c r="AF251" s="157">
        <f>ROWS(AE$11:$AE251)</f>
        <v>241</v>
      </c>
      <c r="AG251" s="157" t="str">
        <f>IF(ID!$A$83=AE251,AF251,"")</f>
        <v/>
      </c>
      <c r="AH251" s="157" t="str">
        <f>IFERROR(SMALL($AG$11:$AG$394,ROWS($AG$11:AG251)),"")</f>
        <v/>
      </c>
    </row>
    <row r="252" spans="2:34" x14ac:dyDescent="0.25">
      <c r="B252" s="207">
        <v>0</v>
      </c>
      <c r="C252" s="949" t="s">
        <v>134</v>
      </c>
      <c r="D252" s="950" t="s">
        <v>134</v>
      </c>
      <c r="E252" s="1108" t="s">
        <v>134</v>
      </c>
      <c r="F252" s="237"/>
      <c r="H252" s="207">
        <v>0</v>
      </c>
      <c r="I252" s="193">
        <v>0</v>
      </c>
      <c r="J252" s="512">
        <v>0</v>
      </c>
      <c r="K252" s="1108" t="s">
        <v>248</v>
      </c>
      <c r="L252" s="237"/>
      <c r="M252" s="207">
        <v>0</v>
      </c>
      <c r="N252" s="193">
        <v>0</v>
      </c>
      <c r="O252" s="512">
        <v>0</v>
      </c>
      <c r="P252" s="199">
        <v>0.1</v>
      </c>
      <c r="Q252" s="1111" t="s">
        <v>371</v>
      </c>
      <c r="R252" s="236"/>
      <c r="S252" s="971">
        <v>0</v>
      </c>
      <c r="T252" s="972" t="str">
        <f>C252</f>
        <v>-</v>
      </c>
      <c r="U252" s="973">
        <f>I252</f>
        <v>0</v>
      </c>
      <c r="V252" s="973">
        <f>N252</f>
        <v>0</v>
      </c>
      <c r="W252" s="974">
        <f>0.5*(MAX(T252:V252)-MIN(T252:V252))</f>
        <v>0</v>
      </c>
      <c r="X252" s="975">
        <f>P252</f>
        <v>0.1</v>
      </c>
      <c r="Y252" s="976" t="str">
        <f>D252</f>
        <v>-</v>
      </c>
      <c r="Z252" s="977">
        <f>J252</f>
        <v>0</v>
      </c>
      <c r="AA252" s="977">
        <f>O252</f>
        <v>0</v>
      </c>
      <c r="AB252" s="974">
        <f>0.5*(MAX(Y252:AA252)-MIN(Y252:AA252))</f>
        <v>0</v>
      </c>
      <c r="AC252" s="975">
        <f>P252</f>
        <v>0.1</v>
      </c>
      <c r="AD252" s="9"/>
      <c r="AE252" s="4"/>
      <c r="AF252" s="157">
        <f>ROWS(AE$11:$AE252)</f>
        <v>242</v>
      </c>
      <c r="AG252" s="157" t="str">
        <f>IF(ID!$A$83=AE252,AF252,"")</f>
        <v/>
      </c>
      <c r="AH252" s="157" t="str">
        <f>IFERROR(SMALL($AG$11:$AG$394,ROWS($AG$11:AG252)),"")</f>
        <v/>
      </c>
    </row>
    <row r="253" spans="2:34" x14ac:dyDescent="0.25">
      <c r="B253" s="207">
        <v>50</v>
      </c>
      <c r="C253" s="949" t="s">
        <v>134</v>
      </c>
      <c r="D253" s="950" t="s">
        <v>134</v>
      </c>
      <c r="E253" s="1109"/>
      <c r="F253" s="237"/>
      <c r="H253" s="207">
        <v>50</v>
      </c>
      <c r="I253" s="193">
        <v>0.2</v>
      </c>
      <c r="J253" s="512">
        <v>0.2</v>
      </c>
      <c r="K253" s="1109"/>
      <c r="L253" s="237"/>
      <c r="M253" s="207">
        <v>50</v>
      </c>
      <c r="N253" s="193">
        <v>0</v>
      </c>
      <c r="O253" s="512">
        <v>-0.2</v>
      </c>
      <c r="P253" s="199">
        <v>0.1</v>
      </c>
      <c r="Q253" s="1112"/>
      <c r="R253" s="236"/>
      <c r="S253" s="971">
        <v>50</v>
      </c>
      <c r="T253" s="972" t="str">
        <f t="shared" ref="T253:T258" si="153">C253</f>
        <v>-</v>
      </c>
      <c r="U253" s="973">
        <f t="shared" ref="U253:U258" si="154">I253</f>
        <v>0.2</v>
      </c>
      <c r="V253" s="973">
        <f t="shared" ref="V253:V258" si="155">N253</f>
        <v>0</v>
      </c>
      <c r="W253" s="974">
        <f t="shared" ref="W253:W258" si="156">0.5*(MAX(T253:V253)-MIN(T253:V253))</f>
        <v>0.1</v>
      </c>
      <c r="X253" s="975">
        <f t="shared" ref="X253:X258" si="157">P253</f>
        <v>0.1</v>
      </c>
      <c r="Y253" s="976" t="str">
        <f t="shared" ref="Y253:Y258" si="158">D253</f>
        <v>-</v>
      </c>
      <c r="Z253" s="977">
        <f t="shared" ref="Z253:Z258" si="159">J253</f>
        <v>0.2</v>
      </c>
      <c r="AA253" s="977">
        <f t="shared" ref="AA253:AA258" si="160">O253</f>
        <v>-0.2</v>
      </c>
      <c r="AB253" s="974">
        <f t="shared" ref="AB253:AB258" si="161">0.5*(MAX(Y253:AA253)-MIN(Y253:AA253))</f>
        <v>0.2</v>
      </c>
      <c r="AC253" s="975">
        <f t="shared" ref="AC253:AC258" si="162">P253</f>
        <v>0.1</v>
      </c>
      <c r="AD253" s="9"/>
      <c r="AE253" s="4"/>
      <c r="AF253" s="157">
        <f>ROWS(AE$11:$AE253)</f>
        <v>243</v>
      </c>
      <c r="AG253" s="157" t="str">
        <f>IF(ID!$A$83=AE253,AF253,"")</f>
        <v/>
      </c>
      <c r="AH253" s="157" t="str">
        <f>IFERROR(SMALL($AG$11:$AG$394,ROWS($AG$11:AG253)),"")</f>
        <v/>
      </c>
    </row>
    <row r="254" spans="2:34" x14ac:dyDescent="0.25">
      <c r="B254" s="207">
        <v>100</v>
      </c>
      <c r="C254" s="949" t="s">
        <v>134</v>
      </c>
      <c r="D254" s="950" t="s">
        <v>134</v>
      </c>
      <c r="E254" s="1109"/>
      <c r="F254" s="237"/>
      <c r="H254" s="207">
        <v>100</v>
      </c>
      <c r="I254" s="193">
        <v>0.1</v>
      </c>
      <c r="J254" s="512">
        <v>0.1</v>
      </c>
      <c r="K254" s="1109"/>
      <c r="L254" s="237"/>
      <c r="M254" s="207">
        <v>100</v>
      </c>
      <c r="N254" s="193">
        <v>-0.3</v>
      </c>
      <c r="O254" s="512">
        <v>-0.4</v>
      </c>
      <c r="P254" s="199">
        <v>0.1</v>
      </c>
      <c r="Q254" s="1112"/>
      <c r="R254" s="236"/>
      <c r="S254" s="971">
        <v>100</v>
      </c>
      <c r="T254" s="972" t="str">
        <f t="shared" si="153"/>
        <v>-</v>
      </c>
      <c r="U254" s="973">
        <f t="shared" si="154"/>
        <v>0.1</v>
      </c>
      <c r="V254" s="973">
        <f t="shared" si="155"/>
        <v>-0.3</v>
      </c>
      <c r="W254" s="974">
        <f t="shared" si="156"/>
        <v>0.2</v>
      </c>
      <c r="X254" s="975">
        <f t="shared" si="157"/>
        <v>0.1</v>
      </c>
      <c r="Y254" s="976" t="str">
        <f t="shared" si="158"/>
        <v>-</v>
      </c>
      <c r="Z254" s="977">
        <f t="shared" si="159"/>
        <v>0.1</v>
      </c>
      <c r="AA254" s="977">
        <f t="shared" si="160"/>
        <v>-0.4</v>
      </c>
      <c r="AB254" s="974">
        <f t="shared" si="161"/>
        <v>0.25</v>
      </c>
      <c r="AC254" s="975">
        <f t="shared" si="162"/>
        <v>0.1</v>
      </c>
      <c r="AD254" s="9"/>
      <c r="AE254" s="4"/>
      <c r="AF254" s="157">
        <f>ROWS(AE$11:$AE254)</f>
        <v>244</v>
      </c>
      <c r="AG254" s="157" t="str">
        <f>IF(ID!$A$83=AE254,AF254,"")</f>
        <v/>
      </c>
      <c r="AH254" s="157" t="str">
        <f>IFERROR(SMALL($AG$11:$AG$394,ROWS($AG$11:AG254)),"")</f>
        <v/>
      </c>
    </row>
    <row r="255" spans="2:34" x14ac:dyDescent="0.25">
      <c r="B255" s="207">
        <v>150</v>
      </c>
      <c r="C255" s="949" t="s">
        <v>134</v>
      </c>
      <c r="D255" s="950" t="s">
        <v>134</v>
      </c>
      <c r="E255" s="1109"/>
      <c r="F255" s="237"/>
      <c r="H255" s="207">
        <v>150</v>
      </c>
      <c r="I255" s="193">
        <v>-0.1</v>
      </c>
      <c r="J255" s="512">
        <v>-0.1</v>
      </c>
      <c r="K255" s="1109"/>
      <c r="L255" s="237"/>
      <c r="M255" s="207">
        <v>150</v>
      </c>
      <c r="N255" s="193">
        <v>-0.6</v>
      </c>
      <c r="O255" s="512">
        <v>-0.7</v>
      </c>
      <c r="P255" s="199">
        <v>0.1</v>
      </c>
      <c r="Q255" s="1112"/>
      <c r="R255" s="236"/>
      <c r="S255" s="971">
        <v>150</v>
      </c>
      <c r="T255" s="972" t="str">
        <f t="shared" si="153"/>
        <v>-</v>
      </c>
      <c r="U255" s="973">
        <f t="shared" si="154"/>
        <v>-0.1</v>
      </c>
      <c r="V255" s="973">
        <f t="shared" si="155"/>
        <v>-0.6</v>
      </c>
      <c r="W255" s="974">
        <f t="shared" si="156"/>
        <v>0.25</v>
      </c>
      <c r="X255" s="975">
        <f t="shared" si="157"/>
        <v>0.1</v>
      </c>
      <c r="Y255" s="976" t="str">
        <f t="shared" si="158"/>
        <v>-</v>
      </c>
      <c r="Z255" s="977">
        <f t="shared" si="159"/>
        <v>-0.1</v>
      </c>
      <c r="AA255" s="977">
        <f t="shared" si="160"/>
        <v>-0.7</v>
      </c>
      <c r="AB255" s="974">
        <f t="shared" si="161"/>
        <v>0.3</v>
      </c>
      <c r="AC255" s="975">
        <f t="shared" si="162"/>
        <v>0.1</v>
      </c>
      <c r="AD255" s="9"/>
      <c r="AE255" s="4"/>
      <c r="AF255" s="157">
        <f>ROWS(AE$11:$AE255)</f>
        <v>245</v>
      </c>
      <c r="AG255" s="157" t="str">
        <f>IF(ID!$A$83=AE255,AF255,"")</f>
        <v/>
      </c>
      <c r="AH255" s="157" t="str">
        <f>IFERROR(SMALL($AG$11:$AG$394,ROWS($AG$11:AG255)),"")</f>
        <v/>
      </c>
    </row>
    <row r="256" spans="2:34" x14ac:dyDescent="0.25">
      <c r="B256" s="207">
        <v>200</v>
      </c>
      <c r="C256" s="949" t="s">
        <v>134</v>
      </c>
      <c r="D256" s="950" t="s">
        <v>134</v>
      </c>
      <c r="E256" s="1109"/>
      <c r="F256" s="237"/>
      <c r="H256" s="207">
        <v>200</v>
      </c>
      <c r="I256" s="193">
        <v>-0.2</v>
      </c>
      <c r="J256" s="512">
        <v>-0.2</v>
      </c>
      <c r="K256" s="1109"/>
      <c r="L256" s="237"/>
      <c r="M256" s="207">
        <v>200</v>
      </c>
      <c r="N256" s="193">
        <v>-0.8</v>
      </c>
      <c r="O256" s="512">
        <v>-0.9</v>
      </c>
      <c r="P256" s="199">
        <v>0.1</v>
      </c>
      <c r="Q256" s="1112"/>
      <c r="R256" s="236"/>
      <c r="S256" s="971">
        <v>200</v>
      </c>
      <c r="T256" s="972" t="str">
        <f t="shared" si="153"/>
        <v>-</v>
      </c>
      <c r="U256" s="973">
        <f t="shared" si="154"/>
        <v>-0.2</v>
      </c>
      <c r="V256" s="973">
        <f t="shared" si="155"/>
        <v>-0.8</v>
      </c>
      <c r="W256" s="974">
        <f t="shared" si="156"/>
        <v>0.30000000000000004</v>
      </c>
      <c r="X256" s="975">
        <f t="shared" si="157"/>
        <v>0.1</v>
      </c>
      <c r="Y256" s="976" t="str">
        <f t="shared" si="158"/>
        <v>-</v>
      </c>
      <c r="Z256" s="977">
        <f t="shared" si="159"/>
        <v>-0.2</v>
      </c>
      <c r="AA256" s="977">
        <f t="shared" si="160"/>
        <v>-0.9</v>
      </c>
      <c r="AB256" s="974">
        <f t="shared" si="161"/>
        <v>0.35</v>
      </c>
      <c r="AC256" s="975">
        <f t="shared" si="162"/>
        <v>0.1</v>
      </c>
      <c r="AD256" s="9"/>
      <c r="AE256" s="4"/>
      <c r="AF256" s="157">
        <f>ROWS(AE$11:$AE256)</f>
        <v>246</v>
      </c>
      <c r="AG256" s="157" t="str">
        <f>IF(ID!$A$83=AE256,AF256,"")</f>
        <v/>
      </c>
      <c r="AH256" s="157" t="str">
        <f>IFERROR(SMALL($AG$11:$AG$394,ROWS($AG$11:AG256)),"")</f>
        <v/>
      </c>
    </row>
    <row r="257" spans="2:34" x14ac:dyDescent="0.25">
      <c r="B257" s="207">
        <v>250</v>
      </c>
      <c r="C257" s="949" t="s">
        <v>134</v>
      </c>
      <c r="D257" s="950" t="s">
        <v>134</v>
      </c>
      <c r="E257" s="1109"/>
      <c r="F257" s="237"/>
      <c r="H257" s="207">
        <v>250</v>
      </c>
      <c r="I257" s="193">
        <v>-0.4</v>
      </c>
      <c r="J257" s="512">
        <v>-0.4</v>
      </c>
      <c r="K257" s="1109"/>
      <c r="L257" s="237"/>
      <c r="M257" s="207">
        <v>250</v>
      </c>
      <c r="N257" s="193">
        <v>-1</v>
      </c>
      <c r="O257" s="512">
        <v>-1.1000000000000001</v>
      </c>
      <c r="P257" s="199">
        <v>0.1</v>
      </c>
      <c r="Q257" s="1112"/>
      <c r="R257" s="236"/>
      <c r="S257" s="971">
        <v>250</v>
      </c>
      <c r="T257" s="972" t="str">
        <f t="shared" si="153"/>
        <v>-</v>
      </c>
      <c r="U257" s="973">
        <f t="shared" si="154"/>
        <v>-0.4</v>
      </c>
      <c r="V257" s="973">
        <f t="shared" si="155"/>
        <v>-1</v>
      </c>
      <c r="W257" s="974">
        <f t="shared" si="156"/>
        <v>0.3</v>
      </c>
      <c r="X257" s="975">
        <f t="shared" si="157"/>
        <v>0.1</v>
      </c>
      <c r="Y257" s="976" t="str">
        <f t="shared" si="158"/>
        <v>-</v>
      </c>
      <c r="Z257" s="977">
        <f t="shared" si="159"/>
        <v>-0.4</v>
      </c>
      <c r="AA257" s="977">
        <f t="shared" si="160"/>
        <v>-1.1000000000000001</v>
      </c>
      <c r="AB257" s="974">
        <f t="shared" si="161"/>
        <v>0.35000000000000003</v>
      </c>
      <c r="AC257" s="975">
        <f t="shared" si="162"/>
        <v>0.1</v>
      </c>
      <c r="AD257" s="9"/>
      <c r="AE257" s="4"/>
      <c r="AF257" s="157">
        <f>ROWS(AE$11:$AE257)</f>
        <v>247</v>
      </c>
      <c r="AG257" s="157" t="str">
        <f>IF(ID!$A$83=AE257,AF257,"")</f>
        <v/>
      </c>
      <c r="AH257" s="157" t="str">
        <f>IFERROR(SMALL($AG$11:$AG$394,ROWS($AG$11:AG257)),"")</f>
        <v/>
      </c>
    </row>
    <row r="258" spans="2:34" x14ac:dyDescent="0.25">
      <c r="B258" s="207">
        <v>300</v>
      </c>
      <c r="C258" s="949" t="s">
        <v>134</v>
      </c>
      <c r="D258" s="950" t="s">
        <v>134</v>
      </c>
      <c r="E258" s="1110"/>
      <c r="F258" s="237"/>
      <c r="H258" s="207">
        <v>300</v>
      </c>
      <c r="I258" s="193">
        <v>-0.6</v>
      </c>
      <c r="J258" s="512">
        <v>-0.6</v>
      </c>
      <c r="K258" s="1110"/>
      <c r="L258" s="237"/>
      <c r="M258" s="207">
        <v>300</v>
      </c>
      <c r="N258" s="193">
        <v>-1.3</v>
      </c>
      <c r="O258" s="512">
        <v>-1.5</v>
      </c>
      <c r="P258" s="199">
        <v>0.1</v>
      </c>
      <c r="Q258" s="1113"/>
      <c r="R258" s="236"/>
      <c r="S258" s="971">
        <v>300</v>
      </c>
      <c r="T258" s="972" t="str">
        <f t="shared" si="153"/>
        <v>-</v>
      </c>
      <c r="U258" s="973">
        <f t="shared" si="154"/>
        <v>-0.6</v>
      </c>
      <c r="V258" s="973">
        <f t="shared" si="155"/>
        <v>-1.3</v>
      </c>
      <c r="W258" s="974">
        <f t="shared" si="156"/>
        <v>0.35000000000000003</v>
      </c>
      <c r="X258" s="975">
        <f t="shared" si="157"/>
        <v>0.1</v>
      </c>
      <c r="Y258" s="976" t="str">
        <f t="shared" si="158"/>
        <v>-</v>
      </c>
      <c r="Z258" s="977">
        <f t="shared" si="159"/>
        <v>-0.6</v>
      </c>
      <c r="AA258" s="977">
        <f t="shared" si="160"/>
        <v>-1.5</v>
      </c>
      <c r="AB258" s="974">
        <f t="shared" si="161"/>
        <v>0.45</v>
      </c>
      <c r="AC258" s="975">
        <f t="shared" si="162"/>
        <v>0.1</v>
      </c>
      <c r="AD258" s="9"/>
      <c r="AE258" s="4"/>
      <c r="AF258" s="157">
        <f>ROWS(AE$11:$AE258)</f>
        <v>248</v>
      </c>
      <c r="AG258" s="157" t="str">
        <f>IF(ID!$A$83=AE258,AF258,"")</f>
        <v/>
      </c>
      <c r="AH258" s="157" t="str">
        <f>IFERROR(SMALL($AG$11:$AG$394,ROWS($AG$11:AG258)),"")</f>
        <v/>
      </c>
    </row>
    <row r="259" spans="2:34" x14ac:dyDescent="0.25">
      <c r="S259" s="230" t="s">
        <v>104</v>
      </c>
      <c r="T259" s="713"/>
      <c r="U259" s="714" t="s">
        <v>104</v>
      </c>
      <c r="V259" s="714"/>
      <c r="W259" s="534"/>
      <c r="X259" s="511" t="s">
        <v>104</v>
      </c>
      <c r="Y259" s="726"/>
      <c r="Z259" s="725"/>
      <c r="AA259" s="725"/>
      <c r="AB259" s="534"/>
      <c r="AC259" s="201"/>
      <c r="AD259" s="95"/>
      <c r="AE259" s="4"/>
      <c r="AF259" s="157">
        <f>ROWS(AE$11:$AE259)</f>
        <v>249</v>
      </c>
      <c r="AG259" s="157" t="str">
        <f>IF(ID!$A$83=AE259,AF259,"")</f>
        <v/>
      </c>
      <c r="AH259" s="157" t="str">
        <f>IFERROR(SMALL($AG$11:$AG$394,ROWS($AG$11:AG259)),"")</f>
        <v/>
      </c>
    </row>
    <row r="260" spans="2:34" x14ac:dyDescent="0.25">
      <c r="E260" s="13"/>
      <c r="F260" s="13"/>
      <c r="K260" s="13"/>
      <c r="L260" s="13"/>
      <c r="N260" s="13"/>
      <c r="O260" s="13"/>
      <c r="Q260" s="13"/>
      <c r="R260" s="13"/>
      <c r="S260" s="230" t="s">
        <v>104</v>
      </c>
      <c r="T260" s="713"/>
      <c r="U260" s="714" t="s">
        <v>104</v>
      </c>
      <c r="V260" s="714"/>
      <c r="W260" s="534"/>
      <c r="X260" s="201" t="s">
        <v>104</v>
      </c>
      <c r="Y260" s="725"/>
      <c r="Z260" s="725"/>
      <c r="AA260" s="725"/>
      <c r="AB260" s="534"/>
      <c r="AC260" s="201"/>
      <c r="AD260" s="95"/>
      <c r="AE260" s="4"/>
      <c r="AF260" s="157">
        <f>ROWS(AE$11:$AE260)</f>
        <v>250</v>
      </c>
      <c r="AG260" s="157" t="str">
        <f>IF(ID!$A$83=AE260,AF260,"")</f>
        <v/>
      </c>
      <c r="AH260" s="157" t="str">
        <f>IFERROR(SMALL($AG$11:$AG$394,ROWS($AG$11:AG260)),"")</f>
        <v/>
      </c>
    </row>
    <row r="261" spans="2:34" x14ac:dyDescent="0.25">
      <c r="S261" s="230" t="s">
        <v>104</v>
      </c>
      <c r="T261" s="713"/>
      <c r="U261" s="714" t="s">
        <v>104</v>
      </c>
      <c r="V261" s="714"/>
      <c r="W261" s="534"/>
      <c r="X261" s="201" t="s">
        <v>104</v>
      </c>
      <c r="Y261" s="725"/>
      <c r="Z261" s="725"/>
      <c r="AA261" s="725"/>
      <c r="AB261" s="534"/>
      <c r="AC261" s="201"/>
      <c r="AD261" s="95"/>
      <c r="AE261" s="4"/>
      <c r="AF261" s="157">
        <f>ROWS(AE$11:$AE261)</f>
        <v>251</v>
      </c>
      <c r="AG261" s="157" t="str">
        <f>IF(ID!$A$83=AE261,AF261,"")</f>
        <v/>
      </c>
      <c r="AH261" s="157" t="str">
        <f>IFERROR(SMALL($AG$11:$AG$394,ROWS($AG$11:AG261)),"")</f>
        <v/>
      </c>
    </row>
    <row r="262" spans="2:34" x14ac:dyDescent="0.25">
      <c r="S262" s="230" t="s">
        <v>104</v>
      </c>
      <c r="T262" s="713"/>
      <c r="U262" s="714" t="s">
        <v>104</v>
      </c>
      <c r="V262" s="714"/>
      <c r="W262" s="534"/>
      <c r="X262" s="201" t="s">
        <v>104</v>
      </c>
      <c r="Y262" s="725"/>
      <c r="Z262" s="725"/>
      <c r="AA262" s="725"/>
      <c r="AB262" s="534"/>
      <c r="AC262" s="201"/>
      <c r="AD262" s="95"/>
      <c r="AE262" s="4"/>
      <c r="AF262" s="157">
        <f>ROWS(AE$11:$AE262)</f>
        <v>252</v>
      </c>
      <c r="AG262" s="157" t="str">
        <f>IF(ID!$A$83=AE262,AF262,"")</f>
        <v/>
      </c>
      <c r="AH262" s="157" t="str">
        <f>IFERROR(SMALL($AG$11:$AG$394,ROWS($AG$11:AG262)),"")</f>
        <v/>
      </c>
    </row>
    <row r="263" spans="2:34" x14ac:dyDescent="0.25">
      <c r="E263" s="13"/>
      <c r="F263" s="13"/>
      <c r="K263" s="13"/>
      <c r="L263" s="13"/>
      <c r="N263" s="13"/>
      <c r="O263" s="13"/>
      <c r="Q263" s="13"/>
      <c r="R263" s="13"/>
      <c r="S263" s="231"/>
      <c r="AD263" s="13"/>
      <c r="AE263" s="13"/>
      <c r="AF263" s="157">
        <f>ROWS(AE$11:$AE263)</f>
        <v>253</v>
      </c>
      <c r="AG263" s="157" t="str">
        <f>IF(ID!$A$83=AE263,AF263,"")</f>
        <v/>
      </c>
      <c r="AH263" s="157" t="str">
        <f>IFERROR(SMALL($AG$11:$AG$394,ROWS($AG$11:AG263)),"")</f>
        <v/>
      </c>
    </row>
    <row r="264" spans="2:34" s="513" customFormat="1" x14ac:dyDescent="0.25">
      <c r="C264" s="519"/>
      <c r="D264" s="525"/>
      <c r="I264" s="519"/>
      <c r="J264" s="525"/>
      <c r="S264" s="514"/>
      <c r="T264" s="514"/>
      <c r="U264" s="514"/>
      <c r="V264" s="514"/>
      <c r="W264" s="514"/>
      <c r="X264" s="514"/>
      <c r="Y264" s="514"/>
      <c r="Z264" s="514"/>
      <c r="AA264" s="514"/>
      <c r="AB264" s="514"/>
      <c r="AF264" s="157">
        <f>ROWS(AE$11:$AE264)</f>
        <v>254</v>
      </c>
      <c r="AG264" s="157" t="str">
        <f>IF(ID!$A$83=AE264,AF264,"")</f>
        <v/>
      </c>
      <c r="AH264" s="157" t="str">
        <f>IFERROR(SMALL($AG$11:$AG$394,ROWS($AG$11:AG264)),"")</f>
        <v/>
      </c>
    </row>
    <row r="265" spans="2:34" s="513" customFormat="1" x14ac:dyDescent="0.25">
      <c r="C265" s="519"/>
      <c r="D265" s="525"/>
      <c r="I265" s="519"/>
      <c r="J265" s="525"/>
      <c r="S265" s="514"/>
      <c r="T265" s="514"/>
      <c r="U265" s="514"/>
      <c r="V265" s="514"/>
      <c r="W265" s="514"/>
      <c r="X265" s="514"/>
      <c r="Y265" s="514"/>
      <c r="Z265" s="514"/>
      <c r="AA265" s="514"/>
      <c r="AB265" s="514"/>
      <c r="AF265" s="157">
        <f>ROWS(AE$11:$AE265)</f>
        <v>255</v>
      </c>
      <c r="AG265" s="157" t="str">
        <f>IF(ID!$A$83=AE265,AF265,"")</f>
        <v/>
      </c>
      <c r="AH265" s="157" t="str">
        <f>IFERROR(SMALL($AG$11:$AG$394,ROWS($AG$11:AG265)),"")</f>
        <v/>
      </c>
    </row>
    <row r="266" spans="2:34" s="513" customFormat="1" x14ac:dyDescent="0.25">
      <c r="C266" s="519"/>
      <c r="D266" s="525"/>
      <c r="I266" s="519"/>
      <c r="J266" s="525"/>
      <c r="S266" s="514"/>
      <c r="T266" s="514"/>
      <c r="U266" s="514"/>
      <c r="V266" s="514"/>
      <c r="W266" s="514"/>
      <c r="X266" s="514"/>
      <c r="Y266" s="514"/>
      <c r="Z266" s="514"/>
      <c r="AA266" s="514"/>
      <c r="AB266" s="514"/>
      <c r="AF266" s="157">
        <f>ROWS(AE$11:$AE266)</f>
        <v>256</v>
      </c>
      <c r="AG266" s="157" t="str">
        <f>IF(ID!$A$83=AE266,AF266,"")</f>
        <v/>
      </c>
      <c r="AH266" s="157" t="str">
        <f>IFERROR(SMALL($AG$11:$AG$394,ROWS($AG$11:AG266)),"")</f>
        <v/>
      </c>
    </row>
    <row r="267" spans="2:34" x14ac:dyDescent="0.25">
      <c r="B267" s="1099" t="s">
        <v>400</v>
      </c>
      <c r="C267" s="1100"/>
      <c r="D267" s="1100"/>
      <c r="E267" s="1101"/>
      <c r="F267" s="233"/>
      <c r="H267" s="1099" t="s">
        <v>401</v>
      </c>
      <c r="I267" s="1100"/>
      <c r="J267" s="1100"/>
      <c r="K267" s="1101"/>
      <c r="L267" s="233"/>
      <c r="M267" s="1099" t="s">
        <v>195</v>
      </c>
      <c r="N267" s="1100"/>
      <c r="O267" s="1100"/>
      <c r="P267" s="1100"/>
      <c r="Q267" s="1101"/>
      <c r="S267" s="224" t="s">
        <v>48</v>
      </c>
      <c r="T267" s="700" t="s">
        <v>403</v>
      </c>
      <c r="U267" s="701" t="s">
        <v>402</v>
      </c>
      <c r="V267" s="701" t="s">
        <v>192</v>
      </c>
      <c r="W267" s="528" t="s">
        <v>172</v>
      </c>
      <c r="X267" s="197" t="s">
        <v>190</v>
      </c>
      <c r="Y267" s="718" t="s">
        <v>404</v>
      </c>
      <c r="Z267" s="719" t="s">
        <v>405</v>
      </c>
      <c r="AA267" s="719" t="s">
        <v>193</v>
      </c>
      <c r="AB267" s="528" t="s">
        <v>152</v>
      </c>
      <c r="AC267" s="197" t="s">
        <v>191</v>
      </c>
      <c r="AF267" s="157">
        <f>ROWS(AE$11:$AE267)</f>
        <v>257</v>
      </c>
      <c r="AG267" s="157" t="str">
        <f>IF(ID!$A$83=AE267,AF267,"")</f>
        <v/>
      </c>
      <c r="AH267" s="157" t="str">
        <f>IFERROR(SMALL($AG$11:$AG$394,ROWS($AG$11:AG267)),"")</f>
        <v/>
      </c>
    </row>
    <row r="268" spans="2:34" s="980" customFormat="1" x14ac:dyDescent="0.25">
      <c r="B268" s="971">
        <v>0</v>
      </c>
      <c r="C268" s="978" t="s">
        <v>134</v>
      </c>
      <c r="D268" s="978" t="s">
        <v>134</v>
      </c>
      <c r="E268" s="1105" t="s">
        <v>134</v>
      </c>
      <c r="F268" s="981"/>
      <c r="H268" s="971">
        <v>0</v>
      </c>
      <c r="I268" s="978">
        <v>0</v>
      </c>
      <c r="J268" s="978">
        <v>0</v>
      </c>
      <c r="K268" s="1105" t="s">
        <v>337</v>
      </c>
      <c r="L268" s="981"/>
      <c r="M268" s="971">
        <v>0</v>
      </c>
      <c r="N268" s="978">
        <f>0.2-0</f>
        <v>0.2</v>
      </c>
      <c r="O268" s="978">
        <f>0.2-0</f>
        <v>0.2</v>
      </c>
      <c r="P268" s="975">
        <v>0.6</v>
      </c>
      <c r="Q268" s="1102" t="s">
        <v>544</v>
      </c>
      <c r="R268" s="981"/>
      <c r="S268" s="971">
        <v>0</v>
      </c>
      <c r="T268" s="972" t="str">
        <f>C268</f>
        <v>-</v>
      </c>
      <c r="U268" s="973">
        <f>I268</f>
        <v>0</v>
      </c>
      <c r="V268" s="973">
        <f>N268</f>
        <v>0.2</v>
      </c>
      <c r="W268" s="974">
        <v>9.9999999999999992E-2</v>
      </c>
      <c r="X268" s="975">
        <f>P268</f>
        <v>0.6</v>
      </c>
      <c r="Y268" s="976" t="str">
        <f>D268</f>
        <v>-</v>
      </c>
      <c r="Z268" s="977">
        <f>J268</f>
        <v>0</v>
      </c>
      <c r="AA268" s="977">
        <f>O268</f>
        <v>0.2</v>
      </c>
      <c r="AB268" s="974">
        <v>9.9999999999999992E-2</v>
      </c>
      <c r="AC268" s="975">
        <f>P268</f>
        <v>0.6</v>
      </c>
      <c r="AD268" s="982"/>
      <c r="AE268" s="983"/>
      <c r="AF268" s="984">
        <f>ROWS(AE$11:$AE268)</f>
        <v>258</v>
      </c>
      <c r="AG268" s="984" t="str">
        <f>IF(ID!$A$83=AE268,AF268,"")</f>
        <v/>
      </c>
      <c r="AH268" s="984" t="str">
        <f>IFERROR(SMALL($AG$11:$AG$394,ROWS($AG$11:AG268)),"")</f>
        <v/>
      </c>
    </row>
    <row r="269" spans="2:34" s="980" customFormat="1" x14ac:dyDescent="0.25">
      <c r="B269" s="971">
        <v>50</v>
      </c>
      <c r="C269" s="978" t="s">
        <v>134</v>
      </c>
      <c r="D269" s="978" t="s">
        <v>134</v>
      </c>
      <c r="E269" s="1106"/>
      <c r="F269" s="981"/>
      <c r="H269" s="971">
        <v>50</v>
      </c>
      <c r="I269" s="978">
        <v>0</v>
      </c>
      <c r="J269" s="978">
        <v>0</v>
      </c>
      <c r="K269" s="1106"/>
      <c r="L269" s="981"/>
      <c r="M269" s="971">
        <v>50</v>
      </c>
      <c r="N269" s="978">
        <f>50.2-50</f>
        <v>0.20000000000000284</v>
      </c>
      <c r="O269" s="978">
        <f>50.2-50</f>
        <v>0.20000000000000284</v>
      </c>
      <c r="P269" s="975">
        <v>0.6</v>
      </c>
      <c r="Q269" s="1103"/>
      <c r="R269" s="981"/>
      <c r="S269" s="971">
        <v>50</v>
      </c>
      <c r="T269" s="972" t="str">
        <f t="shared" ref="T269:T274" si="163">C269</f>
        <v>-</v>
      </c>
      <c r="U269" s="973">
        <f t="shared" ref="U269:U274" si="164">I269</f>
        <v>0</v>
      </c>
      <c r="V269" s="973">
        <f t="shared" ref="V269:V274" si="165">N269</f>
        <v>0.20000000000000284</v>
      </c>
      <c r="W269" s="974">
        <v>9.9999999999999992E-2</v>
      </c>
      <c r="X269" s="975">
        <f t="shared" ref="X269:X274" si="166">P269</f>
        <v>0.6</v>
      </c>
      <c r="Y269" s="976" t="str">
        <f t="shared" ref="Y269" si="167">D269</f>
        <v>-</v>
      </c>
      <c r="Z269" s="977">
        <f t="shared" ref="Z269:Z274" si="168">J269</f>
        <v>0</v>
      </c>
      <c r="AA269" s="977">
        <f t="shared" ref="AA269:AA274" si="169">O269</f>
        <v>0.20000000000000284</v>
      </c>
      <c r="AB269" s="974">
        <v>9.9999999999999992E-2</v>
      </c>
      <c r="AC269" s="975">
        <f t="shared" ref="AC269:AC274" si="170">P269</f>
        <v>0.6</v>
      </c>
      <c r="AD269" s="982"/>
      <c r="AE269" s="983"/>
      <c r="AF269" s="984">
        <f>ROWS(AE$11:$AE269)</f>
        <v>259</v>
      </c>
      <c r="AG269" s="984" t="str">
        <f>IF(ID!$A$83=AE269,AF269,"")</f>
        <v/>
      </c>
      <c r="AH269" s="984" t="str">
        <f>IFERROR(SMALL($AG$11:$AG$394,ROWS($AG$11:AG269)),"")</f>
        <v/>
      </c>
    </row>
    <row r="270" spans="2:34" s="980" customFormat="1" x14ac:dyDescent="0.25">
      <c r="B270" s="971">
        <v>100</v>
      </c>
      <c r="C270" s="978" t="s">
        <v>134</v>
      </c>
      <c r="D270" s="978" t="s">
        <v>134</v>
      </c>
      <c r="E270" s="1106"/>
      <c r="F270" s="981"/>
      <c r="H270" s="971">
        <v>100</v>
      </c>
      <c r="I270" s="978">
        <v>0.3</v>
      </c>
      <c r="J270" s="978">
        <v>0.4</v>
      </c>
      <c r="K270" s="1106"/>
      <c r="L270" s="981"/>
      <c r="M270" s="971">
        <v>100</v>
      </c>
      <c r="N270" s="978">
        <f>100.2-100</f>
        <v>0.20000000000000284</v>
      </c>
      <c r="O270" s="978">
        <f>100.2-100</f>
        <v>0.20000000000000284</v>
      </c>
      <c r="P270" s="975">
        <v>0.6</v>
      </c>
      <c r="Q270" s="1103"/>
      <c r="R270" s="981"/>
      <c r="S270" s="971">
        <v>100</v>
      </c>
      <c r="T270" s="972" t="str">
        <f t="shared" si="163"/>
        <v>-</v>
      </c>
      <c r="U270" s="973">
        <f t="shared" si="164"/>
        <v>0.3</v>
      </c>
      <c r="V270" s="973">
        <f t="shared" si="165"/>
        <v>0.20000000000000284</v>
      </c>
      <c r="W270" s="974">
        <v>9.9999999999999992E-2</v>
      </c>
      <c r="X270" s="975">
        <f t="shared" si="166"/>
        <v>0.6</v>
      </c>
      <c r="Y270" s="976" t="str">
        <f>D270</f>
        <v>-</v>
      </c>
      <c r="Z270" s="977">
        <f t="shared" si="168"/>
        <v>0.4</v>
      </c>
      <c r="AA270" s="977">
        <f t="shared" si="169"/>
        <v>0.20000000000000284</v>
      </c>
      <c r="AB270" s="974">
        <v>9.9999999999999992E-2</v>
      </c>
      <c r="AC270" s="975">
        <f t="shared" si="170"/>
        <v>0.6</v>
      </c>
      <c r="AD270" s="982"/>
      <c r="AE270" s="983"/>
      <c r="AF270" s="984">
        <f>ROWS(AE$11:$AE270)</f>
        <v>260</v>
      </c>
      <c r="AG270" s="984" t="str">
        <f>IF(ID!$A$83=AE270,AF270,"")</f>
        <v/>
      </c>
      <c r="AH270" s="984" t="str">
        <f>IFERROR(SMALL($AG$11:$AG$394,ROWS($AG$11:AG270)),"")</f>
        <v/>
      </c>
    </row>
    <row r="271" spans="2:34" s="980" customFormat="1" x14ac:dyDescent="0.25">
      <c r="B271" s="971">
        <v>150</v>
      </c>
      <c r="C271" s="978" t="s">
        <v>134</v>
      </c>
      <c r="D271" s="978" t="s">
        <v>134</v>
      </c>
      <c r="E271" s="1106"/>
      <c r="F271" s="981"/>
      <c r="H271" s="971">
        <v>150</v>
      </c>
      <c r="I271" s="978">
        <v>0.2</v>
      </c>
      <c r="J271" s="978">
        <v>0.3</v>
      </c>
      <c r="K271" s="1106"/>
      <c r="L271" s="981"/>
      <c r="M271" s="971">
        <v>150</v>
      </c>
      <c r="N271" s="978">
        <f>150.2-150</f>
        <v>0.19999999999998863</v>
      </c>
      <c r="O271" s="978">
        <f>150.2-150</f>
        <v>0.19999999999998863</v>
      </c>
      <c r="P271" s="975">
        <v>0.6</v>
      </c>
      <c r="Q271" s="1103"/>
      <c r="R271" s="981"/>
      <c r="S271" s="971">
        <v>150</v>
      </c>
      <c r="T271" s="972" t="str">
        <f t="shared" si="163"/>
        <v>-</v>
      </c>
      <c r="U271" s="973">
        <f t="shared" si="164"/>
        <v>0.2</v>
      </c>
      <c r="V271" s="973">
        <f t="shared" si="165"/>
        <v>0.19999999999998863</v>
      </c>
      <c r="W271" s="974">
        <v>9.9999999999999992E-2</v>
      </c>
      <c r="X271" s="975">
        <f t="shared" si="166"/>
        <v>0.6</v>
      </c>
      <c r="Y271" s="976" t="str">
        <f t="shared" ref="Y271" si="171">D271</f>
        <v>-</v>
      </c>
      <c r="Z271" s="977">
        <f t="shared" si="168"/>
        <v>0.3</v>
      </c>
      <c r="AA271" s="977">
        <f t="shared" si="169"/>
        <v>0.19999999999998863</v>
      </c>
      <c r="AB271" s="974">
        <v>9.9999999999999992E-2</v>
      </c>
      <c r="AC271" s="975">
        <f t="shared" si="170"/>
        <v>0.6</v>
      </c>
      <c r="AD271" s="982"/>
      <c r="AE271" s="983"/>
      <c r="AF271" s="984">
        <f>ROWS(AE$11:$AE271)</f>
        <v>261</v>
      </c>
      <c r="AG271" s="984" t="str">
        <f>IF(ID!$A$83=AE271,AF271,"")</f>
        <v/>
      </c>
      <c r="AH271" s="984" t="str">
        <f>IFERROR(SMALL($AG$11:$AG$394,ROWS($AG$11:AG271)),"")</f>
        <v/>
      </c>
    </row>
    <row r="272" spans="2:34" s="980" customFormat="1" x14ac:dyDescent="0.25">
      <c r="B272" s="971">
        <v>200</v>
      </c>
      <c r="C272" s="978" t="s">
        <v>134</v>
      </c>
      <c r="D272" s="978" t="s">
        <v>134</v>
      </c>
      <c r="E272" s="1106"/>
      <c r="F272" s="981"/>
      <c r="H272" s="971">
        <v>200</v>
      </c>
      <c r="I272" s="978">
        <v>0.4</v>
      </c>
      <c r="J272" s="978">
        <v>0.5</v>
      </c>
      <c r="K272" s="1106"/>
      <c r="L272" s="981"/>
      <c r="M272" s="971">
        <v>200</v>
      </c>
      <c r="N272" s="978">
        <f>200.2-200</f>
        <v>0.19999999999998863</v>
      </c>
      <c r="O272" s="978">
        <f>200.2-200</f>
        <v>0.19999999999998863</v>
      </c>
      <c r="P272" s="975">
        <v>0.6</v>
      </c>
      <c r="Q272" s="1103"/>
      <c r="R272" s="981"/>
      <c r="S272" s="971">
        <v>200</v>
      </c>
      <c r="T272" s="972" t="str">
        <f t="shared" si="163"/>
        <v>-</v>
      </c>
      <c r="U272" s="973">
        <f t="shared" si="164"/>
        <v>0.4</v>
      </c>
      <c r="V272" s="973">
        <f t="shared" si="165"/>
        <v>0.19999999999998863</v>
      </c>
      <c r="W272" s="974">
        <v>9.9999999999999992E-2</v>
      </c>
      <c r="X272" s="975">
        <f t="shared" si="166"/>
        <v>0.6</v>
      </c>
      <c r="Y272" s="976" t="str">
        <f>D272</f>
        <v>-</v>
      </c>
      <c r="Z272" s="977">
        <f t="shared" si="168"/>
        <v>0.5</v>
      </c>
      <c r="AA272" s="977">
        <f t="shared" si="169"/>
        <v>0.19999999999998863</v>
      </c>
      <c r="AB272" s="974">
        <v>9.9999999999999992E-2</v>
      </c>
      <c r="AC272" s="975">
        <f t="shared" si="170"/>
        <v>0.6</v>
      </c>
      <c r="AD272" s="982"/>
      <c r="AE272" s="983"/>
      <c r="AF272" s="984">
        <f>ROWS(AE$11:$AE272)</f>
        <v>262</v>
      </c>
      <c r="AG272" s="984" t="str">
        <f>IF(ID!$A$83=AE272,AF272,"")</f>
        <v/>
      </c>
      <c r="AH272" s="984" t="str">
        <f>IFERROR(SMALL($AG$11:$AG$394,ROWS($AG$11:AG272)),"")</f>
        <v/>
      </c>
    </row>
    <row r="273" spans="1:34" s="980" customFormat="1" x14ac:dyDescent="0.25">
      <c r="B273" s="971">
        <v>250</v>
      </c>
      <c r="C273" s="978" t="s">
        <v>134</v>
      </c>
      <c r="D273" s="978" t="s">
        <v>134</v>
      </c>
      <c r="E273" s="1106"/>
      <c r="F273" s="981"/>
      <c r="H273" s="971">
        <v>250</v>
      </c>
      <c r="I273" s="978">
        <v>0.5</v>
      </c>
      <c r="J273" s="978">
        <v>0.7</v>
      </c>
      <c r="K273" s="1106"/>
      <c r="L273" s="981"/>
      <c r="M273" s="971">
        <v>250</v>
      </c>
      <c r="N273" s="978">
        <f>250.2-250</f>
        <v>0.19999999999998863</v>
      </c>
      <c r="O273" s="978">
        <f>250.2-250</f>
        <v>0.19999999999998863</v>
      </c>
      <c r="P273" s="975">
        <v>0.6</v>
      </c>
      <c r="Q273" s="1103"/>
      <c r="R273" s="981"/>
      <c r="S273" s="971">
        <v>250</v>
      </c>
      <c r="T273" s="972" t="str">
        <f t="shared" si="163"/>
        <v>-</v>
      </c>
      <c r="U273" s="973">
        <f t="shared" si="164"/>
        <v>0.5</v>
      </c>
      <c r="V273" s="973">
        <f t="shared" si="165"/>
        <v>0.19999999999998863</v>
      </c>
      <c r="W273" s="974">
        <v>9.9999999999999992E-2</v>
      </c>
      <c r="X273" s="975">
        <f t="shared" si="166"/>
        <v>0.6</v>
      </c>
      <c r="Y273" s="976" t="str">
        <f t="shared" ref="Y273:Y274" si="172">D273</f>
        <v>-</v>
      </c>
      <c r="Z273" s="977">
        <f t="shared" si="168"/>
        <v>0.7</v>
      </c>
      <c r="AA273" s="977">
        <f t="shared" si="169"/>
        <v>0.19999999999998863</v>
      </c>
      <c r="AB273" s="974">
        <v>9.9999999999999992E-2</v>
      </c>
      <c r="AC273" s="975">
        <f t="shared" si="170"/>
        <v>0.6</v>
      </c>
      <c r="AD273" s="982"/>
      <c r="AE273" s="983"/>
      <c r="AF273" s="984">
        <f>ROWS(AE$11:$AE273)</f>
        <v>263</v>
      </c>
      <c r="AG273" s="984" t="str">
        <f>IF(ID!$A$83=AE273,AF273,"")</f>
        <v/>
      </c>
      <c r="AH273" s="984" t="str">
        <f>IFERROR(SMALL($AG$11:$AG$394,ROWS($AG$11:AG273)),"")</f>
        <v/>
      </c>
    </row>
    <row r="274" spans="1:34" s="980" customFormat="1" x14ac:dyDescent="0.25">
      <c r="B274" s="971">
        <v>300</v>
      </c>
      <c r="C274" s="978" t="s">
        <v>134</v>
      </c>
      <c r="D274" s="978" t="s">
        <v>134</v>
      </c>
      <c r="E274" s="1107"/>
      <c r="F274" s="981"/>
      <c r="H274" s="971">
        <v>300</v>
      </c>
      <c r="I274" s="978">
        <v>0.5</v>
      </c>
      <c r="J274" s="978">
        <v>0.7</v>
      </c>
      <c r="K274" s="1107"/>
      <c r="L274" s="981"/>
      <c r="M274" s="971">
        <v>300</v>
      </c>
      <c r="N274" s="978">
        <f>300.2-300</f>
        <v>0.19999999999998863</v>
      </c>
      <c r="O274" s="978">
        <f>300.2-300</f>
        <v>0.19999999999998863</v>
      </c>
      <c r="P274" s="975">
        <v>0.6</v>
      </c>
      <c r="Q274" s="1104"/>
      <c r="R274" s="981"/>
      <c r="S274" s="971">
        <v>300</v>
      </c>
      <c r="T274" s="972" t="str">
        <f t="shared" si="163"/>
        <v>-</v>
      </c>
      <c r="U274" s="973">
        <f t="shared" si="164"/>
        <v>0.5</v>
      </c>
      <c r="V274" s="973">
        <f t="shared" si="165"/>
        <v>0.19999999999998863</v>
      </c>
      <c r="W274" s="974">
        <v>9.9999999999999992E-2</v>
      </c>
      <c r="X274" s="975">
        <f t="shared" si="166"/>
        <v>0.6</v>
      </c>
      <c r="Y274" s="976" t="str">
        <f t="shared" si="172"/>
        <v>-</v>
      </c>
      <c r="Z274" s="977">
        <f t="shared" si="168"/>
        <v>0.7</v>
      </c>
      <c r="AA274" s="977">
        <f t="shared" si="169"/>
        <v>0.19999999999998863</v>
      </c>
      <c r="AB274" s="974">
        <v>9.9999999999999992E-2</v>
      </c>
      <c r="AC274" s="975">
        <f t="shared" si="170"/>
        <v>0.6</v>
      </c>
      <c r="AD274" s="982"/>
      <c r="AE274" s="983"/>
      <c r="AF274" s="984">
        <f>ROWS(AE$11:$AE274)</f>
        <v>264</v>
      </c>
      <c r="AG274" s="984" t="str">
        <f>IF(ID!$A$83=AE274,AF274,"")</f>
        <v/>
      </c>
      <c r="AH274" s="984" t="str">
        <f>IFERROR(SMALL($AG$11:$AG$394,ROWS($AG$11:AG274)),"")</f>
        <v/>
      </c>
    </row>
    <row r="275" spans="1:34" x14ac:dyDescent="0.25">
      <c r="S275" s="230" t="s">
        <v>104</v>
      </c>
      <c r="T275" s="713"/>
      <c r="U275" s="714" t="s">
        <v>104</v>
      </c>
      <c r="V275" s="714"/>
      <c r="W275" s="534"/>
      <c r="X275" s="511" t="s">
        <v>104</v>
      </c>
      <c r="Y275" s="726"/>
      <c r="Z275" s="725"/>
      <c r="AA275" s="725"/>
      <c r="AB275" s="534"/>
      <c r="AC275" s="201"/>
      <c r="AD275" s="95"/>
      <c r="AE275" s="4"/>
      <c r="AF275" s="157">
        <f>ROWS(AE$11:$AE275)</f>
        <v>265</v>
      </c>
      <c r="AG275" s="157" t="str">
        <f>IF(ID!$A$83=AE275,AF275,"")</f>
        <v/>
      </c>
      <c r="AH275" s="157" t="str">
        <f>IFERROR(SMALL($AG$11:$AG$394,ROWS($AG$11:AG275)),"")</f>
        <v/>
      </c>
    </row>
    <row r="276" spans="1:34" x14ac:dyDescent="0.25">
      <c r="E276" s="13"/>
      <c r="F276" s="13"/>
      <c r="K276" s="13"/>
      <c r="L276" s="13"/>
      <c r="N276" s="13"/>
      <c r="O276" s="13"/>
      <c r="Q276" s="13"/>
      <c r="R276" s="13"/>
      <c r="S276" s="230" t="s">
        <v>104</v>
      </c>
      <c r="T276" s="713"/>
      <c r="U276" s="714" t="s">
        <v>104</v>
      </c>
      <c r="V276" s="714"/>
      <c r="W276" s="534"/>
      <c r="X276" s="201" t="s">
        <v>104</v>
      </c>
      <c r="Y276" s="725"/>
      <c r="Z276" s="725"/>
      <c r="AA276" s="725"/>
      <c r="AB276" s="534"/>
      <c r="AC276" s="201"/>
      <c r="AD276" s="95"/>
      <c r="AE276" s="4"/>
      <c r="AF276" s="157">
        <f>ROWS(AE$11:$AE276)</f>
        <v>266</v>
      </c>
      <c r="AG276" s="157" t="str">
        <f>IF(ID!$A$83=AE276,AF276,"")</f>
        <v/>
      </c>
      <c r="AH276" s="157" t="str">
        <f>IFERROR(SMALL($AG$11:$AG$394,ROWS($AG$11:AG276)),"")</f>
        <v/>
      </c>
    </row>
    <row r="277" spans="1:34" x14ac:dyDescent="0.25">
      <c r="S277" s="230" t="s">
        <v>104</v>
      </c>
      <c r="T277" s="713"/>
      <c r="U277" s="714" t="s">
        <v>104</v>
      </c>
      <c r="V277" s="714"/>
      <c r="W277" s="534"/>
      <c r="X277" s="201" t="s">
        <v>104</v>
      </c>
      <c r="Y277" s="725"/>
      <c r="Z277" s="725"/>
      <c r="AA277" s="725"/>
      <c r="AB277" s="534"/>
      <c r="AC277" s="201"/>
      <c r="AD277" s="95"/>
      <c r="AE277" s="4"/>
      <c r="AF277" s="157">
        <f>ROWS(AE$11:$AE277)</f>
        <v>267</v>
      </c>
      <c r="AG277" s="157" t="str">
        <f>IF(ID!$A$83=AE277,AF277,"")</f>
        <v/>
      </c>
      <c r="AH277" s="157" t="str">
        <f>IFERROR(SMALL($AG$11:$AG$394,ROWS($AG$11:AG277)),"")</f>
        <v/>
      </c>
    </row>
    <row r="278" spans="1:34" x14ac:dyDescent="0.25">
      <c r="S278" s="230" t="s">
        <v>104</v>
      </c>
      <c r="T278" s="713"/>
      <c r="U278" s="714" t="s">
        <v>104</v>
      </c>
      <c r="V278" s="714"/>
      <c r="W278" s="534"/>
      <c r="X278" s="201" t="s">
        <v>104</v>
      </c>
      <c r="Y278" s="725"/>
      <c r="Z278" s="725"/>
      <c r="AA278" s="725"/>
      <c r="AB278" s="534"/>
      <c r="AC278" s="201"/>
      <c r="AD278" s="95"/>
      <c r="AE278" s="4"/>
      <c r="AF278" s="157">
        <f>ROWS(AE$11:$AE278)</f>
        <v>268</v>
      </c>
      <c r="AG278" s="157" t="str">
        <f>IF(ID!$A$83=AE278,AF278,"")</f>
        <v/>
      </c>
      <c r="AH278" s="157" t="str">
        <f>IFERROR(SMALL($AG$11:$AG$394,ROWS($AG$11:AG278)),"")</f>
        <v/>
      </c>
    </row>
    <row r="279" spans="1:34" x14ac:dyDescent="0.25">
      <c r="E279" s="13"/>
      <c r="F279" s="13"/>
      <c r="K279" s="13"/>
      <c r="L279" s="13"/>
      <c r="N279" s="13"/>
      <c r="O279" s="13"/>
      <c r="Q279" s="13"/>
      <c r="R279" s="13"/>
      <c r="S279" s="231"/>
      <c r="AD279" s="13"/>
      <c r="AE279" s="13"/>
      <c r="AF279" s="157">
        <f>ROWS(AE$11:$AE279)</f>
        <v>269</v>
      </c>
      <c r="AG279" s="157" t="str">
        <f>IF(ID!$A$83=AE279,AF279,"")</f>
        <v/>
      </c>
      <c r="AH279" s="157" t="str">
        <f>IFERROR(SMALL($AG$11:$AG$394,ROWS($AG$11:AG279)),"")</f>
        <v/>
      </c>
    </row>
    <row r="280" spans="1:34" x14ac:dyDescent="0.25">
      <c r="A280" s="513"/>
      <c r="B280" s="513"/>
      <c r="C280" s="519"/>
      <c r="D280" s="525"/>
      <c r="E280" s="513"/>
      <c r="F280" s="513"/>
      <c r="G280" s="513"/>
      <c r="H280" s="513"/>
      <c r="I280" s="519"/>
      <c r="J280" s="525"/>
      <c r="K280" s="513"/>
      <c r="L280" s="513"/>
      <c r="M280" s="513"/>
      <c r="N280" s="513"/>
      <c r="O280" s="513"/>
      <c r="P280" s="513"/>
      <c r="Q280" s="513"/>
      <c r="R280" s="513"/>
      <c r="S280" s="514"/>
      <c r="T280" s="514"/>
      <c r="U280" s="514"/>
      <c r="V280" s="514"/>
      <c r="W280" s="514"/>
      <c r="X280" s="514"/>
      <c r="Y280" s="514"/>
      <c r="Z280" s="514"/>
      <c r="AA280" s="514"/>
      <c r="AB280" s="529"/>
      <c r="AC280" s="513"/>
      <c r="AD280" s="513"/>
      <c r="AE280" s="513"/>
      <c r="AF280" s="157">
        <f>ROWS(AE$11:$AE280)</f>
        <v>270</v>
      </c>
      <c r="AG280" s="157" t="str">
        <f>IF(ID!$A$83=AE280,AF280,"")</f>
        <v/>
      </c>
      <c r="AH280" s="157" t="str">
        <f>IFERROR(SMALL($AG$11:$AG$394,ROWS($AG$11:AG280)),"")</f>
        <v/>
      </c>
    </row>
    <row r="281" spans="1:34" x14ac:dyDescent="0.25">
      <c r="A281" s="513"/>
      <c r="B281" s="513"/>
      <c r="C281" s="519"/>
      <c r="D281" s="525"/>
      <c r="E281" s="513"/>
      <c r="F281" s="513"/>
      <c r="G281" s="513"/>
      <c r="H281" s="513"/>
      <c r="I281" s="519"/>
      <c r="J281" s="525"/>
      <c r="K281" s="513"/>
      <c r="L281" s="513"/>
      <c r="M281" s="513"/>
      <c r="N281" s="513"/>
      <c r="O281" s="513"/>
      <c r="P281" s="513"/>
      <c r="Q281" s="513"/>
      <c r="R281" s="513"/>
      <c r="S281" s="514"/>
      <c r="T281" s="514"/>
      <c r="U281" s="514"/>
      <c r="V281" s="514"/>
      <c r="W281" s="514"/>
      <c r="X281" s="514"/>
      <c r="Y281" s="514"/>
      <c r="Z281" s="514"/>
      <c r="AA281" s="514"/>
      <c r="AB281" s="529"/>
      <c r="AC281" s="513"/>
      <c r="AD281" s="513"/>
      <c r="AE281" s="513"/>
      <c r="AF281" s="157">
        <f>ROWS(AE$11:$AE281)</f>
        <v>271</v>
      </c>
      <c r="AG281" s="157" t="str">
        <f>IF(ID!$A$83=AE281,AF281,"")</f>
        <v/>
      </c>
      <c r="AH281" s="157" t="str">
        <f>IFERROR(SMALL($AG$11:$AG$394,ROWS($AG$11:AG281)),"")</f>
        <v/>
      </c>
    </row>
    <row r="282" spans="1:34" x14ac:dyDescent="0.25">
      <c r="A282" s="513"/>
      <c r="B282" s="513"/>
      <c r="C282" s="519"/>
      <c r="D282" s="525"/>
      <c r="E282" s="513"/>
      <c r="F282" s="513"/>
      <c r="G282" s="513"/>
      <c r="H282" s="513"/>
      <c r="I282" s="519"/>
      <c r="J282" s="525"/>
      <c r="K282" s="513"/>
      <c r="L282" s="513"/>
      <c r="M282" s="513"/>
      <c r="N282" s="513"/>
      <c r="O282" s="513"/>
      <c r="P282" s="513"/>
      <c r="Q282" s="513"/>
      <c r="R282" s="513"/>
      <c r="S282" s="514"/>
      <c r="T282" s="514"/>
      <c r="U282" s="514"/>
      <c r="V282" s="514"/>
      <c r="W282" s="514"/>
      <c r="X282" s="514"/>
      <c r="Y282" s="514"/>
      <c r="Z282" s="514"/>
      <c r="AA282" s="514"/>
      <c r="AB282" s="529"/>
      <c r="AC282" s="513"/>
      <c r="AD282" s="513"/>
      <c r="AE282" s="513"/>
      <c r="AF282" s="157">
        <f>ROWS(AE$11:$AE282)</f>
        <v>272</v>
      </c>
      <c r="AG282" s="157" t="str">
        <f>IF(ID!$A$83=AE282,AF282,"")</f>
        <v/>
      </c>
      <c r="AH282" s="157" t="str">
        <f>IFERROR(SMALL($AG$11:$AG$394,ROWS($AG$11:AG282)),"")</f>
        <v/>
      </c>
    </row>
    <row r="283" spans="1:34" x14ac:dyDescent="0.25">
      <c r="B283" s="1099" t="s">
        <v>400</v>
      </c>
      <c r="C283" s="1100"/>
      <c r="D283" s="1100"/>
      <c r="E283" s="1101"/>
      <c r="F283" s="233"/>
      <c r="H283" s="1099" t="s">
        <v>401</v>
      </c>
      <c r="I283" s="1100"/>
      <c r="J283" s="1100"/>
      <c r="K283" s="1101"/>
      <c r="L283" s="233"/>
      <c r="M283" s="1099" t="s">
        <v>195</v>
      </c>
      <c r="N283" s="1100"/>
      <c r="O283" s="1100"/>
      <c r="P283" s="1100"/>
      <c r="Q283" s="1101"/>
      <c r="S283" s="224" t="s">
        <v>48</v>
      </c>
      <c r="T283" s="700" t="s">
        <v>403</v>
      </c>
      <c r="U283" s="701" t="s">
        <v>402</v>
      </c>
      <c r="V283" s="701" t="s">
        <v>192</v>
      </c>
      <c r="W283" s="528" t="s">
        <v>172</v>
      </c>
      <c r="X283" s="197" t="s">
        <v>190</v>
      </c>
      <c r="Y283" s="718" t="s">
        <v>404</v>
      </c>
      <c r="Z283" s="719" t="s">
        <v>405</v>
      </c>
      <c r="AA283" s="719" t="s">
        <v>193</v>
      </c>
      <c r="AB283" s="528" t="s">
        <v>152</v>
      </c>
      <c r="AC283" s="197" t="s">
        <v>191</v>
      </c>
      <c r="AD283" s="1"/>
      <c r="AF283" s="157">
        <f>ROWS(AE$11:$AE283)</f>
        <v>273</v>
      </c>
      <c r="AG283" s="157" t="str">
        <f>IF(ID!$A$83=AE283,AF283,"")</f>
        <v/>
      </c>
      <c r="AH283" s="157" t="str">
        <f>IFERROR(SMALL($AG$11:$AG$394,ROWS($AG$11:AG283)),"")</f>
        <v/>
      </c>
    </row>
    <row r="284" spans="1:34" s="980" customFormat="1" ht="12.75" customHeight="1" x14ac:dyDescent="0.25">
      <c r="B284" s="971">
        <v>0</v>
      </c>
      <c r="C284" s="978" t="s">
        <v>134</v>
      </c>
      <c r="D284" s="978" t="s">
        <v>134</v>
      </c>
      <c r="E284" s="1105" t="s">
        <v>134</v>
      </c>
      <c r="F284" s="981"/>
      <c r="H284" s="971">
        <v>0</v>
      </c>
      <c r="I284" s="978">
        <v>0</v>
      </c>
      <c r="J284" s="978">
        <v>0</v>
      </c>
      <c r="K284" s="1105" t="s">
        <v>337</v>
      </c>
      <c r="L284" s="981"/>
      <c r="M284" s="971">
        <v>0</v>
      </c>
      <c r="N284" s="978">
        <v>0.2</v>
      </c>
      <c r="O284" s="978">
        <v>0.2</v>
      </c>
      <c r="P284" s="975">
        <v>0.6</v>
      </c>
      <c r="Q284" s="1102" t="s">
        <v>544</v>
      </c>
      <c r="R284" s="981"/>
      <c r="S284" s="971">
        <v>0</v>
      </c>
      <c r="T284" s="972" t="str">
        <f>C284</f>
        <v>-</v>
      </c>
      <c r="U284" s="973">
        <f>I284</f>
        <v>0</v>
      </c>
      <c r="V284" s="973">
        <f>N284</f>
        <v>0.2</v>
      </c>
      <c r="W284" s="974">
        <v>9.9999999999999992E-2</v>
      </c>
      <c r="X284" s="975">
        <f>P284</f>
        <v>0.6</v>
      </c>
      <c r="Y284" s="976" t="str">
        <f>D284</f>
        <v>-</v>
      </c>
      <c r="Z284" s="977">
        <f>J284</f>
        <v>0</v>
      </c>
      <c r="AA284" s="977">
        <f>O284</f>
        <v>0.2</v>
      </c>
      <c r="AB284" s="974">
        <v>9.9999999999999992E-2</v>
      </c>
      <c r="AC284" s="975">
        <f>P284</f>
        <v>0.6</v>
      </c>
      <c r="AD284" s="983"/>
      <c r="AE284" s="1003"/>
      <c r="AF284" s="984">
        <f>ROWS(AE$11:$AE284)</f>
        <v>274</v>
      </c>
      <c r="AG284" s="984" t="str">
        <f>IF(ID!$A$83=AE284,AF284,"")</f>
        <v/>
      </c>
      <c r="AH284" s="984" t="str">
        <f>IFERROR(SMALL($AG$11:$AG$394,ROWS($AG$11:AG284)),"")</f>
        <v/>
      </c>
    </row>
    <row r="285" spans="1:34" s="980" customFormat="1" x14ac:dyDescent="0.25">
      <c r="B285" s="971">
        <v>50</v>
      </c>
      <c r="C285" s="978" t="s">
        <v>134</v>
      </c>
      <c r="D285" s="978" t="s">
        <v>134</v>
      </c>
      <c r="E285" s="1106"/>
      <c r="F285" s="981"/>
      <c r="H285" s="971">
        <v>50</v>
      </c>
      <c r="I285" s="978">
        <v>0.2</v>
      </c>
      <c r="J285" s="978">
        <v>0.5</v>
      </c>
      <c r="K285" s="1106"/>
      <c r="L285" s="981"/>
      <c r="M285" s="971">
        <v>50</v>
      </c>
      <c r="N285" s="978">
        <v>0.2</v>
      </c>
      <c r="O285" s="978">
        <v>0.2</v>
      </c>
      <c r="P285" s="975">
        <v>0.6</v>
      </c>
      <c r="Q285" s="1103"/>
      <c r="R285" s="981"/>
      <c r="S285" s="971">
        <v>50</v>
      </c>
      <c r="T285" s="972" t="str">
        <f t="shared" ref="T285:T290" si="173">C285</f>
        <v>-</v>
      </c>
      <c r="U285" s="973">
        <f t="shared" ref="U285:U290" si="174">I285</f>
        <v>0.2</v>
      </c>
      <c r="V285" s="973">
        <f t="shared" ref="V285:V290" si="175">N285</f>
        <v>0.2</v>
      </c>
      <c r="W285" s="974">
        <v>9.9999999999999992E-2</v>
      </c>
      <c r="X285" s="975">
        <f t="shared" ref="X285:X290" si="176">P285</f>
        <v>0.6</v>
      </c>
      <c r="Y285" s="976" t="str">
        <f t="shared" ref="Y285" si="177">D285</f>
        <v>-</v>
      </c>
      <c r="Z285" s="977">
        <f t="shared" ref="Z285:Z290" si="178">J285</f>
        <v>0.5</v>
      </c>
      <c r="AA285" s="977">
        <f t="shared" ref="AA285:AA290" si="179">O285</f>
        <v>0.2</v>
      </c>
      <c r="AB285" s="974">
        <v>9.9999999999999992E-2</v>
      </c>
      <c r="AC285" s="975">
        <f t="shared" ref="AC285:AC290" si="180">P285</f>
        <v>0.6</v>
      </c>
      <c r="AD285" s="983"/>
      <c r="AE285" s="1003"/>
      <c r="AF285" s="984">
        <f>ROWS(AE$11:$AE285)</f>
        <v>275</v>
      </c>
      <c r="AG285" s="984" t="str">
        <f>IF(ID!$A$83=AE285,AF285,"")</f>
        <v/>
      </c>
      <c r="AH285" s="984" t="str">
        <f>IFERROR(SMALL($AG$11:$AG$394,ROWS($AG$11:AG285)),"")</f>
        <v/>
      </c>
    </row>
    <row r="286" spans="1:34" s="980" customFormat="1" x14ac:dyDescent="0.25">
      <c r="B286" s="971">
        <v>100</v>
      </c>
      <c r="C286" s="978" t="s">
        <v>134</v>
      </c>
      <c r="D286" s="978" t="s">
        <v>134</v>
      </c>
      <c r="E286" s="1106"/>
      <c r="F286" s="981"/>
      <c r="H286" s="971">
        <v>100</v>
      </c>
      <c r="I286" s="978">
        <v>0.7</v>
      </c>
      <c r="J286" s="978">
        <v>0.9</v>
      </c>
      <c r="K286" s="1106"/>
      <c r="L286" s="981"/>
      <c r="M286" s="971">
        <v>100</v>
      </c>
      <c r="N286" s="978">
        <v>0.2</v>
      </c>
      <c r="O286" s="978">
        <v>0.2</v>
      </c>
      <c r="P286" s="975">
        <v>0.6</v>
      </c>
      <c r="Q286" s="1103"/>
      <c r="R286" s="981"/>
      <c r="S286" s="971">
        <v>100</v>
      </c>
      <c r="T286" s="972" t="str">
        <f t="shared" si="173"/>
        <v>-</v>
      </c>
      <c r="U286" s="973">
        <f t="shared" si="174"/>
        <v>0.7</v>
      </c>
      <c r="V286" s="973">
        <f t="shared" si="175"/>
        <v>0.2</v>
      </c>
      <c r="W286" s="974">
        <v>9.9999999999999992E-2</v>
      </c>
      <c r="X286" s="975">
        <f t="shared" si="176"/>
        <v>0.6</v>
      </c>
      <c r="Y286" s="976" t="str">
        <f>D286</f>
        <v>-</v>
      </c>
      <c r="Z286" s="977">
        <f t="shared" si="178"/>
        <v>0.9</v>
      </c>
      <c r="AA286" s="977">
        <f t="shared" si="179"/>
        <v>0.2</v>
      </c>
      <c r="AB286" s="974">
        <v>9.9999999999999992E-2</v>
      </c>
      <c r="AC286" s="975">
        <f t="shared" si="180"/>
        <v>0.6</v>
      </c>
      <c r="AD286" s="983"/>
      <c r="AE286" s="1003"/>
      <c r="AF286" s="984">
        <f>ROWS(AE$11:$AE286)</f>
        <v>276</v>
      </c>
      <c r="AG286" s="984" t="str">
        <f>IF(ID!$A$83=AE286,AF286,"")</f>
        <v/>
      </c>
      <c r="AH286" s="984" t="str">
        <f>IFERROR(SMALL($AG$11:$AG$394,ROWS($AG$11:AG286)),"")</f>
        <v/>
      </c>
    </row>
    <row r="287" spans="1:34" s="980" customFormat="1" x14ac:dyDescent="0.25">
      <c r="B287" s="971">
        <v>150</v>
      </c>
      <c r="C287" s="978" t="s">
        <v>134</v>
      </c>
      <c r="D287" s="978" t="s">
        <v>134</v>
      </c>
      <c r="E287" s="1106"/>
      <c r="F287" s="981"/>
      <c r="H287" s="971">
        <v>150</v>
      </c>
      <c r="I287" s="978">
        <v>0.5</v>
      </c>
      <c r="J287" s="978">
        <v>0.7</v>
      </c>
      <c r="K287" s="1106"/>
      <c r="L287" s="981"/>
      <c r="M287" s="971">
        <v>150</v>
      </c>
      <c r="N287" s="978">
        <v>0.2</v>
      </c>
      <c r="O287" s="978">
        <v>0.2</v>
      </c>
      <c r="P287" s="975">
        <v>0.6</v>
      </c>
      <c r="Q287" s="1103"/>
      <c r="R287" s="981"/>
      <c r="S287" s="971">
        <v>150</v>
      </c>
      <c r="T287" s="972" t="str">
        <f t="shared" si="173"/>
        <v>-</v>
      </c>
      <c r="U287" s="973">
        <f t="shared" si="174"/>
        <v>0.5</v>
      </c>
      <c r="V287" s="973">
        <f t="shared" si="175"/>
        <v>0.2</v>
      </c>
      <c r="W287" s="974">
        <v>9.9999999999999992E-2</v>
      </c>
      <c r="X287" s="975">
        <f t="shared" si="176"/>
        <v>0.6</v>
      </c>
      <c r="Y287" s="976" t="str">
        <f t="shared" ref="Y287" si="181">D287</f>
        <v>-</v>
      </c>
      <c r="Z287" s="977">
        <f t="shared" si="178"/>
        <v>0.7</v>
      </c>
      <c r="AA287" s="977">
        <f t="shared" si="179"/>
        <v>0.2</v>
      </c>
      <c r="AB287" s="974">
        <v>9.9999999999999992E-2</v>
      </c>
      <c r="AC287" s="975">
        <f t="shared" si="180"/>
        <v>0.6</v>
      </c>
      <c r="AD287" s="983"/>
      <c r="AE287" s="1003"/>
      <c r="AF287" s="984">
        <f>ROWS(AE$11:$AE287)</f>
        <v>277</v>
      </c>
      <c r="AG287" s="984" t="str">
        <f>IF(ID!$A$83=AE287,AF287,"")</f>
        <v/>
      </c>
      <c r="AH287" s="984" t="str">
        <f>IFERROR(SMALL($AG$11:$AG$394,ROWS($AG$11:AG287)),"")</f>
        <v/>
      </c>
    </row>
    <row r="288" spans="1:34" s="980" customFormat="1" x14ac:dyDescent="0.25">
      <c r="B288" s="971">
        <v>200</v>
      </c>
      <c r="C288" s="978" t="s">
        <v>134</v>
      </c>
      <c r="D288" s="978" t="s">
        <v>134</v>
      </c>
      <c r="E288" s="1106"/>
      <c r="F288" s="981"/>
      <c r="H288" s="971">
        <v>200</v>
      </c>
      <c r="I288" s="978">
        <v>0.5</v>
      </c>
      <c r="J288" s="978">
        <v>0.7</v>
      </c>
      <c r="K288" s="1106"/>
      <c r="L288" s="981"/>
      <c r="M288" s="971">
        <v>200</v>
      </c>
      <c r="N288" s="978">
        <v>0.2</v>
      </c>
      <c r="O288" s="978">
        <v>0.2</v>
      </c>
      <c r="P288" s="975">
        <v>0.6</v>
      </c>
      <c r="Q288" s="1103"/>
      <c r="R288" s="981"/>
      <c r="S288" s="971">
        <v>200</v>
      </c>
      <c r="T288" s="972" t="str">
        <f t="shared" si="173"/>
        <v>-</v>
      </c>
      <c r="U288" s="973">
        <f t="shared" si="174"/>
        <v>0.5</v>
      </c>
      <c r="V288" s="973">
        <f t="shared" si="175"/>
        <v>0.2</v>
      </c>
      <c r="W288" s="974">
        <v>9.9999999999999992E-2</v>
      </c>
      <c r="X288" s="975">
        <f t="shared" si="176"/>
        <v>0.6</v>
      </c>
      <c r="Y288" s="976" t="str">
        <f>D288</f>
        <v>-</v>
      </c>
      <c r="Z288" s="977">
        <f t="shared" si="178"/>
        <v>0.7</v>
      </c>
      <c r="AA288" s="977">
        <f t="shared" si="179"/>
        <v>0.2</v>
      </c>
      <c r="AB288" s="974">
        <v>9.9999999999999992E-2</v>
      </c>
      <c r="AC288" s="975">
        <f t="shared" si="180"/>
        <v>0.6</v>
      </c>
      <c r="AD288" s="983"/>
      <c r="AE288" s="1003"/>
      <c r="AF288" s="984">
        <f>ROWS(AE$11:$AE288)</f>
        <v>278</v>
      </c>
      <c r="AG288" s="984" t="str">
        <f>IF(ID!$A$83=AE288,AF288,"")</f>
        <v/>
      </c>
      <c r="AH288" s="984" t="str">
        <f>IFERROR(SMALL($AG$11:$AG$394,ROWS($AG$11:AG288)),"")</f>
        <v/>
      </c>
    </row>
    <row r="289" spans="1:34" s="980" customFormat="1" x14ac:dyDescent="0.25">
      <c r="B289" s="971">
        <v>250</v>
      </c>
      <c r="C289" s="978" t="s">
        <v>134</v>
      </c>
      <c r="D289" s="978" t="s">
        <v>134</v>
      </c>
      <c r="E289" s="1106"/>
      <c r="F289" s="981"/>
      <c r="H289" s="971">
        <v>250</v>
      </c>
      <c r="I289" s="978">
        <v>0.6</v>
      </c>
      <c r="J289" s="978">
        <v>0.9</v>
      </c>
      <c r="K289" s="1106"/>
      <c r="L289" s="981"/>
      <c r="M289" s="971">
        <v>250</v>
      </c>
      <c r="N289" s="978">
        <v>0.2</v>
      </c>
      <c r="O289" s="978">
        <v>0.2</v>
      </c>
      <c r="P289" s="975">
        <v>0.6</v>
      </c>
      <c r="Q289" s="1103"/>
      <c r="R289" s="981"/>
      <c r="S289" s="971">
        <v>250</v>
      </c>
      <c r="T289" s="972" t="str">
        <f t="shared" si="173"/>
        <v>-</v>
      </c>
      <c r="U289" s="973">
        <f t="shared" si="174"/>
        <v>0.6</v>
      </c>
      <c r="V289" s="973">
        <f t="shared" si="175"/>
        <v>0.2</v>
      </c>
      <c r="W289" s="974">
        <v>9.9999999999999992E-2</v>
      </c>
      <c r="X289" s="975">
        <f t="shared" si="176"/>
        <v>0.6</v>
      </c>
      <c r="Y289" s="976" t="str">
        <f t="shared" ref="Y289:Y290" si="182">D289</f>
        <v>-</v>
      </c>
      <c r="Z289" s="977">
        <f t="shared" si="178"/>
        <v>0.9</v>
      </c>
      <c r="AA289" s="977">
        <f t="shared" si="179"/>
        <v>0.2</v>
      </c>
      <c r="AB289" s="974">
        <v>9.9999999999999992E-2</v>
      </c>
      <c r="AC289" s="975">
        <f t="shared" si="180"/>
        <v>0.6</v>
      </c>
      <c r="AD289" s="983"/>
      <c r="AE289" s="1003"/>
      <c r="AF289" s="984">
        <f>ROWS(AE$11:$AE289)</f>
        <v>279</v>
      </c>
      <c r="AG289" s="984" t="str">
        <f>IF(ID!$A$83=AE289,AF289,"")</f>
        <v/>
      </c>
      <c r="AH289" s="984" t="str">
        <f>IFERROR(SMALL($AG$11:$AG$394,ROWS($AG$11:AG289)),"")</f>
        <v/>
      </c>
    </row>
    <row r="290" spans="1:34" s="980" customFormat="1" x14ac:dyDescent="0.25">
      <c r="B290" s="971">
        <v>300</v>
      </c>
      <c r="C290" s="978" t="s">
        <v>134</v>
      </c>
      <c r="D290" s="978" t="s">
        <v>134</v>
      </c>
      <c r="E290" s="1107"/>
      <c r="F290" s="981"/>
      <c r="H290" s="971">
        <v>300</v>
      </c>
      <c r="I290" s="978">
        <v>0.7</v>
      </c>
      <c r="J290" s="978">
        <v>0.9</v>
      </c>
      <c r="K290" s="1107"/>
      <c r="L290" s="981"/>
      <c r="M290" s="971">
        <v>300</v>
      </c>
      <c r="N290" s="978">
        <v>0.2</v>
      </c>
      <c r="O290" s="978">
        <v>0.2</v>
      </c>
      <c r="P290" s="975">
        <v>0.6</v>
      </c>
      <c r="Q290" s="1104"/>
      <c r="R290" s="981"/>
      <c r="S290" s="971">
        <v>300</v>
      </c>
      <c r="T290" s="972" t="str">
        <f t="shared" si="173"/>
        <v>-</v>
      </c>
      <c r="U290" s="973">
        <f t="shared" si="174"/>
        <v>0.7</v>
      </c>
      <c r="V290" s="973">
        <f t="shared" si="175"/>
        <v>0.2</v>
      </c>
      <c r="W290" s="974">
        <v>9.9999999999999992E-2</v>
      </c>
      <c r="X290" s="975">
        <f t="shared" si="176"/>
        <v>0.6</v>
      </c>
      <c r="Y290" s="976" t="str">
        <f t="shared" si="182"/>
        <v>-</v>
      </c>
      <c r="Z290" s="977">
        <f t="shared" si="178"/>
        <v>0.9</v>
      </c>
      <c r="AA290" s="977">
        <f t="shared" si="179"/>
        <v>0.2</v>
      </c>
      <c r="AB290" s="974">
        <v>9.9999999999999992E-2</v>
      </c>
      <c r="AC290" s="975">
        <f t="shared" si="180"/>
        <v>0.6</v>
      </c>
      <c r="AD290" s="983"/>
      <c r="AE290" s="1003"/>
      <c r="AF290" s="984">
        <f>ROWS(AE$11:$AE290)</f>
        <v>280</v>
      </c>
      <c r="AG290" s="984" t="str">
        <f>IF(ID!$A$83=AE290,AF290,"")</f>
        <v/>
      </c>
      <c r="AH290" s="984" t="str">
        <f>IFERROR(SMALL($AG$11:$AG$394,ROWS($AG$11:AG290)),"")</f>
        <v/>
      </c>
    </row>
    <row r="291" spans="1:34" x14ac:dyDescent="0.25">
      <c r="S291" s="230" t="s">
        <v>104</v>
      </c>
      <c r="T291" s="713"/>
      <c r="U291" s="714" t="s">
        <v>104</v>
      </c>
      <c r="V291" s="714"/>
      <c r="W291" s="534"/>
      <c r="X291" s="511" t="s">
        <v>104</v>
      </c>
      <c r="Y291" s="726"/>
      <c r="Z291" s="725"/>
      <c r="AA291" s="725"/>
      <c r="AB291" s="534"/>
      <c r="AC291" s="201"/>
      <c r="AD291" s="95"/>
      <c r="AE291" s="4"/>
      <c r="AF291" s="157">
        <f>ROWS(AE$11:$AE291)</f>
        <v>281</v>
      </c>
      <c r="AG291" s="157" t="str">
        <f>IF(ID!$A$83=AE291,AF291,"")</f>
        <v/>
      </c>
      <c r="AH291" s="157" t="str">
        <f>IFERROR(SMALL($AG$11:$AG$394,ROWS($AG$11:AG291)),"")</f>
        <v/>
      </c>
    </row>
    <row r="292" spans="1:34" x14ac:dyDescent="0.25">
      <c r="E292" s="13"/>
      <c r="F292" s="13"/>
      <c r="K292" s="13"/>
      <c r="L292" s="13"/>
      <c r="N292" s="13"/>
      <c r="O292" s="13"/>
      <c r="Q292" s="13"/>
      <c r="R292" s="13"/>
      <c r="S292" s="230" t="s">
        <v>104</v>
      </c>
      <c r="T292" s="713"/>
      <c r="U292" s="714" t="s">
        <v>104</v>
      </c>
      <c r="V292" s="714"/>
      <c r="W292" s="534"/>
      <c r="X292" s="201" t="s">
        <v>104</v>
      </c>
      <c r="Y292" s="725"/>
      <c r="Z292" s="725"/>
      <c r="AA292" s="725"/>
      <c r="AB292" s="534"/>
      <c r="AC292" s="201"/>
      <c r="AD292" s="95"/>
      <c r="AE292" s="4"/>
      <c r="AF292" s="157">
        <f>ROWS(AE$11:$AE292)</f>
        <v>282</v>
      </c>
      <c r="AG292" s="157" t="str">
        <f>IF(ID!$A$83=AE292,AF292,"")</f>
        <v/>
      </c>
      <c r="AH292" s="157" t="str">
        <f>IFERROR(SMALL($AG$11:$AG$394,ROWS($AG$11:AG292)),"")</f>
        <v/>
      </c>
    </row>
    <row r="293" spans="1:34" x14ac:dyDescent="0.25">
      <c r="S293" s="230" t="s">
        <v>104</v>
      </c>
      <c r="T293" s="713"/>
      <c r="U293" s="714" t="s">
        <v>104</v>
      </c>
      <c r="V293" s="714"/>
      <c r="W293" s="534"/>
      <c r="X293" s="201" t="s">
        <v>104</v>
      </c>
      <c r="Y293" s="725"/>
      <c r="Z293" s="725"/>
      <c r="AA293" s="725"/>
      <c r="AB293" s="534"/>
      <c r="AC293" s="201"/>
      <c r="AD293" s="95"/>
      <c r="AE293" s="4"/>
      <c r="AF293" s="157">
        <f>ROWS(AE$11:$AE293)</f>
        <v>283</v>
      </c>
      <c r="AG293" s="157" t="str">
        <f>IF(ID!$A$83=AE293,AF293,"")</f>
        <v/>
      </c>
      <c r="AH293" s="157" t="str">
        <f>IFERROR(SMALL($AG$11:$AG$394,ROWS($AG$11:AG293)),"")</f>
        <v/>
      </c>
    </row>
    <row r="294" spans="1:34" x14ac:dyDescent="0.25">
      <c r="S294" s="230" t="s">
        <v>104</v>
      </c>
      <c r="T294" s="713"/>
      <c r="U294" s="714" t="s">
        <v>104</v>
      </c>
      <c r="V294" s="714"/>
      <c r="W294" s="534"/>
      <c r="X294" s="201" t="s">
        <v>104</v>
      </c>
      <c r="Y294" s="725"/>
      <c r="Z294" s="725"/>
      <c r="AA294" s="725"/>
      <c r="AB294" s="534"/>
      <c r="AC294" s="201"/>
      <c r="AD294" s="95"/>
      <c r="AE294" s="4"/>
      <c r="AF294" s="157">
        <f>ROWS(AE$11:$AE294)</f>
        <v>284</v>
      </c>
      <c r="AG294" s="157" t="str">
        <f>IF(ID!$A$83=AE294,AF294,"")</f>
        <v/>
      </c>
      <c r="AH294" s="157" t="str">
        <f>IFERROR(SMALL($AG$11:$AG$394,ROWS($AG$11:AG294)),"")</f>
        <v/>
      </c>
    </row>
    <row r="295" spans="1:34" x14ac:dyDescent="0.25">
      <c r="E295" s="13"/>
      <c r="F295" s="13"/>
      <c r="K295" s="13"/>
      <c r="L295" s="13"/>
      <c r="N295" s="13"/>
      <c r="O295" s="13"/>
      <c r="Q295" s="13"/>
      <c r="R295" s="13"/>
      <c r="S295" s="231"/>
      <c r="AD295" s="13"/>
      <c r="AE295" s="13"/>
      <c r="AF295" s="157">
        <f>ROWS(AE$11:$AE295)</f>
        <v>285</v>
      </c>
      <c r="AG295" s="157" t="str">
        <f>IF(ID!$A$83=AE295,AF295,"")</f>
        <v/>
      </c>
      <c r="AH295" s="157" t="str">
        <f>IFERROR(SMALL($AG$11:$AG$394,ROWS($AG$11:AG295)),"")</f>
        <v/>
      </c>
    </row>
    <row r="296" spans="1:34" x14ac:dyDescent="0.25">
      <c r="A296" s="513"/>
      <c r="B296" s="513"/>
      <c r="C296" s="519"/>
      <c r="D296" s="525"/>
      <c r="E296" s="513"/>
      <c r="F296" s="513"/>
      <c r="G296" s="513"/>
      <c r="H296" s="513"/>
      <c r="I296" s="519"/>
      <c r="J296" s="525"/>
      <c r="K296" s="513"/>
      <c r="L296" s="513"/>
      <c r="M296" s="513"/>
      <c r="N296" s="513"/>
      <c r="O296" s="513"/>
      <c r="P296" s="513"/>
      <c r="Q296" s="513"/>
      <c r="R296" s="513"/>
      <c r="S296" s="514"/>
      <c r="T296" s="514"/>
      <c r="U296" s="514"/>
      <c r="V296" s="514"/>
      <c r="W296" s="514"/>
      <c r="X296" s="514"/>
      <c r="Y296" s="514"/>
      <c r="Z296" s="514"/>
      <c r="AA296" s="514"/>
      <c r="AB296" s="529"/>
      <c r="AC296" s="513"/>
      <c r="AD296" s="513"/>
      <c r="AE296" s="513"/>
      <c r="AF296" s="157">
        <f>ROWS(AE$11:$AE296)</f>
        <v>286</v>
      </c>
      <c r="AG296" s="157" t="str">
        <f>IF(ID!$A$83=AE296,AF296,"")</f>
        <v/>
      </c>
      <c r="AH296" s="157" t="str">
        <f>IFERROR(SMALL($AG$11:$AG$394,ROWS($AG$11:AG296)),"")</f>
        <v/>
      </c>
    </row>
    <row r="297" spans="1:34" x14ac:dyDescent="0.25">
      <c r="A297" s="513"/>
      <c r="B297" s="513"/>
      <c r="C297" s="519"/>
      <c r="D297" s="525"/>
      <c r="E297" s="513"/>
      <c r="F297" s="513"/>
      <c r="G297" s="513"/>
      <c r="H297" s="513"/>
      <c r="I297" s="519"/>
      <c r="J297" s="525"/>
      <c r="K297" s="513"/>
      <c r="L297" s="513"/>
      <c r="M297" s="513"/>
      <c r="N297" s="513"/>
      <c r="O297" s="513"/>
      <c r="P297" s="513"/>
      <c r="Q297" s="513"/>
      <c r="R297" s="513"/>
      <c r="S297" s="514"/>
      <c r="T297" s="514"/>
      <c r="U297" s="514"/>
      <c r="V297" s="514"/>
      <c r="W297" s="514"/>
      <c r="X297" s="514"/>
      <c r="Y297" s="514"/>
      <c r="Z297" s="514"/>
      <c r="AA297" s="514"/>
      <c r="AB297" s="529"/>
      <c r="AC297" s="513"/>
      <c r="AD297" s="513"/>
      <c r="AE297" s="513"/>
      <c r="AF297" s="157">
        <f>ROWS(AE$11:$AE297)</f>
        <v>287</v>
      </c>
      <c r="AG297" s="157" t="str">
        <f>IF(ID!$A$83=AE297,AF297,"")</f>
        <v/>
      </c>
      <c r="AH297" s="157" t="str">
        <f>IFERROR(SMALL($AG$11:$AG$394,ROWS($AG$11:AG297)),"")</f>
        <v/>
      </c>
    </row>
    <row r="298" spans="1:34" x14ac:dyDescent="0.25">
      <c r="A298" s="513"/>
      <c r="B298" s="513"/>
      <c r="C298" s="519"/>
      <c r="D298" s="525"/>
      <c r="E298" s="513"/>
      <c r="F298" s="513"/>
      <c r="G298" s="513"/>
      <c r="H298" s="513"/>
      <c r="I298" s="519"/>
      <c r="J298" s="525"/>
      <c r="K298" s="513"/>
      <c r="L298" s="513"/>
      <c r="M298" s="513"/>
      <c r="N298" s="513"/>
      <c r="O298" s="513"/>
      <c r="P298" s="513"/>
      <c r="Q298" s="513"/>
      <c r="R298" s="513"/>
      <c r="S298" s="514"/>
      <c r="T298" s="514"/>
      <c r="U298" s="514"/>
      <c r="V298" s="514"/>
      <c r="W298" s="514"/>
      <c r="X298" s="514"/>
      <c r="Y298" s="514"/>
      <c r="Z298" s="514"/>
      <c r="AA298" s="514"/>
      <c r="AB298" s="529"/>
      <c r="AC298" s="513"/>
      <c r="AD298" s="513"/>
      <c r="AE298" s="513"/>
      <c r="AF298" s="157">
        <f>ROWS(AE$11:$AE298)</f>
        <v>288</v>
      </c>
      <c r="AG298" s="157" t="str">
        <f>IF(ID!$A$83=AE298,AF298,"")</f>
        <v/>
      </c>
      <c r="AH298" s="157" t="str">
        <f>IFERROR(SMALL($AG$11:$AG$394,ROWS($AG$11:AG298)),"")</f>
        <v/>
      </c>
    </row>
    <row r="299" spans="1:34" x14ac:dyDescent="0.25">
      <c r="B299" s="1099" t="s">
        <v>400</v>
      </c>
      <c r="C299" s="1100"/>
      <c r="D299" s="1100"/>
      <c r="E299" s="1101"/>
      <c r="F299" s="233"/>
      <c r="H299" s="1099" t="s">
        <v>401</v>
      </c>
      <c r="I299" s="1100"/>
      <c r="J299" s="1100"/>
      <c r="K299" s="1101"/>
      <c r="L299" s="233"/>
      <c r="M299" s="1099" t="s">
        <v>195</v>
      </c>
      <c r="N299" s="1100"/>
      <c r="O299" s="1100"/>
      <c r="P299" s="1100"/>
      <c r="Q299" s="1101"/>
      <c r="S299" s="224" t="s">
        <v>48</v>
      </c>
      <c r="T299" s="700" t="s">
        <v>403</v>
      </c>
      <c r="U299" s="701" t="s">
        <v>402</v>
      </c>
      <c r="V299" s="701" t="s">
        <v>192</v>
      </c>
      <c r="W299" s="528" t="s">
        <v>172</v>
      </c>
      <c r="X299" s="197" t="s">
        <v>190</v>
      </c>
      <c r="Y299" s="718" t="s">
        <v>404</v>
      </c>
      <c r="Z299" s="719" t="s">
        <v>405</v>
      </c>
      <c r="AA299" s="719" t="s">
        <v>193</v>
      </c>
      <c r="AB299" s="528" t="s">
        <v>152</v>
      </c>
      <c r="AC299" s="197" t="s">
        <v>191</v>
      </c>
      <c r="AF299" s="157">
        <f>ROWS(AE$11:$AE299)</f>
        <v>289</v>
      </c>
      <c r="AG299" s="157" t="str">
        <f>IF(ID!$A$83=AE299,AF299,"")</f>
        <v/>
      </c>
      <c r="AH299" s="157" t="str">
        <f>IFERROR(SMALL($AG$11:$AG$394,ROWS($AG$11:AG299)),"")</f>
        <v/>
      </c>
    </row>
    <row r="300" spans="1:34" s="980" customFormat="1" x14ac:dyDescent="0.25">
      <c r="B300" s="971">
        <v>0</v>
      </c>
      <c r="C300" s="978" t="s">
        <v>134</v>
      </c>
      <c r="D300" s="978" t="s">
        <v>134</v>
      </c>
      <c r="E300" s="1105" t="s">
        <v>134</v>
      </c>
      <c r="F300" s="981"/>
      <c r="H300" s="971">
        <v>0</v>
      </c>
      <c r="I300" s="978">
        <v>0</v>
      </c>
      <c r="J300" s="978">
        <v>0</v>
      </c>
      <c r="K300" s="1105" t="s">
        <v>337</v>
      </c>
      <c r="L300" s="981"/>
      <c r="M300" s="971">
        <v>0</v>
      </c>
      <c r="N300" s="978">
        <v>0.4</v>
      </c>
      <c r="O300" s="978">
        <v>0.4</v>
      </c>
      <c r="P300" s="975">
        <v>0.6</v>
      </c>
      <c r="Q300" s="1102" t="s">
        <v>337</v>
      </c>
      <c r="R300" s="981"/>
      <c r="S300" s="971">
        <v>0</v>
      </c>
      <c r="T300" s="972" t="str">
        <f>C300</f>
        <v>-</v>
      </c>
      <c r="U300" s="973">
        <f>I300</f>
        <v>0</v>
      </c>
      <c r="V300" s="973">
        <f>N300</f>
        <v>0.4</v>
      </c>
      <c r="W300" s="974">
        <v>9.9999999999999992E-2</v>
      </c>
      <c r="X300" s="975">
        <f>P300</f>
        <v>0.6</v>
      </c>
      <c r="Y300" s="976" t="str">
        <f>D300</f>
        <v>-</v>
      </c>
      <c r="Z300" s="977">
        <f>J300</f>
        <v>0</v>
      </c>
      <c r="AA300" s="977">
        <f>O300</f>
        <v>0.4</v>
      </c>
      <c r="AB300" s="974">
        <v>9.9999999999999992E-2</v>
      </c>
      <c r="AC300" s="975">
        <f>P300</f>
        <v>0.6</v>
      </c>
      <c r="AD300" s="982"/>
      <c r="AE300" s="990"/>
      <c r="AF300" s="984">
        <f>ROWS(AE$11:$AE300)</f>
        <v>290</v>
      </c>
      <c r="AG300" s="984" t="str">
        <f>IF(ID!$A$83=AE300,AF300,"")</f>
        <v/>
      </c>
      <c r="AH300" s="984" t="str">
        <f>IFERROR(SMALL($AG$11:$AG$394,ROWS($AG$11:AG300)),"")</f>
        <v/>
      </c>
    </row>
    <row r="301" spans="1:34" s="980" customFormat="1" x14ac:dyDescent="0.25">
      <c r="B301" s="971">
        <v>50</v>
      </c>
      <c r="C301" s="978" t="s">
        <v>134</v>
      </c>
      <c r="D301" s="978" t="s">
        <v>134</v>
      </c>
      <c r="E301" s="1106"/>
      <c r="F301" s="981"/>
      <c r="H301" s="971">
        <v>50</v>
      </c>
      <c r="I301" s="978">
        <v>-0.6</v>
      </c>
      <c r="J301" s="978">
        <v>-0.4</v>
      </c>
      <c r="K301" s="1106"/>
      <c r="L301" s="981"/>
      <c r="M301" s="971">
        <v>50</v>
      </c>
      <c r="N301" s="978">
        <v>0.5</v>
      </c>
      <c r="O301" s="978">
        <v>0.5</v>
      </c>
      <c r="P301" s="975">
        <v>0.8</v>
      </c>
      <c r="Q301" s="1103"/>
      <c r="R301" s="981"/>
      <c r="S301" s="971">
        <v>50</v>
      </c>
      <c r="T301" s="972" t="str">
        <f t="shared" ref="T301:T306" si="183">C301</f>
        <v>-</v>
      </c>
      <c r="U301" s="973">
        <f t="shared" ref="U301:U306" si="184">I301</f>
        <v>-0.6</v>
      </c>
      <c r="V301" s="973">
        <f t="shared" ref="V301:V306" si="185">N301</f>
        <v>0.5</v>
      </c>
      <c r="W301" s="974">
        <v>9.9999999999999992E-2</v>
      </c>
      <c r="X301" s="975">
        <f t="shared" ref="X301:X306" si="186">P301</f>
        <v>0.8</v>
      </c>
      <c r="Y301" s="976" t="str">
        <f t="shared" ref="Y301" si="187">D301</f>
        <v>-</v>
      </c>
      <c r="Z301" s="977">
        <f t="shared" ref="Z301:Z306" si="188">J301</f>
        <v>-0.4</v>
      </c>
      <c r="AA301" s="977">
        <f t="shared" ref="AA301:AA306" si="189">O301</f>
        <v>0.5</v>
      </c>
      <c r="AB301" s="974">
        <v>9.9999999999999992E-2</v>
      </c>
      <c r="AC301" s="975">
        <f t="shared" ref="AC301:AC306" si="190">P301</f>
        <v>0.8</v>
      </c>
      <c r="AD301" s="982"/>
      <c r="AE301" s="990"/>
      <c r="AF301" s="984">
        <f>ROWS(AE$11:$AE301)</f>
        <v>291</v>
      </c>
      <c r="AG301" s="984" t="str">
        <f>IF(ID!$A$83=AE301,AF301,"")</f>
        <v/>
      </c>
      <c r="AH301" s="984" t="str">
        <f>IFERROR(SMALL($AG$11:$AG$394,ROWS($AG$11:AG301)),"")</f>
        <v/>
      </c>
    </row>
    <row r="302" spans="1:34" s="980" customFormat="1" x14ac:dyDescent="0.25">
      <c r="B302" s="971">
        <v>100</v>
      </c>
      <c r="C302" s="978" t="s">
        <v>134</v>
      </c>
      <c r="D302" s="978" t="s">
        <v>134</v>
      </c>
      <c r="E302" s="1106"/>
      <c r="F302" s="981"/>
      <c r="H302" s="971">
        <v>100</v>
      </c>
      <c r="I302" s="978">
        <v>-0.7</v>
      </c>
      <c r="J302" s="978">
        <v>-0.5</v>
      </c>
      <c r="K302" s="1106"/>
      <c r="L302" s="981"/>
      <c r="M302" s="971">
        <v>100</v>
      </c>
      <c r="N302" s="978">
        <v>0.7</v>
      </c>
      <c r="O302" s="978">
        <v>0.7</v>
      </c>
      <c r="P302" s="975">
        <v>0.8</v>
      </c>
      <c r="Q302" s="1103"/>
      <c r="R302" s="981"/>
      <c r="S302" s="971">
        <v>100</v>
      </c>
      <c r="T302" s="972" t="str">
        <f t="shared" si="183"/>
        <v>-</v>
      </c>
      <c r="U302" s="973">
        <f t="shared" si="184"/>
        <v>-0.7</v>
      </c>
      <c r="V302" s="973">
        <f t="shared" si="185"/>
        <v>0.7</v>
      </c>
      <c r="W302" s="974">
        <v>9.9999999999999992E-2</v>
      </c>
      <c r="X302" s="975">
        <f t="shared" si="186"/>
        <v>0.8</v>
      </c>
      <c r="Y302" s="976" t="str">
        <f>D302</f>
        <v>-</v>
      </c>
      <c r="Z302" s="977">
        <f t="shared" si="188"/>
        <v>-0.5</v>
      </c>
      <c r="AA302" s="977">
        <f t="shared" si="189"/>
        <v>0.7</v>
      </c>
      <c r="AB302" s="974">
        <v>9.9999999999999992E-2</v>
      </c>
      <c r="AC302" s="975">
        <f t="shared" si="190"/>
        <v>0.8</v>
      </c>
      <c r="AD302" s="982"/>
      <c r="AE302" s="990"/>
      <c r="AF302" s="984">
        <f>ROWS(AE$11:$AE302)</f>
        <v>292</v>
      </c>
      <c r="AG302" s="984" t="str">
        <f>IF(ID!$A$83=AE302,AF302,"")</f>
        <v/>
      </c>
      <c r="AH302" s="984" t="str">
        <f>IFERROR(SMALL($AG$11:$AG$394,ROWS($AG$11:AG302)),"")</f>
        <v/>
      </c>
    </row>
    <row r="303" spans="1:34" s="980" customFormat="1" x14ac:dyDescent="0.25">
      <c r="B303" s="971">
        <v>150</v>
      </c>
      <c r="C303" s="978" t="s">
        <v>134</v>
      </c>
      <c r="D303" s="978" t="s">
        <v>134</v>
      </c>
      <c r="E303" s="1106"/>
      <c r="F303" s="981"/>
      <c r="H303" s="971">
        <v>150</v>
      </c>
      <c r="I303" s="978">
        <v>-0.9</v>
      </c>
      <c r="J303" s="978">
        <v>-0.6</v>
      </c>
      <c r="K303" s="1106"/>
      <c r="L303" s="981"/>
      <c r="M303" s="971">
        <v>150</v>
      </c>
      <c r="N303" s="978">
        <v>0.8</v>
      </c>
      <c r="O303" s="978">
        <v>0.8</v>
      </c>
      <c r="P303" s="975">
        <v>0.8</v>
      </c>
      <c r="Q303" s="1103"/>
      <c r="R303" s="981"/>
      <c r="S303" s="971">
        <v>150</v>
      </c>
      <c r="T303" s="972" t="str">
        <f t="shared" si="183"/>
        <v>-</v>
      </c>
      <c r="U303" s="973">
        <f t="shared" si="184"/>
        <v>-0.9</v>
      </c>
      <c r="V303" s="973">
        <f t="shared" si="185"/>
        <v>0.8</v>
      </c>
      <c r="W303" s="974">
        <v>9.9999999999999992E-2</v>
      </c>
      <c r="X303" s="975">
        <f t="shared" si="186"/>
        <v>0.8</v>
      </c>
      <c r="Y303" s="976" t="str">
        <f t="shared" ref="Y303" si="191">D303</f>
        <v>-</v>
      </c>
      <c r="Z303" s="977">
        <f t="shared" si="188"/>
        <v>-0.6</v>
      </c>
      <c r="AA303" s="977">
        <f t="shared" si="189"/>
        <v>0.8</v>
      </c>
      <c r="AB303" s="974">
        <v>9.9999999999999992E-2</v>
      </c>
      <c r="AC303" s="975">
        <f t="shared" si="190"/>
        <v>0.8</v>
      </c>
      <c r="AD303" s="982"/>
      <c r="AE303" s="990"/>
      <c r="AF303" s="984">
        <f>ROWS(AE$11:$AE303)</f>
        <v>293</v>
      </c>
      <c r="AG303" s="984" t="str">
        <f>IF(ID!$A$83=AE303,AF303,"")</f>
        <v/>
      </c>
      <c r="AH303" s="984" t="str">
        <f>IFERROR(SMALL($AG$11:$AG$394,ROWS($AG$11:AG303)),"")</f>
        <v/>
      </c>
    </row>
    <row r="304" spans="1:34" s="980" customFormat="1" x14ac:dyDescent="0.25">
      <c r="B304" s="971">
        <v>200</v>
      </c>
      <c r="C304" s="978" t="s">
        <v>134</v>
      </c>
      <c r="D304" s="978" t="s">
        <v>134</v>
      </c>
      <c r="E304" s="1106"/>
      <c r="F304" s="981"/>
      <c r="H304" s="971">
        <v>200</v>
      </c>
      <c r="I304" s="978">
        <v>-1</v>
      </c>
      <c r="J304" s="978">
        <v>-0.7</v>
      </c>
      <c r="K304" s="1106"/>
      <c r="L304" s="981"/>
      <c r="M304" s="971">
        <v>200</v>
      </c>
      <c r="N304" s="978">
        <v>1</v>
      </c>
      <c r="O304" s="978">
        <v>1</v>
      </c>
      <c r="P304" s="975">
        <v>0.8</v>
      </c>
      <c r="Q304" s="1103"/>
      <c r="R304" s="981"/>
      <c r="S304" s="971">
        <v>200</v>
      </c>
      <c r="T304" s="972" t="str">
        <f t="shared" si="183"/>
        <v>-</v>
      </c>
      <c r="U304" s="973">
        <f t="shared" si="184"/>
        <v>-1</v>
      </c>
      <c r="V304" s="973">
        <f t="shared" si="185"/>
        <v>1</v>
      </c>
      <c r="W304" s="974">
        <v>9.9999999999999992E-2</v>
      </c>
      <c r="X304" s="975">
        <f t="shared" si="186"/>
        <v>0.8</v>
      </c>
      <c r="Y304" s="976" t="str">
        <f>D304</f>
        <v>-</v>
      </c>
      <c r="Z304" s="977">
        <f t="shared" si="188"/>
        <v>-0.7</v>
      </c>
      <c r="AA304" s="977">
        <f t="shared" si="189"/>
        <v>1</v>
      </c>
      <c r="AB304" s="974">
        <v>9.9999999999999992E-2</v>
      </c>
      <c r="AC304" s="975">
        <f t="shared" si="190"/>
        <v>0.8</v>
      </c>
      <c r="AD304" s="982"/>
      <c r="AE304" s="990"/>
      <c r="AF304" s="984">
        <f>ROWS(AE$11:$AE304)</f>
        <v>294</v>
      </c>
      <c r="AG304" s="984" t="str">
        <f>IF(ID!$A$83=AE304,AF304,"")</f>
        <v/>
      </c>
      <c r="AH304" s="984" t="str">
        <f>IFERROR(SMALL($AG$11:$AG$394,ROWS($AG$11:AG304)),"")</f>
        <v/>
      </c>
    </row>
    <row r="305" spans="1:34" s="980" customFormat="1" x14ac:dyDescent="0.25">
      <c r="B305" s="971">
        <v>250</v>
      </c>
      <c r="C305" s="978" t="s">
        <v>134</v>
      </c>
      <c r="D305" s="978" t="s">
        <v>134</v>
      </c>
      <c r="E305" s="1106"/>
      <c r="F305" s="981"/>
      <c r="H305" s="971">
        <v>250</v>
      </c>
      <c r="I305" s="978">
        <v>-0.9</v>
      </c>
      <c r="J305" s="978">
        <v>-0.7</v>
      </c>
      <c r="K305" s="1106"/>
      <c r="L305" s="981"/>
      <c r="M305" s="971">
        <v>250</v>
      </c>
      <c r="N305" s="978">
        <v>1.1000000000000001</v>
      </c>
      <c r="O305" s="978">
        <v>1.1000000000000001</v>
      </c>
      <c r="P305" s="975">
        <v>0.8</v>
      </c>
      <c r="Q305" s="1103"/>
      <c r="R305" s="981"/>
      <c r="S305" s="971">
        <v>250</v>
      </c>
      <c r="T305" s="972" t="str">
        <f t="shared" si="183"/>
        <v>-</v>
      </c>
      <c r="U305" s="973">
        <f t="shared" si="184"/>
        <v>-0.9</v>
      </c>
      <c r="V305" s="973">
        <f t="shared" si="185"/>
        <v>1.1000000000000001</v>
      </c>
      <c r="W305" s="974">
        <v>9.9999999999999992E-2</v>
      </c>
      <c r="X305" s="975">
        <f t="shared" si="186"/>
        <v>0.8</v>
      </c>
      <c r="Y305" s="976" t="str">
        <f t="shared" ref="Y305:Y306" si="192">D305</f>
        <v>-</v>
      </c>
      <c r="Z305" s="977">
        <f t="shared" si="188"/>
        <v>-0.7</v>
      </c>
      <c r="AA305" s="977">
        <f t="shared" si="189"/>
        <v>1.1000000000000001</v>
      </c>
      <c r="AB305" s="974">
        <v>9.9999999999999992E-2</v>
      </c>
      <c r="AC305" s="975">
        <f t="shared" si="190"/>
        <v>0.8</v>
      </c>
      <c r="AD305" s="982"/>
      <c r="AE305" s="990"/>
      <c r="AF305" s="984">
        <f>ROWS(AE$11:$AE305)</f>
        <v>295</v>
      </c>
      <c r="AG305" s="984" t="str">
        <f>IF(ID!$A$83=AE305,AF305,"")</f>
        <v/>
      </c>
      <c r="AH305" s="984" t="str">
        <f>IFERROR(SMALL($AG$11:$AG$394,ROWS($AG$11:AG305)),"")</f>
        <v/>
      </c>
    </row>
    <row r="306" spans="1:34" s="980" customFormat="1" x14ac:dyDescent="0.25">
      <c r="B306" s="971">
        <v>300</v>
      </c>
      <c r="C306" s="978" t="s">
        <v>134</v>
      </c>
      <c r="D306" s="978" t="s">
        <v>134</v>
      </c>
      <c r="E306" s="1107"/>
      <c r="F306" s="981"/>
      <c r="H306" s="971">
        <v>300</v>
      </c>
      <c r="I306" s="978">
        <v>-0.7</v>
      </c>
      <c r="J306" s="978">
        <v>-0.4</v>
      </c>
      <c r="K306" s="1107"/>
      <c r="L306" s="981"/>
      <c r="M306" s="971">
        <v>300</v>
      </c>
      <c r="N306" s="978">
        <v>1.2</v>
      </c>
      <c r="O306" s="978">
        <v>1.2</v>
      </c>
      <c r="P306" s="975">
        <v>0.6</v>
      </c>
      <c r="Q306" s="1104"/>
      <c r="R306" s="981"/>
      <c r="S306" s="971">
        <v>300</v>
      </c>
      <c r="T306" s="972" t="str">
        <f t="shared" si="183"/>
        <v>-</v>
      </c>
      <c r="U306" s="973">
        <f t="shared" si="184"/>
        <v>-0.7</v>
      </c>
      <c r="V306" s="973">
        <f t="shared" si="185"/>
        <v>1.2</v>
      </c>
      <c r="W306" s="974">
        <v>9.9999999999999992E-2</v>
      </c>
      <c r="X306" s="975">
        <f t="shared" si="186"/>
        <v>0.6</v>
      </c>
      <c r="Y306" s="976" t="str">
        <f t="shared" si="192"/>
        <v>-</v>
      </c>
      <c r="Z306" s="977">
        <f t="shared" si="188"/>
        <v>-0.4</v>
      </c>
      <c r="AA306" s="977">
        <f t="shared" si="189"/>
        <v>1.2</v>
      </c>
      <c r="AB306" s="974">
        <v>9.9999999999999992E-2</v>
      </c>
      <c r="AC306" s="975">
        <f t="shared" si="190"/>
        <v>0.6</v>
      </c>
      <c r="AD306" s="982"/>
      <c r="AE306" s="990"/>
      <c r="AF306" s="984">
        <f>ROWS(AE$11:$AE306)</f>
        <v>296</v>
      </c>
      <c r="AG306" s="984" t="str">
        <f>IF(ID!$A$83=AE306,AF306,"")</f>
        <v/>
      </c>
      <c r="AH306" s="984" t="str">
        <f>IFERROR(SMALL($AG$11:$AG$394,ROWS($AG$11:AG306)),"")</f>
        <v/>
      </c>
    </row>
    <row r="307" spans="1:34" s="980" customFormat="1" x14ac:dyDescent="0.25">
      <c r="S307" s="991" t="s">
        <v>104</v>
      </c>
      <c r="T307" s="992"/>
      <c r="U307" s="993" t="s">
        <v>104</v>
      </c>
      <c r="V307" s="993"/>
      <c r="W307" s="994"/>
      <c r="X307" s="995" t="s">
        <v>104</v>
      </c>
      <c r="Y307" s="996"/>
      <c r="Z307" s="997"/>
      <c r="AA307" s="997"/>
      <c r="AB307" s="994"/>
      <c r="AC307" s="998"/>
      <c r="AD307" s="999"/>
      <c r="AE307" s="983"/>
      <c r="AF307" s="984">
        <f>ROWS(AE$11:$AE307)</f>
        <v>297</v>
      </c>
      <c r="AG307" s="984" t="str">
        <f>IF(ID!$A$83=AE307,AF307,"")</f>
        <v/>
      </c>
      <c r="AH307" s="984" t="str">
        <f>IFERROR(SMALL($AG$11:$AG$394,ROWS($AG$11:AG307)),"")</f>
        <v/>
      </c>
    </row>
    <row r="308" spans="1:34" s="980" customFormat="1" x14ac:dyDescent="0.25">
      <c r="E308" s="1000"/>
      <c r="F308" s="1000"/>
      <c r="K308" s="1000"/>
      <c r="L308" s="1000"/>
      <c r="N308" s="1000"/>
      <c r="O308" s="1000"/>
      <c r="Q308" s="1000"/>
      <c r="R308" s="1000"/>
      <c r="S308" s="991" t="s">
        <v>104</v>
      </c>
      <c r="T308" s="992"/>
      <c r="U308" s="993" t="s">
        <v>104</v>
      </c>
      <c r="V308" s="993"/>
      <c r="W308" s="994"/>
      <c r="X308" s="998" t="s">
        <v>104</v>
      </c>
      <c r="Y308" s="997"/>
      <c r="Z308" s="997"/>
      <c r="AA308" s="997"/>
      <c r="AB308" s="994"/>
      <c r="AC308" s="998"/>
      <c r="AD308" s="999"/>
      <c r="AE308" s="983"/>
      <c r="AF308" s="984">
        <f>ROWS(AE$11:$AE308)</f>
        <v>298</v>
      </c>
      <c r="AG308" s="984" t="str">
        <f>IF(ID!$A$83=AE308,AF308,"")</f>
        <v/>
      </c>
      <c r="AH308" s="984" t="str">
        <f>IFERROR(SMALL($AG$11:$AG$394,ROWS($AG$11:AG308)),"")</f>
        <v/>
      </c>
    </row>
    <row r="309" spans="1:34" x14ac:dyDescent="0.25">
      <c r="S309" s="230" t="s">
        <v>104</v>
      </c>
      <c r="T309" s="713"/>
      <c r="U309" s="714" t="s">
        <v>104</v>
      </c>
      <c r="V309" s="714"/>
      <c r="W309" s="534"/>
      <c r="X309" s="201" t="s">
        <v>104</v>
      </c>
      <c r="Y309" s="725"/>
      <c r="Z309" s="725"/>
      <c r="AA309" s="725"/>
      <c r="AB309" s="534"/>
      <c r="AC309" s="201"/>
      <c r="AD309" s="95"/>
      <c r="AE309" s="4"/>
      <c r="AF309" s="157">
        <f>ROWS(AE$11:$AE309)</f>
        <v>299</v>
      </c>
      <c r="AG309" s="157" t="str">
        <f>IF(ID!$A$83=AE309,AF309,"")</f>
        <v/>
      </c>
      <c r="AH309" s="157" t="str">
        <f>IFERROR(SMALL($AG$11:$AG$394,ROWS($AG$11:AG309)),"")</f>
        <v/>
      </c>
    </row>
    <row r="310" spans="1:34" x14ac:dyDescent="0.25">
      <c r="S310" s="230" t="s">
        <v>104</v>
      </c>
      <c r="T310" s="713"/>
      <c r="U310" s="714" t="s">
        <v>104</v>
      </c>
      <c r="V310" s="714"/>
      <c r="W310" s="534"/>
      <c r="X310" s="201" t="s">
        <v>104</v>
      </c>
      <c r="Y310" s="725"/>
      <c r="Z310" s="725"/>
      <c r="AA310" s="725"/>
      <c r="AB310" s="534"/>
      <c r="AC310" s="201"/>
      <c r="AD310" s="95"/>
      <c r="AE310" s="4"/>
      <c r="AF310" s="157">
        <f>ROWS(AE$11:$AE310)</f>
        <v>300</v>
      </c>
      <c r="AG310" s="157" t="str">
        <f>IF(ID!$A$83=AE310,AF310,"")</f>
        <v/>
      </c>
      <c r="AH310" s="157" t="str">
        <f>IFERROR(SMALL($AG$11:$AG$394,ROWS($AG$11:AG310)),"")</f>
        <v/>
      </c>
    </row>
    <row r="311" spans="1:34" x14ac:dyDescent="0.25">
      <c r="E311" s="13"/>
      <c r="F311" s="13"/>
      <c r="K311" s="13"/>
      <c r="L311" s="13"/>
      <c r="N311" s="13"/>
      <c r="O311" s="13"/>
      <c r="Q311" s="13"/>
      <c r="R311" s="13"/>
      <c r="S311" s="231"/>
      <c r="AD311" s="13"/>
      <c r="AE311" s="13"/>
      <c r="AF311" s="157">
        <f>ROWS(AE$11:$AE311)</f>
        <v>301</v>
      </c>
      <c r="AG311" s="157" t="str">
        <f>IF(ID!$A$83=AE311,AF311,"")</f>
        <v/>
      </c>
      <c r="AH311" s="157" t="str">
        <f>IFERROR(SMALL($AG$11:$AG$394,ROWS($AG$11:AG311)),"")</f>
        <v/>
      </c>
    </row>
    <row r="312" spans="1:34" x14ac:dyDescent="0.25">
      <c r="A312" s="513"/>
      <c r="B312" s="513"/>
      <c r="C312" s="519"/>
      <c r="D312" s="525"/>
      <c r="E312" s="513"/>
      <c r="F312" s="513"/>
      <c r="G312" s="513"/>
      <c r="H312" s="513"/>
      <c r="I312" s="519"/>
      <c r="J312" s="525"/>
      <c r="K312" s="513"/>
      <c r="L312" s="513"/>
      <c r="M312" s="513"/>
      <c r="N312" s="513"/>
      <c r="O312" s="513"/>
      <c r="P312" s="513"/>
      <c r="Q312" s="513"/>
      <c r="R312" s="513"/>
      <c r="S312" s="514"/>
      <c r="T312" s="514"/>
      <c r="U312" s="514"/>
      <c r="V312" s="514"/>
      <c r="W312" s="514"/>
      <c r="X312" s="514"/>
      <c r="Y312" s="514"/>
      <c r="Z312" s="514"/>
      <c r="AA312" s="514"/>
      <c r="AB312" s="529"/>
      <c r="AC312" s="513"/>
      <c r="AD312" s="513"/>
      <c r="AE312" s="513"/>
      <c r="AF312" s="157">
        <f>ROWS(AE$11:$AE312)</f>
        <v>302</v>
      </c>
      <c r="AG312" s="157" t="str">
        <f>IF(ID!$A$83=AE312,AF312,"")</f>
        <v/>
      </c>
      <c r="AH312" s="157" t="str">
        <f>IFERROR(SMALL($AG$11:$AG$394,ROWS($AG$11:AG312)),"")</f>
        <v/>
      </c>
    </row>
    <row r="313" spans="1:34" x14ac:dyDescent="0.25">
      <c r="A313" s="513"/>
      <c r="B313" s="513"/>
      <c r="C313" s="519"/>
      <c r="D313" s="525"/>
      <c r="E313" s="513"/>
      <c r="F313" s="513"/>
      <c r="G313" s="513"/>
      <c r="H313" s="513"/>
      <c r="I313" s="519"/>
      <c r="J313" s="525"/>
      <c r="K313" s="513"/>
      <c r="L313" s="513"/>
      <c r="M313" s="513"/>
      <c r="N313" s="513"/>
      <c r="O313" s="513"/>
      <c r="P313" s="513"/>
      <c r="Q313" s="513"/>
      <c r="R313" s="513"/>
      <c r="S313" s="514"/>
      <c r="T313" s="514"/>
      <c r="U313" s="514"/>
      <c r="V313" s="514"/>
      <c r="W313" s="514"/>
      <c r="X313" s="514"/>
      <c r="Y313" s="514"/>
      <c r="Z313" s="514"/>
      <c r="AA313" s="514"/>
      <c r="AB313" s="529"/>
      <c r="AC313" s="513"/>
      <c r="AD313" s="513"/>
      <c r="AE313" s="513"/>
      <c r="AF313" s="157">
        <f>ROWS(AE$11:$AE313)</f>
        <v>303</v>
      </c>
      <c r="AG313" s="157" t="str">
        <f>IF(ID!$A$83=AE313,AF313,"")</f>
        <v/>
      </c>
      <c r="AH313" s="157" t="str">
        <f>IFERROR(SMALL($AG$11:$AG$394,ROWS($AG$11:AG313)),"")</f>
        <v/>
      </c>
    </row>
    <row r="314" spans="1:34" x14ac:dyDescent="0.25">
      <c r="A314" s="513"/>
      <c r="B314" s="513"/>
      <c r="C314" s="519"/>
      <c r="D314" s="525"/>
      <c r="E314" s="513"/>
      <c r="F314" s="513"/>
      <c r="G314" s="513"/>
      <c r="H314" s="513"/>
      <c r="I314" s="519"/>
      <c r="J314" s="525"/>
      <c r="K314" s="513"/>
      <c r="L314" s="513"/>
      <c r="M314" s="513"/>
      <c r="N314" s="513"/>
      <c r="O314" s="513"/>
      <c r="P314" s="513"/>
      <c r="Q314" s="513"/>
      <c r="R314" s="513"/>
      <c r="S314" s="514"/>
      <c r="T314" s="514"/>
      <c r="U314" s="514"/>
      <c r="V314" s="514"/>
      <c r="W314" s="514"/>
      <c r="X314" s="514"/>
      <c r="Y314" s="514"/>
      <c r="Z314" s="514"/>
      <c r="AA314" s="514"/>
      <c r="AB314" s="529"/>
      <c r="AC314" s="513"/>
      <c r="AD314" s="513"/>
      <c r="AE314" s="513"/>
      <c r="AF314" s="157">
        <f>ROWS(AE$11:$AE314)</f>
        <v>304</v>
      </c>
      <c r="AG314" s="157" t="str">
        <f>IF(ID!$A$83=AE314,AF314,"")</f>
        <v/>
      </c>
      <c r="AH314" s="157" t="str">
        <f>IFERROR(SMALL($AG$11:$AG$394,ROWS($AG$11:AG314)),"")</f>
        <v/>
      </c>
    </row>
    <row r="315" spans="1:34" x14ac:dyDescent="0.25">
      <c r="B315" s="1099" t="s">
        <v>400</v>
      </c>
      <c r="C315" s="1100"/>
      <c r="D315" s="1100"/>
      <c r="E315" s="1101"/>
      <c r="F315" s="233"/>
      <c r="H315" s="1099" t="s">
        <v>401</v>
      </c>
      <c r="I315" s="1100"/>
      <c r="J315" s="1100"/>
      <c r="K315" s="1101"/>
      <c r="L315" s="233"/>
      <c r="M315" s="1099" t="s">
        <v>195</v>
      </c>
      <c r="N315" s="1100"/>
      <c r="O315" s="1100"/>
      <c r="P315" s="1100"/>
      <c r="Q315" s="1101"/>
      <c r="S315" s="224" t="s">
        <v>48</v>
      </c>
      <c r="T315" s="700" t="s">
        <v>403</v>
      </c>
      <c r="U315" s="701" t="s">
        <v>402</v>
      </c>
      <c r="V315" s="701" t="s">
        <v>192</v>
      </c>
      <c r="W315" s="528" t="s">
        <v>172</v>
      </c>
      <c r="X315" s="197" t="s">
        <v>190</v>
      </c>
      <c r="Y315" s="718" t="s">
        <v>404</v>
      </c>
      <c r="Z315" s="719" t="s">
        <v>405</v>
      </c>
      <c r="AA315" s="719" t="s">
        <v>193</v>
      </c>
      <c r="AB315" s="528" t="s">
        <v>152</v>
      </c>
      <c r="AC315" s="197" t="s">
        <v>191</v>
      </c>
      <c r="AF315" s="157">
        <f>ROWS(AE$11:$AE315)</f>
        <v>305</v>
      </c>
      <c r="AG315" s="157" t="str">
        <f>IF(ID!$A$83=AE315,AF315,"")</f>
        <v/>
      </c>
      <c r="AH315" s="157" t="str">
        <f>IFERROR(SMALL($AG$11:$AG$394,ROWS($AG$11:AG315)),"")</f>
        <v/>
      </c>
    </row>
    <row r="316" spans="1:34" s="980" customFormat="1" x14ac:dyDescent="0.25">
      <c r="B316" s="971">
        <v>0</v>
      </c>
      <c r="C316" s="978" t="s">
        <v>134</v>
      </c>
      <c r="D316" s="978" t="s">
        <v>134</v>
      </c>
      <c r="E316" s="1105" t="s">
        <v>134</v>
      </c>
      <c r="F316" s="981"/>
      <c r="H316" s="971">
        <v>0</v>
      </c>
      <c r="I316" s="978">
        <v>0</v>
      </c>
      <c r="J316" s="978">
        <v>0</v>
      </c>
      <c r="K316" s="1105" t="s">
        <v>337</v>
      </c>
      <c r="L316" s="981"/>
      <c r="M316" s="971">
        <v>0</v>
      </c>
      <c r="N316" s="978">
        <v>-0.2</v>
      </c>
      <c r="O316" s="978">
        <v>-0.2</v>
      </c>
      <c r="P316" s="975">
        <v>0.6</v>
      </c>
      <c r="Q316" s="1102" t="s">
        <v>544</v>
      </c>
      <c r="R316" s="981"/>
      <c r="S316" s="971">
        <v>0</v>
      </c>
      <c r="T316" s="972" t="str">
        <f>C316</f>
        <v>-</v>
      </c>
      <c r="U316" s="973">
        <f>I316</f>
        <v>0</v>
      </c>
      <c r="V316" s="973">
        <f>N316</f>
        <v>-0.2</v>
      </c>
      <c r="W316" s="974">
        <v>9.9999999999999992E-2</v>
      </c>
      <c r="X316" s="975">
        <f>P316</f>
        <v>0.6</v>
      </c>
      <c r="Y316" s="976" t="str">
        <f>D316</f>
        <v>-</v>
      </c>
      <c r="Z316" s="977">
        <f>J316</f>
        <v>0</v>
      </c>
      <c r="AA316" s="977">
        <f>O316</f>
        <v>-0.2</v>
      </c>
      <c r="AB316" s="974">
        <v>9.9999999999999992E-2</v>
      </c>
      <c r="AC316" s="975">
        <f>P316</f>
        <v>0.6</v>
      </c>
      <c r="AD316" s="982"/>
      <c r="AE316" s="983"/>
      <c r="AF316" s="984">
        <f>ROWS(AE$11:$AE316)</f>
        <v>306</v>
      </c>
      <c r="AG316" s="984" t="str">
        <f>IF(ID!$A$83=AE316,AF316,"")</f>
        <v/>
      </c>
      <c r="AH316" s="984" t="str">
        <f>IFERROR(SMALL($AG$11:$AG$394,ROWS($AG$11:AG316)),"")</f>
        <v/>
      </c>
    </row>
    <row r="317" spans="1:34" s="980" customFormat="1" x14ac:dyDescent="0.25">
      <c r="B317" s="971">
        <v>50</v>
      </c>
      <c r="C317" s="978" t="s">
        <v>134</v>
      </c>
      <c r="D317" s="978" t="s">
        <v>134</v>
      </c>
      <c r="E317" s="1106"/>
      <c r="F317" s="981"/>
      <c r="H317" s="971">
        <v>50</v>
      </c>
      <c r="I317" s="978">
        <v>0.7</v>
      </c>
      <c r="J317" s="978">
        <v>0.9</v>
      </c>
      <c r="K317" s="1106"/>
      <c r="L317" s="981"/>
      <c r="M317" s="971">
        <v>50</v>
      </c>
      <c r="N317" s="978">
        <v>-0.2</v>
      </c>
      <c r="O317" s="978">
        <v>-0.2</v>
      </c>
      <c r="P317" s="975">
        <v>0.6</v>
      </c>
      <c r="Q317" s="1103"/>
      <c r="R317" s="981"/>
      <c r="S317" s="971">
        <v>50</v>
      </c>
      <c r="T317" s="972" t="str">
        <f t="shared" ref="T317:T322" si="193">C317</f>
        <v>-</v>
      </c>
      <c r="U317" s="973">
        <f t="shared" ref="U317:U322" si="194">I317</f>
        <v>0.7</v>
      </c>
      <c r="V317" s="973">
        <f t="shared" ref="V317:V322" si="195">N317</f>
        <v>-0.2</v>
      </c>
      <c r="W317" s="974">
        <v>9.9999999999999992E-2</v>
      </c>
      <c r="X317" s="975">
        <f t="shared" ref="X317:X322" si="196">P317</f>
        <v>0.6</v>
      </c>
      <c r="Y317" s="976" t="str">
        <f t="shared" ref="Y317" si="197">D317</f>
        <v>-</v>
      </c>
      <c r="Z317" s="977">
        <f t="shared" ref="Z317:Z322" si="198">J317</f>
        <v>0.9</v>
      </c>
      <c r="AA317" s="977">
        <f t="shared" ref="AA317:AA322" si="199">O317</f>
        <v>-0.2</v>
      </c>
      <c r="AB317" s="974">
        <v>9.9999999999999992E-2</v>
      </c>
      <c r="AC317" s="975">
        <f t="shared" ref="AC317:AC322" si="200">P317</f>
        <v>0.6</v>
      </c>
      <c r="AD317" s="982"/>
      <c r="AE317" s="983"/>
      <c r="AF317" s="984">
        <f>ROWS(AE$11:$AE317)</f>
        <v>307</v>
      </c>
      <c r="AG317" s="984" t="str">
        <f>IF(ID!$A$83=AE317,AF317,"")</f>
        <v/>
      </c>
      <c r="AH317" s="984" t="str">
        <f>IFERROR(SMALL($AG$11:$AG$394,ROWS($AG$11:AG317)),"")</f>
        <v/>
      </c>
    </row>
    <row r="318" spans="1:34" s="980" customFormat="1" x14ac:dyDescent="0.25">
      <c r="B318" s="971">
        <v>100</v>
      </c>
      <c r="C318" s="978" t="s">
        <v>134</v>
      </c>
      <c r="D318" s="978" t="s">
        <v>134</v>
      </c>
      <c r="E318" s="1106"/>
      <c r="F318" s="981"/>
      <c r="H318" s="971">
        <v>100</v>
      </c>
      <c r="I318" s="978">
        <v>0.7</v>
      </c>
      <c r="J318" s="978">
        <v>0.9</v>
      </c>
      <c r="K318" s="1106"/>
      <c r="L318" s="981"/>
      <c r="M318" s="971">
        <v>100</v>
      </c>
      <c r="N318" s="978">
        <v>-0.2</v>
      </c>
      <c r="O318" s="978">
        <v>-0.2</v>
      </c>
      <c r="P318" s="975">
        <v>0.8</v>
      </c>
      <c r="Q318" s="1103"/>
      <c r="R318" s="981"/>
      <c r="S318" s="971">
        <v>100</v>
      </c>
      <c r="T318" s="972" t="str">
        <f t="shared" si="193"/>
        <v>-</v>
      </c>
      <c r="U318" s="973">
        <f t="shared" si="194"/>
        <v>0.7</v>
      </c>
      <c r="V318" s="973">
        <f t="shared" si="195"/>
        <v>-0.2</v>
      </c>
      <c r="W318" s="974">
        <v>9.9999999999999992E-2</v>
      </c>
      <c r="X318" s="975">
        <f t="shared" si="196"/>
        <v>0.8</v>
      </c>
      <c r="Y318" s="976" t="str">
        <f>D318</f>
        <v>-</v>
      </c>
      <c r="Z318" s="977">
        <f t="shared" si="198"/>
        <v>0.9</v>
      </c>
      <c r="AA318" s="977">
        <f t="shared" si="199"/>
        <v>-0.2</v>
      </c>
      <c r="AB318" s="974">
        <v>9.9999999999999992E-2</v>
      </c>
      <c r="AC318" s="975">
        <f t="shared" si="200"/>
        <v>0.8</v>
      </c>
      <c r="AD318" s="982"/>
      <c r="AE318" s="983"/>
      <c r="AF318" s="984">
        <f>ROWS(AE$11:$AE318)</f>
        <v>308</v>
      </c>
      <c r="AG318" s="984" t="str">
        <f>IF(ID!$A$83=AE318,AF318,"")</f>
        <v/>
      </c>
      <c r="AH318" s="984" t="str">
        <f>IFERROR(SMALL($AG$11:$AG$394,ROWS($AG$11:AG318)),"")</f>
        <v/>
      </c>
    </row>
    <row r="319" spans="1:34" s="980" customFormat="1" x14ac:dyDescent="0.25">
      <c r="B319" s="971">
        <v>150</v>
      </c>
      <c r="C319" s="978" t="s">
        <v>134</v>
      </c>
      <c r="D319" s="978" t="s">
        <v>134</v>
      </c>
      <c r="E319" s="1106"/>
      <c r="F319" s="981"/>
      <c r="H319" s="971">
        <v>150</v>
      </c>
      <c r="I319" s="978">
        <v>0.8</v>
      </c>
      <c r="J319" s="978">
        <v>1</v>
      </c>
      <c r="K319" s="1106"/>
      <c r="L319" s="981"/>
      <c r="M319" s="971">
        <v>150</v>
      </c>
      <c r="N319" s="978">
        <v>-0.1</v>
      </c>
      <c r="O319" s="978">
        <v>-0.1</v>
      </c>
      <c r="P319" s="975">
        <v>0.6</v>
      </c>
      <c r="Q319" s="1103"/>
      <c r="R319" s="981"/>
      <c r="S319" s="971">
        <v>150</v>
      </c>
      <c r="T319" s="972" t="str">
        <f t="shared" si="193"/>
        <v>-</v>
      </c>
      <c r="U319" s="973">
        <f t="shared" si="194"/>
        <v>0.8</v>
      </c>
      <c r="V319" s="973">
        <f t="shared" si="195"/>
        <v>-0.1</v>
      </c>
      <c r="W319" s="974">
        <v>9.9999999999999992E-2</v>
      </c>
      <c r="X319" s="975">
        <f t="shared" si="196"/>
        <v>0.6</v>
      </c>
      <c r="Y319" s="976" t="str">
        <f t="shared" ref="Y319" si="201">D319</f>
        <v>-</v>
      </c>
      <c r="Z319" s="977">
        <f t="shared" si="198"/>
        <v>1</v>
      </c>
      <c r="AA319" s="977">
        <f t="shared" si="199"/>
        <v>-0.1</v>
      </c>
      <c r="AB319" s="974">
        <v>9.9999999999999992E-2</v>
      </c>
      <c r="AC319" s="975">
        <f t="shared" si="200"/>
        <v>0.6</v>
      </c>
      <c r="AD319" s="982"/>
      <c r="AE319" s="983"/>
      <c r="AF319" s="984">
        <f>ROWS(AE$11:$AE319)</f>
        <v>309</v>
      </c>
      <c r="AG319" s="984" t="str">
        <f>IF(ID!$A$83=AE319,AF319,"")</f>
        <v/>
      </c>
      <c r="AH319" s="984" t="str">
        <f>IFERROR(SMALL($AG$11:$AG$394,ROWS($AG$11:AG319)),"")</f>
        <v/>
      </c>
    </row>
    <row r="320" spans="1:34" s="980" customFormat="1" x14ac:dyDescent="0.25">
      <c r="B320" s="971">
        <v>200</v>
      </c>
      <c r="C320" s="978" t="s">
        <v>134</v>
      </c>
      <c r="D320" s="978" t="s">
        <v>134</v>
      </c>
      <c r="E320" s="1106"/>
      <c r="F320" s="981"/>
      <c r="H320" s="971">
        <v>200</v>
      </c>
      <c r="I320" s="978">
        <v>0.8</v>
      </c>
      <c r="J320" s="978">
        <v>1.1000000000000001</v>
      </c>
      <c r="K320" s="1106"/>
      <c r="L320" s="981"/>
      <c r="M320" s="971">
        <v>200</v>
      </c>
      <c r="N320" s="978">
        <v>-0.1</v>
      </c>
      <c r="O320" s="978">
        <v>-0.1</v>
      </c>
      <c r="P320" s="975">
        <v>0.8</v>
      </c>
      <c r="Q320" s="1103"/>
      <c r="R320" s="981"/>
      <c r="S320" s="971">
        <v>200</v>
      </c>
      <c r="T320" s="972" t="str">
        <f t="shared" si="193"/>
        <v>-</v>
      </c>
      <c r="U320" s="973">
        <f t="shared" si="194"/>
        <v>0.8</v>
      </c>
      <c r="V320" s="973">
        <f t="shared" si="195"/>
        <v>-0.1</v>
      </c>
      <c r="W320" s="974">
        <v>9.9999999999999992E-2</v>
      </c>
      <c r="X320" s="975">
        <f t="shared" si="196"/>
        <v>0.8</v>
      </c>
      <c r="Y320" s="976" t="str">
        <f>D320</f>
        <v>-</v>
      </c>
      <c r="Z320" s="977">
        <f t="shared" si="198"/>
        <v>1.1000000000000001</v>
      </c>
      <c r="AA320" s="977">
        <f t="shared" si="199"/>
        <v>-0.1</v>
      </c>
      <c r="AB320" s="974">
        <v>9.9999999999999992E-2</v>
      </c>
      <c r="AC320" s="975">
        <f t="shared" si="200"/>
        <v>0.8</v>
      </c>
      <c r="AD320" s="982"/>
      <c r="AE320" s="983"/>
      <c r="AF320" s="984">
        <f>ROWS(AE$11:$AE320)</f>
        <v>310</v>
      </c>
      <c r="AG320" s="984" t="str">
        <f>IF(ID!$A$83=AE320,AF320,"")</f>
        <v/>
      </c>
      <c r="AH320" s="984" t="str">
        <f>IFERROR(SMALL($AG$11:$AG$394,ROWS($AG$11:AG320)),"")</f>
        <v/>
      </c>
    </row>
    <row r="321" spans="1:34" s="980" customFormat="1" x14ac:dyDescent="0.25">
      <c r="B321" s="971">
        <v>250</v>
      </c>
      <c r="C321" s="978" t="s">
        <v>134</v>
      </c>
      <c r="D321" s="978" t="s">
        <v>134</v>
      </c>
      <c r="E321" s="1106"/>
      <c r="F321" s="981"/>
      <c r="H321" s="971">
        <v>250</v>
      </c>
      <c r="I321" s="978">
        <v>-0.1</v>
      </c>
      <c r="J321" s="978">
        <v>0.2</v>
      </c>
      <c r="K321" s="1106"/>
      <c r="L321" s="981"/>
      <c r="M321" s="971">
        <v>250</v>
      </c>
      <c r="N321" s="978">
        <v>-0.1</v>
      </c>
      <c r="O321" s="978">
        <v>-0.1</v>
      </c>
      <c r="P321" s="975">
        <v>0.8</v>
      </c>
      <c r="Q321" s="1103"/>
      <c r="R321" s="981"/>
      <c r="S321" s="971">
        <v>250</v>
      </c>
      <c r="T321" s="972" t="str">
        <f t="shared" si="193"/>
        <v>-</v>
      </c>
      <c r="U321" s="973">
        <f t="shared" si="194"/>
        <v>-0.1</v>
      </c>
      <c r="V321" s="973">
        <f t="shared" si="195"/>
        <v>-0.1</v>
      </c>
      <c r="W321" s="974">
        <v>9.9999999999999992E-2</v>
      </c>
      <c r="X321" s="975">
        <f t="shared" si="196"/>
        <v>0.8</v>
      </c>
      <c r="Y321" s="976" t="str">
        <f t="shared" ref="Y321:Y322" si="202">D321</f>
        <v>-</v>
      </c>
      <c r="Z321" s="977">
        <f t="shared" si="198"/>
        <v>0.2</v>
      </c>
      <c r="AA321" s="977">
        <f t="shared" si="199"/>
        <v>-0.1</v>
      </c>
      <c r="AB321" s="974">
        <v>9.9999999999999992E-2</v>
      </c>
      <c r="AC321" s="975">
        <f t="shared" si="200"/>
        <v>0.8</v>
      </c>
      <c r="AD321" s="982"/>
      <c r="AE321" s="983"/>
      <c r="AF321" s="984">
        <f>ROWS(AE$11:$AE321)</f>
        <v>311</v>
      </c>
      <c r="AG321" s="984" t="str">
        <f>IF(ID!$A$83=AE321,AF321,"")</f>
        <v/>
      </c>
      <c r="AH321" s="984" t="str">
        <f>IFERROR(SMALL($AG$11:$AG$394,ROWS($AG$11:AG321)),"")</f>
        <v/>
      </c>
    </row>
    <row r="322" spans="1:34" s="980" customFormat="1" x14ac:dyDescent="0.25">
      <c r="B322" s="971">
        <v>300</v>
      </c>
      <c r="C322" s="978" t="s">
        <v>134</v>
      </c>
      <c r="D322" s="978" t="s">
        <v>134</v>
      </c>
      <c r="E322" s="1107"/>
      <c r="F322" s="981"/>
      <c r="H322" s="971">
        <v>300</v>
      </c>
      <c r="I322" s="978">
        <v>0</v>
      </c>
      <c r="J322" s="978">
        <v>0.4</v>
      </c>
      <c r="K322" s="1107"/>
      <c r="L322" s="981"/>
      <c r="M322" s="971">
        <v>300</v>
      </c>
      <c r="N322" s="978">
        <v>-0.1</v>
      </c>
      <c r="O322" s="978">
        <v>-0.1</v>
      </c>
      <c r="P322" s="975">
        <v>0.6</v>
      </c>
      <c r="Q322" s="1104"/>
      <c r="R322" s="981"/>
      <c r="S322" s="971">
        <v>300</v>
      </c>
      <c r="T322" s="972" t="str">
        <f t="shared" si="193"/>
        <v>-</v>
      </c>
      <c r="U322" s="973">
        <f t="shared" si="194"/>
        <v>0</v>
      </c>
      <c r="V322" s="973">
        <f t="shared" si="195"/>
        <v>-0.1</v>
      </c>
      <c r="W322" s="974">
        <v>9.9999999999999992E-2</v>
      </c>
      <c r="X322" s="975">
        <f t="shared" si="196"/>
        <v>0.6</v>
      </c>
      <c r="Y322" s="976" t="str">
        <f t="shared" si="202"/>
        <v>-</v>
      </c>
      <c r="Z322" s="977">
        <f t="shared" si="198"/>
        <v>0.4</v>
      </c>
      <c r="AA322" s="977">
        <f t="shared" si="199"/>
        <v>-0.1</v>
      </c>
      <c r="AB322" s="974">
        <v>9.9999999999999992E-2</v>
      </c>
      <c r="AC322" s="975">
        <f t="shared" si="200"/>
        <v>0.6</v>
      </c>
      <c r="AD322" s="982"/>
      <c r="AE322" s="983"/>
      <c r="AF322" s="984">
        <f>ROWS(AE$11:$AE322)</f>
        <v>312</v>
      </c>
      <c r="AG322" s="984" t="str">
        <f>IF(ID!$A$83=AE322,AF322,"")</f>
        <v/>
      </c>
      <c r="AH322" s="984" t="str">
        <f>IFERROR(SMALL($AG$11:$AG$394,ROWS($AG$11:AG322)),"")</f>
        <v/>
      </c>
    </row>
    <row r="323" spans="1:34" x14ac:dyDescent="0.25">
      <c r="S323" s="230" t="s">
        <v>104</v>
      </c>
      <c r="T323" s="713"/>
      <c r="U323" s="714" t="s">
        <v>104</v>
      </c>
      <c r="V323" s="714"/>
      <c r="W323" s="534"/>
      <c r="X323" s="511" t="s">
        <v>104</v>
      </c>
      <c r="Y323" s="726"/>
      <c r="Z323" s="725"/>
      <c r="AA323" s="725"/>
      <c r="AB323" s="534"/>
      <c r="AC323" s="201"/>
      <c r="AD323" s="95"/>
      <c r="AE323" s="4"/>
      <c r="AF323" s="157">
        <f>ROWS(AE$11:$AE323)</f>
        <v>313</v>
      </c>
      <c r="AG323" s="157" t="str">
        <f>IF(ID!$A$83=AE323,AF323,"")</f>
        <v/>
      </c>
      <c r="AH323" s="157" t="str">
        <f>IFERROR(SMALL($AG$11:$AG$394,ROWS($AG$11:AG323)),"")</f>
        <v/>
      </c>
    </row>
    <row r="324" spans="1:34" x14ac:dyDescent="0.25">
      <c r="E324" s="13"/>
      <c r="F324" s="13"/>
      <c r="K324" s="13"/>
      <c r="L324" s="13"/>
      <c r="N324" s="13"/>
      <c r="O324" s="13"/>
      <c r="Q324" s="13"/>
      <c r="R324" s="13"/>
      <c r="S324" s="230" t="s">
        <v>104</v>
      </c>
      <c r="T324" s="713"/>
      <c r="U324" s="714" t="s">
        <v>104</v>
      </c>
      <c r="V324" s="714"/>
      <c r="W324" s="534"/>
      <c r="X324" s="201" t="s">
        <v>104</v>
      </c>
      <c r="Y324" s="725"/>
      <c r="Z324" s="725"/>
      <c r="AA324" s="725"/>
      <c r="AB324" s="534"/>
      <c r="AC324" s="201"/>
      <c r="AD324" s="95"/>
      <c r="AE324" s="4"/>
      <c r="AF324" s="157">
        <f>ROWS(AE$11:$AE324)</f>
        <v>314</v>
      </c>
      <c r="AG324" s="157" t="str">
        <f>IF(ID!$A$83=AE324,AF324,"")</f>
        <v/>
      </c>
      <c r="AH324" s="157" t="str">
        <f>IFERROR(SMALL($AG$11:$AG$394,ROWS($AG$11:AG324)),"")</f>
        <v/>
      </c>
    </row>
    <row r="325" spans="1:34" x14ac:dyDescent="0.25">
      <c r="S325" s="230" t="s">
        <v>104</v>
      </c>
      <c r="T325" s="713"/>
      <c r="U325" s="714" t="s">
        <v>104</v>
      </c>
      <c r="V325" s="714"/>
      <c r="W325" s="534"/>
      <c r="X325" s="201" t="s">
        <v>104</v>
      </c>
      <c r="Y325" s="725"/>
      <c r="Z325" s="725"/>
      <c r="AA325" s="725"/>
      <c r="AB325" s="534"/>
      <c r="AC325" s="201"/>
      <c r="AD325" s="95"/>
      <c r="AE325" s="4"/>
      <c r="AF325" s="157">
        <f>ROWS(AE$11:$AE325)</f>
        <v>315</v>
      </c>
      <c r="AG325" s="157" t="str">
        <f>IF(ID!$A$83=AE325,AF325,"")</f>
        <v/>
      </c>
      <c r="AH325" s="157" t="str">
        <f>IFERROR(SMALL($AG$11:$AG$394,ROWS($AG$11:AG325)),"")</f>
        <v/>
      </c>
    </row>
    <row r="326" spans="1:34" x14ac:dyDescent="0.25">
      <c r="S326" s="230" t="s">
        <v>104</v>
      </c>
      <c r="T326" s="713"/>
      <c r="U326" s="714" t="s">
        <v>104</v>
      </c>
      <c r="V326" s="714"/>
      <c r="W326" s="534"/>
      <c r="X326" s="201" t="s">
        <v>104</v>
      </c>
      <c r="Y326" s="725"/>
      <c r="Z326" s="725"/>
      <c r="AA326" s="725"/>
      <c r="AB326" s="534"/>
      <c r="AC326" s="201"/>
      <c r="AD326" s="95"/>
      <c r="AE326" s="4"/>
      <c r="AF326" s="157">
        <f>ROWS(AE$11:$AE326)</f>
        <v>316</v>
      </c>
      <c r="AG326" s="157" t="str">
        <f>IF(ID!$A$83=AE326,AF326,"")</f>
        <v/>
      </c>
      <c r="AH326" s="157" t="str">
        <f>IFERROR(SMALL($AG$11:$AG$394,ROWS($AG$11:AG326)),"")</f>
        <v/>
      </c>
    </row>
    <row r="327" spans="1:34" x14ac:dyDescent="0.25">
      <c r="E327" s="13"/>
      <c r="F327" s="13"/>
      <c r="K327" s="13"/>
      <c r="L327" s="13"/>
      <c r="N327" s="13"/>
      <c r="O327" s="13"/>
      <c r="Q327" s="13"/>
      <c r="R327" s="13"/>
      <c r="S327" s="231"/>
      <c r="AD327" s="13"/>
      <c r="AE327" s="13"/>
      <c r="AF327" s="157">
        <f>ROWS(AE$11:$AE327)</f>
        <v>317</v>
      </c>
      <c r="AG327" s="157" t="str">
        <f>IF(ID!$A$83=AE327,AF327,"")</f>
        <v/>
      </c>
      <c r="AH327" s="157" t="str">
        <f>IFERROR(SMALL($AG$11:$AG$394,ROWS($AG$11:AG327)),"")</f>
        <v/>
      </c>
    </row>
    <row r="328" spans="1:34" x14ac:dyDescent="0.25">
      <c r="A328" s="513"/>
      <c r="B328" s="513"/>
      <c r="C328" s="519"/>
      <c r="D328" s="525"/>
      <c r="E328" s="513"/>
      <c r="F328" s="513"/>
      <c r="G328" s="513"/>
      <c r="H328" s="513"/>
      <c r="I328" s="519"/>
      <c r="J328" s="525"/>
      <c r="K328" s="513"/>
      <c r="L328" s="513"/>
      <c r="M328" s="513"/>
      <c r="N328" s="513"/>
      <c r="O328" s="513"/>
      <c r="P328" s="513"/>
      <c r="Q328" s="513"/>
      <c r="R328" s="513"/>
      <c r="S328" s="514"/>
      <c r="T328" s="514"/>
      <c r="U328" s="514"/>
      <c r="V328" s="514"/>
      <c r="W328" s="514"/>
      <c r="X328" s="514"/>
      <c r="Y328" s="514"/>
      <c r="Z328" s="514"/>
      <c r="AA328" s="514"/>
      <c r="AB328" s="529"/>
      <c r="AC328" s="513"/>
      <c r="AD328" s="513"/>
      <c r="AE328" s="513"/>
      <c r="AF328" s="157">
        <f>ROWS(AE$11:$AE328)</f>
        <v>318</v>
      </c>
      <c r="AG328" s="157" t="str">
        <f>IF(ID!$A$83=AE328,AF328,"")</f>
        <v/>
      </c>
      <c r="AH328" s="157" t="str">
        <f>IFERROR(SMALL($AG$11:$AG$394,ROWS($AG$11:AG328)),"")</f>
        <v/>
      </c>
    </row>
    <row r="329" spans="1:34" x14ac:dyDescent="0.25">
      <c r="A329" s="513"/>
      <c r="B329" s="513"/>
      <c r="C329" s="519"/>
      <c r="D329" s="525"/>
      <c r="E329" s="513"/>
      <c r="F329" s="513"/>
      <c r="G329" s="513"/>
      <c r="H329" s="513"/>
      <c r="I329" s="519"/>
      <c r="J329" s="525"/>
      <c r="K329" s="513"/>
      <c r="L329" s="513"/>
      <c r="M329" s="513"/>
      <c r="N329" s="513"/>
      <c r="O329" s="513"/>
      <c r="P329" s="513"/>
      <c r="Q329" s="513"/>
      <c r="R329" s="513"/>
      <c r="S329" s="514"/>
      <c r="T329" s="514"/>
      <c r="U329" s="514"/>
      <c r="V329" s="514"/>
      <c r="W329" s="514"/>
      <c r="X329" s="514"/>
      <c r="Y329" s="514"/>
      <c r="Z329" s="514"/>
      <c r="AA329" s="514"/>
      <c r="AB329" s="529"/>
      <c r="AC329" s="513"/>
      <c r="AD329" s="513"/>
      <c r="AE329" s="513"/>
      <c r="AF329" s="157">
        <f>ROWS(AE$11:$AE329)</f>
        <v>319</v>
      </c>
      <c r="AG329" s="157" t="str">
        <f>IF(ID!$A$83=AE329,AF329,"")</f>
        <v/>
      </c>
      <c r="AH329" s="157" t="str">
        <f>IFERROR(SMALL($AG$11:$AG$394,ROWS($AG$11:AG329)),"")</f>
        <v/>
      </c>
    </row>
    <row r="330" spans="1:34" x14ac:dyDescent="0.25">
      <c r="A330" s="513"/>
      <c r="B330" s="513"/>
      <c r="C330" s="519"/>
      <c r="D330" s="525"/>
      <c r="E330" s="513"/>
      <c r="F330" s="513"/>
      <c r="G330" s="513"/>
      <c r="H330" s="513"/>
      <c r="I330" s="519"/>
      <c r="J330" s="525"/>
      <c r="K330" s="513"/>
      <c r="L330" s="513"/>
      <c r="M330" s="513"/>
      <c r="N330" s="513"/>
      <c r="O330" s="513"/>
      <c r="P330" s="513"/>
      <c r="Q330" s="513"/>
      <c r="R330" s="513"/>
      <c r="S330" s="514"/>
      <c r="T330" s="514"/>
      <c r="U330" s="514"/>
      <c r="V330" s="514"/>
      <c r="W330" s="514"/>
      <c r="X330" s="514"/>
      <c r="Y330" s="514"/>
      <c r="Z330" s="514"/>
      <c r="AA330" s="514"/>
      <c r="AB330" s="529"/>
      <c r="AC330" s="513"/>
      <c r="AD330" s="513"/>
      <c r="AE330" s="513"/>
      <c r="AF330" s="157">
        <f>ROWS(AE$11:$AE330)</f>
        <v>320</v>
      </c>
      <c r="AG330" s="157" t="str">
        <f>IF(ID!$A$83=AE330,AF330,"")</f>
        <v/>
      </c>
      <c r="AH330" s="157" t="str">
        <f>IFERROR(SMALL($AG$11:$AG$394,ROWS($AG$11:AG330)),"")</f>
        <v/>
      </c>
    </row>
    <row r="331" spans="1:34" x14ac:dyDescent="0.25">
      <c r="B331" s="1099" t="s">
        <v>400</v>
      </c>
      <c r="C331" s="1100"/>
      <c r="D331" s="1100"/>
      <c r="E331" s="1101"/>
      <c r="F331" s="233"/>
      <c r="H331" s="1099" t="s">
        <v>401</v>
      </c>
      <c r="I331" s="1100"/>
      <c r="J331" s="1100"/>
      <c r="K331" s="1101"/>
      <c r="L331" s="233"/>
      <c r="M331" s="1099" t="s">
        <v>195</v>
      </c>
      <c r="N331" s="1100"/>
      <c r="O331" s="1100"/>
      <c r="P331" s="1100"/>
      <c r="Q331" s="1101"/>
      <c r="S331" s="224" t="s">
        <v>48</v>
      </c>
      <c r="T331" s="700" t="s">
        <v>403</v>
      </c>
      <c r="U331" s="701" t="s">
        <v>402</v>
      </c>
      <c r="V331" s="701" t="s">
        <v>192</v>
      </c>
      <c r="W331" s="528" t="s">
        <v>172</v>
      </c>
      <c r="X331" s="197" t="s">
        <v>190</v>
      </c>
      <c r="Y331" s="718" t="s">
        <v>404</v>
      </c>
      <c r="Z331" s="719" t="s">
        <v>405</v>
      </c>
      <c r="AA331" s="719" t="s">
        <v>193</v>
      </c>
      <c r="AB331" s="528" t="s">
        <v>152</v>
      </c>
      <c r="AC331" s="197" t="s">
        <v>191</v>
      </c>
      <c r="AF331" s="157">
        <f>ROWS(AE$11:$AE331)</f>
        <v>321</v>
      </c>
      <c r="AG331" s="157" t="str">
        <f>IF(ID!$A$83=AE331,AF331,"")</f>
        <v/>
      </c>
      <c r="AH331" s="157" t="str">
        <f>IFERROR(SMALL($AG$11:$AG$394,ROWS($AG$11:AG331)),"")</f>
        <v/>
      </c>
    </row>
    <row r="332" spans="1:34" s="980" customFormat="1" x14ac:dyDescent="0.25">
      <c r="B332" s="971">
        <v>0</v>
      </c>
      <c r="C332" s="978" t="s">
        <v>134</v>
      </c>
      <c r="D332" s="978" t="s">
        <v>134</v>
      </c>
      <c r="E332" s="1105" t="s">
        <v>134</v>
      </c>
      <c r="F332" s="981"/>
      <c r="H332" s="971">
        <v>0</v>
      </c>
      <c r="I332" s="978">
        <v>0</v>
      </c>
      <c r="J332" s="978">
        <v>0</v>
      </c>
      <c r="K332" s="1105" t="s">
        <v>334</v>
      </c>
      <c r="L332" s="981"/>
      <c r="M332" s="971">
        <v>0</v>
      </c>
      <c r="N332" s="978">
        <v>0</v>
      </c>
      <c r="O332" s="978">
        <v>0</v>
      </c>
      <c r="P332" s="975">
        <v>0.6</v>
      </c>
      <c r="Q332" s="1102" t="s">
        <v>544</v>
      </c>
      <c r="R332" s="981"/>
      <c r="S332" s="971">
        <v>0</v>
      </c>
      <c r="T332" s="972" t="str">
        <f>C332</f>
        <v>-</v>
      </c>
      <c r="U332" s="973">
        <f>I332</f>
        <v>0</v>
      </c>
      <c r="V332" s="973">
        <f>N332</f>
        <v>0</v>
      </c>
      <c r="W332" s="974">
        <v>0.16666666666666666</v>
      </c>
      <c r="X332" s="975">
        <f>P332</f>
        <v>0.6</v>
      </c>
      <c r="Y332" s="976" t="str">
        <f>D332</f>
        <v>-</v>
      </c>
      <c r="Z332" s="977">
        <f>J332</f>
        <v>0</v>
      </c>
      <c r="AA332" s="977">
        <f>O332</f>
        <v>0</v>
      </c>
      <c r="AB332" s="974">
        <v>0.16666666666666666</v>
      </c>
      <c r="AC332" s="975">
        <f>P332</f>
        <v>0.6</v>
      </c>
      <c r="AD332" s="1001"/>
      <c r="AE332" s="983"/>
      <c r="AF332" s="984">
        <f>ROWS(AE$11:$AE332)</f>
        <v>322</v>
      </c>
      <c r="AG332" s="984" t="str">
        <f>IF(ID!$A$83=AE332,AF332,"")</f>
        <v/>
      </c>
      <c r="AH332" s="984" t="str">
        <f>IFERROR(SMALL($AG$11:$AG$394,ROWS($AG$11:AG332)),"")</f>
        <v/>
      </c>
    </row>
    <row r="333" spans="1:34" s="980" customFormat="1" x14ac:dyDescent="0.25">
      <c r="B333" s="971">
        <v>50</v>
      </c>
      <c r="C333" s="978" t="s">
        <v>134</v>
      </c>
      <c r="D333" s="978" t="s">
        <v>134</v>
      </c>
      <c r="E333" s="1106"/>
      <c r="F333" s="981"/>
      <c r="H333" s="971">
        <v>50</v>
      </c>
      <c r="I333" s="978">
        <v>0.5</v>
      </c>
      <c r="J333" s="978">
        <v>0.2</v>
      </c>
      <c r="K333" s="1106"/>
      <c r="L333" s="981"/>
      <c r="M333" s="971">
        <v>50</v>
      </c>
      <c r="N333" s="978">
        <v>0</v>
      </c>
      <c r="O333" s="978">
        <v>0</v>
      </c>
      <c r="P333" s="975">
        <v>0.6</v>
      </c>
      <c r="Q333" s="1103"/>
      <c r="R333" s="981"/>
      <c r="S333" s="971">
        <v>50</v>
      </c>
      <c r="T333" s="972" t="str">
        <f t="shared" ref="T333:T338" si="203">C333</f>
        <v>-</v>
      </c>
      <c r="U333" s="973">
        <f t="shared" ref="U333:U338" si="204">I333</f>
        <v>0.5</v>
      </c>
      <c r="V333" s="973">
        <f t="shared" ref="V333:V338" si="205">N333</f>
        <v>0</v>
      </c>
      <c r="W333" s="974">
        <v>0.16666666666666666</v>
      </c>
      <c r="X333" s="975">
        <f t="shared" ref="X333:X338" si="206">P333</f>
        <v>0.6</v>
      </c>
      <c r="Y333" s="976" t="str">
        <f t="shared" ref="Y333" si="207">D333</f>
        <v>-</v>
      </c>
      <c r="Z333" s="977">
        <f t="shared" ref="Z333:Z338" si="208">J333</f>
        <v>0.2</v>
      </c>
      <c r="AA333" s="977">
        <f t="shared" ref="AA333:AA338" si="209">O333</f>
        <v>0</v>
      </c>
      <c r="AB333" s="974">
        <v>0.16666666666666666</v>
      </c>
      <c r="AC333" s="975">
        <f t="shared" ref="AC333:AC338" si="210">P333</f>
        <v>0.6</v>
      </c>
      <c r="AD333" s="1001"/>
      <c r="AE333" s="983"/>
      <c r="AF333" s="984">
        <f>ROWS(AE$11:$AE333)</f>
        <v>323</v>
      </c>
      <c r="AG333" s="984" t="str">
        <f>IF(ID!$A$83=AE333,AF333,"")</f>
        <v/>
      </c>
      <c r="AH333" s="984" t="str">
        <f>IFERROR(SMALL($AG$11:$AG$394,ROWS($AG$11:AG333)),"")</f>
        <v/>
      </c>
    </row>
    <row r="334" spans="1:34" s="980" customFormat="1" x14ac:dyDescent="0.25">
      <c r="B334" s="971">
        <v>100</v>
      </c>
      <c r="C334" s="978" t="s">
        <v>134</v>
      </c>
      <c r="D334" s="978" t="s">
        <v>134</v>
      </c>
      <c r="E334" s="1106"/>
      <c r="F334" s="981"/>
      <c r="H334" s="971">
        <v>100</v>
      </c>
      <c r="I334" s="978">
        <v>0.5</v>
      </c>
      <c r="J334" s="978">
        <v>0.5</v>
      </c>
      <c r="K334" s="1106"/>
      <c r="L334" s="981"/>
      <c r="M334" s="971">
        <v>100</v>
      </c>
      <c r="N334" s="978">
        <v>-0.1</v>
      </c>
      <c r="O334" s="978">
        <v>-0.1</v>
      </c>
      <c r="P334" s="975">
        <v>0.6</v>
      </c>
      <c r="Q334" s="1103"/>
      <c r="R334" s="981"/>
      <c r="S334" s="971">
        <v>100</v>
      </c>
      <c r="T334" s="972" t="str">
        <f t="shared" si="203"/>
        <v>-</v>
      </c>
      <c r="U334" s="973">
        <f t="shared" si="204"/>
        <v>0.5</v>
      </c>
      <c r="V334" s="973">
        <f t="shared" si="205"/>
        <v>-0.1</v>
      </c>
      <c r="W334" s="974">
        <v>0.16666666666666666</v>
      </c>
      <c r="X334" s="975">
        <f t="shared" si="206"/>
        <v>0.6</v>
      </c>
      <c r="Y334" s="976" t="str">
        <f>D334</f>
        <v>-</v>
      </c>
      <c r="Z334" s="977">
        <f t="shared" si="208"/>
        <v>0.5</v>
      </c>
      <c r="AA334" s="977">
        <f t="shared" si="209"/>
        <v>-0.1</v>
      </c>
      <c r="AB334" s="974">
        <v>0.16666666666666666</v>
      </c>
      <c r="AC334" s="975">
        <f t="shared" si="210"/>
        <v>0.6</v>
      </c>
      <c r="AD334" s="1001"/>
      <c r="AE334" s="983"/>
      <c r="AF334" s="984">
        <f>ROWS(AE$11:$AE334)</f>
        <v>324</v>
      </c>
      <c r="AG334" s="984" t="str">
        <f>IF(ID!$A$83=AE334,AF334,"")</f>
        <v/>
      </c>
      <c r="AH334" s="984" t="str">
        <f>IFERROR(SMALL($AG$11:$AG$394,ROWS($AG$11:AG334)),"")</f>
        <v/>
      </c>
    </row>
    <row r="335" spans="1:34" s="980" customFormat="1" x14ac:dyDescent="0.25">
      <c r="B335" s="971">
        <v>150</v>
      </c>
      <c r="C335" s="978" t="s">
        <v>134</v>
      </c>
      <c r="D335" s="978" t="s">
        <v>134</v>
      </c>
      <c r="E335" s="1106"/>
      <c r="F335" s="981"/>
      <c r="H335" s="971">
        <v>150</v>
      </c>
      <c r="I335" s="978">
        <v>0.5</v>
      </c>
      <c r="J335" s="978">
        <v>0.5</v>
      </c>
      <c r="K335" s="1106"/>
      <c r="L335" s="981"/>
      <c r="M335" s="971">
        <v>150</v>
      </c>
      <c r="N335" s="978">
        <v>-0.1</v>
      </c>
      <c r="O335" s="978">
        <v>-0.1</v>
      </c>
      <c r="P335" s="975">
        <v>0.6</v>
      </c>
      <c r="Q335" s="1103"/>
      <c r="R335" s="981"/>
      <c r="S335" s="971">
        <v>150</v>
      </c>
      <c r="T335" s="972" t="str">
        <f t="shared" si="203"/>
        <v>-</v>
      </c>
      <c r="U335" s="973">
        <f t="shared" si="204"/>
        <v>0.5</v>
      </c>
      <c r="V335" s="973">
        <f t="shared" si="205"/>
        <v>-0.1</v>
      </c>
      <c r="W335" s="974">
        <v>0.16666666666666666</v>
      </c>
      <c r="X335" s="975">
        <f t="shared" si="206"/>
        <v>0.6</v>
      </c>
      <c r="Y335" s="976" t="str">
        <f t="shared" ref="Y335" si="211">D335</f>
        <v>-</v>
      </c>
      <c r="Z335" s="977">
        <f t="shared" si="208"/>
        <v>0.5</v>
      </c>
      <c r="AA335" s="977">
        <f t="shared" si="209"/>
        <v>-0.1</v>
      </c>
      <c r="AB335" s="974">
        <v>0.16666666666666666</v>
      </c>
      <c r="AC335" s="975">
        <f t="shared" si="210"/>
        <v>0.6</v>
      </c>
      <c r="AD335" s="1001"/>
      <c r="AE335" s="983"/>
      <c r="AF335" s="984">
        <f>ROWS(AE$11:$AE335)</f>
        <v>325</v>
      </c>
      <c r="AG335" s="984" t="str">
        <f>IF(ID!$A$83=AE335,AF335,"")</f>
        <v/>
      </c>
      <c r="AH335" s="984" t="str">
        <f>IFERROR(SMALL($AG$11:$AG$394,ROWS($AG$11:AG335)),"")</f>
        <v/>
      </c>
    </row>
    <row r="336" spans="1:34" s="980" customFormat="1" x14ac:dyDescent="0.25">
      <c r="B336" s="971">
        <v>200</v>
      </c>
      <c r="C336" s="978" t="s">
        <v>134</v>
      </c>
      <c r="D336" s="978" t="s">
        <v>134</v>
      </c>
      <c r="E336" s="1106"/>
      <c r="F336" s="981"/>
      <c r="H336" s="971">
        <v>200</v>
      </c>
      <c r="I336" s="978">
        <v>0.7</v>
      </c>
      <c r="J336" s="978">
        <v>0.7</v>
      </c>
      <c r="K336" s="1106"/>
      <c r="L336" s="981"/>
      <c r="M336" s="971">
        <v>200</v>
      </c>
      <c r="N336" s="978">
        <v>-0.1</v>
      </c>
      <c r="O336" s="978">
        <v>-0.1</v>
      </c>
      <c r="P336" s="975">
        <v>0.6</v>
      </c>
      <c r="Q336" s="1103"/>
      <c r="R336" s="981"/>
      <c r="S336" s="971">
        <v>200</v>
      </c>
      <c r="T336" s="972" t="str">
        <f t="shared" si="203"/>
        <v>-</v>
      </c>
      <c r="U336" s="973">
        <f t="shared" si="204"/>
        <v>0.7</v>
      </c>
      <c r="V336" s="973">
        <f t="shared" si="205"/>
        <v>-0.1</v>
      </c>
      <c r="W336" s="974">
        <v>0.16666666666666666</v>
      </c>
      <c r="X336" s="975">
        <f t="shared" si="206"/>
        <v>0.6</v>
      </c>
      <c r="Y336" s="976" t="str">
        <f>D336</f>
        <v>-</v>
      </c>
      <c r="Z336" s="977">
        <f t="shared" si="208"/>
        <v>0.7</v>
      </c>
      <c r="AA336" s="977">
        <f t="shared" si="209"/>
        <v>-0.1</v>
      </c>
      <c r="AB336" s="974">
        <v>0.16666666666666666</v>
      </c>
      <c r="AC336" s="975">
        <f t="shared" si="210"/>
        <v>0.6</v>
      </c>
      <c r="AD336" s="1001"/>
      <c r="AE336" s="983"/>
      <c r="AF336" s="984">
        <f>ROWS(AE$11:$AE336)</f>
        <v>326</v>
      </c>
      <c r="AG336" s="984" t="str">
        <f>IF(ID!$A$83=AE336,AF336,"")</f>
        <v/>
      </c>
      <c r="AH336" s="984" t="str">
        <f>IFERROR(SMALL($AG$11:$AG$394,ROWS($AG$11:AG336)),"")</f>
        <v/>
      </c>
    </row>
    <row r="337" spans="1:34" s="980" customFormat="1" x14ac:dyDescent="0.25">
      <c r="B337" s="971">
        <v>250</v>
      </c>
      <c r="C337" s="978" t="s">
        <v>134</v>
      </c>
      <c r="D337" s="978" t="s">
        <v>134</v>
      </c>
      <c r="E337" s="1106"/>
      <c r="F337" s="981"/>
      <c r="H337" s="971">
        <v>250</v>
      </c>
      <c r="I337" s="978">
        <v>1</v>
      </c>
      <c r="J337" s="978">
        <v>1</v>
      </c>
      <c r="K337" s="1106"/>
      <c r="L337" s="981"/>
      <c r="M337" s="971">
        <v>250</v>
      </c>
      <c r="N337" s="978">
        <v>-0.1</v>
      </c>
      <c r="O337" s="978">
        <v>-0.1</v>
      </c>
      <c r="P337" s="975">
        <v>0.6</v>
      </c>
      <c r="Q337" s="1103"/>
      <c r="R337" s="981"/>
      <c r="S337" s="971">
        <v>250</v>
      </c>
      <c r="T337" s="972" t="str">
        <f t="shared" si="203"/>
        <v>-</v>
      </c>
      <c r="U337" s="973">
        <f t="shared" si="204"/>
        <v>1</v>
      </c>
      <c r="V337" s="973">
        <f t="shared" si="205"/>
        <v>-0.1</v>
      </c>
      <c r="W337" s="974">
        <v>0.16666666666666666</v>
      </c>
      <c r="X337" s="975">
        <f t="shared" si="206"/>
        <v>0.6</v>
      </c>
      <c r="Y337" s="976" t="str">
        <f t="shared" ref="Y337:Y338" si="212">D337</f>
        <v>-</v>
      </c>
      <c r="Z337" s="977">
        <f t="shared" si="208"/>
        <v>1</v>
      </c>
      <c r="AA337" s="977">
        <f t="shared" si="209"/>
        <v>-0.1</v>
      </c>
      <c r="AB337" s="974">
        <v>0.16666666666666666</v>
      </c>
      <c r="AC337" s="975">
        <f t="shared" si="210"/>
        <v>0.6</v>
      </c>
      <c r="AD337" s="1001"/>
      <c r="AE337" s="983"/>
      <c r="AF337" s="984">
        <f>ROWS(AE$11:$AE337)</f>
        <v>327</v>
      </c>
      <c r="AG337" s="984" t="str">
        <f>IF(ID!$A$83=AE337,AF337,"")</f>
        <v/>
      </c>
      <c r="AH337" s="984" t="str">
        <f>IFERROR(SMALL($AG$11:$AG$394,ROWS($AG$11:AG337)),"")</f>
        <v/>
      </c>
    </row>
    <row r="338" spans="1:34" s="980" customFormat="1" x14ac:dyDescent="0.25">
      <c r="B338" s="971">
        <v>300</v>
      </c>
      <c r="C338" s="978" t="s">
        <v>134</v>
      </c>
      <c r="D338" s="978" t="s">
        <v>134</v>
      </c>
      <c r="E338" s="1107"/>
      <c r="F338" s="981"/>
      <c r="H338" s="971">
        <v>300</v>
      </c>
      <c r="I338" s="978">
        <v>0.7</v>
      </c>
      <c r="J338" s="978">
        <v>0.9</v>
      </c>
      <c r="K338" s="1107"/>
      <c r="L338" s="981"/>
      <c r="M338" s="971">
        <v>300</v>
      </c>
      <c r="N338" s="978">
        <v>-0.1</v>
      </c>
      <c r="O338" s="978">
        <v>-0.1</v>
      </c>
      <c r="P338" s="975">
        <v>0.6</v>
      </c>
      <c r="Q338" s="1104"/>
      <c r="R338" s="981"/>
      <c r="S338" s="971">
        <v>300</v>
      </c>
      <c r="T338" s="972" t="str">
        <f t="shared" si="203"/>
        <v>-</v>
      </c>
      <c r="U338" s="973">
        <f t="shared" si="204"/>
        <v>0.7</v>
      </c>
      <c r="V338" s="973">
        <f t="shared" si="205"/>
        <v>-0.1</v>
      </c>
      <c r="W338" s="974">
        <v>0.16666666666666666</v>
      </c>
      <c r="X338" s="975">
        <f t="shared" si="206"/>
        <v>0.6</v>
      </c>
      <c r="Y338" s="976" t="str">
        <f t="shared" si="212"/>
        <v>-</v>
      </c>
      <c r="Z338" s="977">
        <f t="shared" si="208"/>
        <v>0.9</v>
      </c>
      <c r="AA338" s="977">
        <f t="shared" si="209"/>
        <v>-0.1</v>
      </c>
      <c r="AB338" s="974">
        <v>0.16666666666666666</v>
      </c>
      <c r="AC338" s="975">
        <f t="shared" si="210"/>
        <v>0.6</v>
      </c>
      <c r="AD338" s="1001"/>
      <c r="AE338" s="983"/>
      <c r="AF338" s="984">
        <f>ROWS(AE$11:$AE338)</f>
        <v>328</v>
      </c>
      <c r="AG338" s="984" t="str">
        <f>IF(ID!$A$83=AE338,AF338,"")</f>
        <v/>
      </c>
      <c r="AH338" s="984" t="str">
        <f>IFERROR(SMALL($AG$11:$AG$394,ROWS($AG$11:AG338)),"")</f>
        <v/>
      </c>
    </row>
    <row r="339" spans="1:34" s="980" customFormat="1" x14ac:dyDescent="0.25">
      <c r="S339" s="991" t="s">
        <v>104</v>
      </c>
      <c r="T339" s="992"/>
      <c r="U339" s="993" t="s">
        <v>104</v>
      </c>
      <c r="V339" s="993"/>
      <c r="W339" s="994"/>
      <c r="X339" s="995" t="s">
        <v>104</v>
      </c>
      <c r="Y339" s="996"/>
      <c r="Z339" s="997"/>
      <c r="AA339" s="997"/>
      <c r="AB339" s="994"/>
      <c r="AC339" s="998"/>
      <c r="AD339" s="999"/>
      <c r="AE339" s="983"/>
      <c r="AF339" s="984">
        <f>ROWS(AE$11:$AE339)</f>
        <v>329</v>
      </c>
      <c r="AG339" s="984" t="str">
        <f>IF(ID!$A$83=AE339,AF339,"")</f>
        <v/>
      </c>
      <c r="AH339" s="984" t="str">
        <f>IFERROR(SMALL($AG$11:$AG$394,ROWS($AG$11:AG339)),"")</f>
        <v/>
      </c>
    </row>
    <row r="340" spans="1:34" x14ac:dyDescent="0.25">
      <c r="E340" s="13"/>
      <c r="F340" s="13"/>
      <c r="K340" s="13"/>
      <c r="L340" s="13"/>
      <c r="N340" s="13"/>
      <c r="O340" s="13"/>
      <c r="Q340" s="13"/>
      <c r="R340" s="13"/>
      <c r="S340" s="230" t="s">
        <v>104</v>
      </c>
      <c r="T340" s="713"/>
      <c r="U340" s="714" t="s">
        <v>104</v>
      </c>
      <c r="V340" s="714"/>
      <c r="W340" s="534"/>
      <c r="X340" s="201" t="s">
        <v>104</v>
      </c>
      <c r="Y340" s="725"/>
      <c r="Z340" s="725"/>
      <c r="AA340" s="725"/>
      <c r="AB340" s="534"/>
      <c r="AC340" s="201"/>
      <c r="AD340" s="95"/>
      <c r="AE340" s="4"/>
      <c r="AF340" s="157">
        <f>ROWS(AE$11:$AE340)</f>
        <v>330</v>
      </c>
      <c r="AG340" s="157" t="str">
        <f>IF(ID!$A$83=AE340,AF340,"")</f>
        <v/>
      </c>
      <c r="AH340" s="157" t="str">
        <f>IFERROR(SMALL($AG$11:$AG$394,ROWS($AG$11:AG340)),"")</f>
        <v/>
      </c>
    </row>
    <row r="341" spans="1:34" x14ac:dyDescent="0.25">
      <c r="S341" s="230" t="s">
        <v>104</v>
      </c>
      <c r="T341" s="713"/>
      <c r="U341" s="714" t="s">
        <v>104</v>
      </c>
      <c r="V341" s="714"/>
      <c r="W341" s="534"/>
      <c r="X341" s="201" t="s">
        <v>104</v>
      </c>
      <c r="Y341" s="725"/>
      <c r="Z341" s="725"/>
      <c r="AA341" s="725"/>
      <c r="AB341" s="534"/>
      <c r="AC341" s="201"/>
      <c r="AD341" s="95"/>
      <c r="AE341" s="4"/>
      <c r="AF341" s="157">
        <f>ROWS(AE$11:$AE341)</f>
        <v>331</v>
      </c>
      <c r="AG341" s="157" t="str">
        <f>IF(ID!$A$83=AE341,AF341,"")</f>
        <v/>
      </c>
      <c r="AH341" s="157" t="str">
        <f>IFERROR(SMALL($AG$11:$AG$394,ROWS($AG$11:AG341)),"")</f>
        <v/>
      </c>
    </row>
    <row r="342" spans="1:34" x14ac:dyDescent="0.25">
      <c r="S342" s="230" t="s">
        <v>104</v>
      </c>
      <c r="T342" s="713"/>
      <c r="U342" s="714" t="s">
        <v>104</v>
      </c>
      <c r="V342" s="714"/>
      <c r="W342" s="534"/>
      <c r="X342" s="201" t="s">
        <v>104</v>
      </c>
      <c r="Y342" s="725"/>
      <c r="Z342" s="725"/>
      <c r="AA342" s="725"/>
      <c r="AB342" s="534"/>
      <c r="AC342" s="201"/>
      <c r="AD342" s="95"/>
      <c r="AE342" s="4"/>
      <c r="AF342" s="157">
        <f>ROWS(AE$11:$AE342)</f>
        <v>332</v>
      </c>
      <c r="AG342" s="157" t="str">
        <f>IF(ID!$A$83=AE342,AF342,"")</f>
        <v/>
      </c>
      <c r="AH342" s="157" t="str">
        <f>IFERROR(SMALL($AG$11:$AG$394,ROWS($AG$11:AG342)),"")</f>
        <v/>
      </c>
    </row>
    <row r="343" spans="1:34" x14ac:dyDescent="0.25">
      <c r="E343" s="13"/>
      <c r="F343" s="13"/>
      <c r="K343" s="13"/>
      <c r="L343" s="13"/>
      <c r="N343" s="13"/>
      <c r="O343" s="13"/>
      <c r="Q343" s="13"/>
      <c r="R343" s="13"/>
      <c r="S343" s="231"/>
      <c r="AD343" s="13"/>
      <c r="AE343" s="13"/>
      <c r="AF343" s="157">
        <f>ROWS(AE$11:$AE343)</f>
        <v>333</v>
      </c>
      <c r="AG343" s="157" t="str">
        <f>IF(ID!$A$83=AE343,AF343,"")</f>
        <v/>
      </c>
      <c r="AH343" s="157" t="str">
        <f>IFERROR(SMALL($AG$11:$AG$394,ROWS($AG$11:AG343)),"")</f>
        <v/>
      </c>
    </row>
    <row r="344" spans="1:34" x14ac:dyDescent="0.25">
      <c r="A344" s="513"/>
      <c r="B344" s="513"/>
      <c r="C344" s="519"/>
      <c r="D344" s="525"/>
      <c r="E344" s="513"/>
      <c r="F344" s="513"/>
      <c r="G344" s="513"/>
      <c r="H344" s="513"/>
      <c r="I344" s="519"/>
      <c r="J344" s="525"/>
      <c r="K344" s="513"/>
      <c r="L344" s="513"/>
      <c r="M344" s="513"/>
      <c r="N344" s="513"/>
      <c r="O344" s="513"/>
      <c r="P344" s="513"/>
      <c r="Q344" s="513"/>
      <c r="R344" s="513"/>
      <c r="S344" s="514"/>
      <c r="T344" s="514"/>
      <c r="U344" s="514"/>
      <c r="V344" s="514"/>
      <c r="W344" s="514"/>
      <c r="X344" s="514"/>
      <c r="Y344" s="514"/>
      <c r="Z344" s="514"/>
      <c r="AA344" s="514"/>
      <c r="AB344" s="514"/>
      <c r="AC344" s="513"/>
      <c r="AD344" s="513"/>
      <c r="AE344" s="513"/>
      <c r="AF344" s="157">
        <f>ROWS(AE$11:$AE344)</f>
        <v>334</v>
      </c>
      <c r="AG344" s="157" t="str">
        <f>IF(ID!$A$83=AE344,AF344,"")</f>
        <v/>
      </c>
      <c r="AH344" s="157" t="str">
        <f>IFERROR(SMALL($AG$11:$AG$394,ROWS($AG$11:AG344)),"")</f>
        <v/>
      </c>
    </row>
    <row r="345" spans="1:34" x14ac:dyDescent="0.25">
      <c r="A345" s="513"/>
      <c r="B345" s="513"/>
      <c r="C345" s="519"/>
      <c r="D345" s="525"/>
      <c r="E345" s="513"/>
      <c r="F345" s="513"/>
      <c r="G345" s="513"/>
      <c r="H345" s="513"/>
      <c r="I345" s="519"/>
      <c r="J345" s="525"/>
      <c r="K345" s="513"/>
      <c r="L345" s="513"/>
      <c r="M345" s="513"/>
      <c r="N345" s="513"/>
      <c r="O345" s="513"/>
      <c r="P345" s="513"/>
      <c r="Q345" s="513"/>
      <c r="R345" s="513"/>
      <c r="S345" s="514"/>
      <c r="T345" s="514"/>
      <c r="U345" s="514"/>
      <c r="V345" s="514"/>
      <c r="W345" s="514"/>
      <c r="X345" s="514"/>
      <c r="Y345" s="514"/>
      <c r="Z345" s="514"/>
      <c r="AA345" s="514"/>
      <c r="AB345" s="514"/>
      <c r="AC345" s="513"/>
      <c r="AD345" s="513"/>
      <c r="AE345" s="513"/>
      <c r="AF345" s="157">
        <f>ROWS(AE$11:$AE345)</f>
        <v>335</v>
      </c>
      <c r="AG345" s="157" t="str">
        <f>IF(ID!$A$83=AE345,AF345,"")</f>
        <v/>
      </c>
      <c r="AH345" s="157" t="str">
        <f>IFERROR(SMALL($AG$11:$AG$394,ROWS($AG$11:AG345)),"")</f>
        <v/>
      </c>
    </row>
    <row r="346" spans="1:34" x14ac:dyDescent="0.25">
      <c r="A346" s="513"/>
      <c r="B346" s="513"/>
      <c r="C346" s="519"/>
      <c r="D346" s="525"/>
      <c r="E346" s="513"/>
      <c r="F346" s="513"/>
      <c r="G346" s="513"/>
      <c r="H346" s="513"/>
      <c r="I346" s="519"/>
      <c r="J346" s="525"/>
      <c r="K346" s="513"/>
      <c r="L346" s="513"/>
      <c r="M346" s="513"/>
      <c r="N346" s="513"/>
      <c r="O346" s="513"/>
      <c r="P346" s="513"/>
      <c r="Q346" s="513"/>
      <c r="R346" s="513"/>
      <c r="S346" s="514"/>
      <c r="T346" s="514"/>
      <c r="U346" s="514"/>
      <c r="V346" s="514"/>
      <c r="W346" s="514"/>
      <c r="X346" s="514"/>
      <c r="Y346" s="514"/>
      <c r="Z346" s="514"/>
      <c r="AA346" s="514"/>
      <c r="AB346" s="514"/>
      <c r="AC346" s="513"/>
      <c r="AD346" s="513"/>
      <c r="AE346" s="513"/>
      <c r="AF346" s="157">
        <f>ROWS(AE$11:$AE346)</f>
        <v>336</v>
      </c>
      <c r="AG346" s="157" t="str">
        <f>IF(ID!$A$83=AE346,AF346,"")</f>
        <v/>
      </c>
      <c r="AH346" s="157" t="str">
        <f>IFERROR(SMALL($AG$11:$AG$394,ROWS($AG$11:AG346)),"")</f>
        <v/>
      </c>
    </row>
    <row r="347" spans="1:34" x14ac:dyDescent="0.25">
      <c r="B347" s="1099" t="s">
        <v>400</v>
      </c>
      <c r="C347" s="1100"/>
      <c r="D347" s="1100"/>
      <c r="E347" s="1101"/>
      <c r="F347" s="233"/>
      <c r="H347" s="1099" t="s">
        <v>401</v>
      </c>
      <c r="I347" s="1100"/>
      <c r="J347" s="1100"/>
      <c r="K347" s="1101"/>
      <c r="L347" s="233"/>
      <c r="M347" s="1099" t="s">
        <v>195</v>
      </c>
      <c r="N347" s="1100"/>
      <c r="O347" s="1100"/>
      <c r="P347" s="1100"/>
      <c r="Q347" s="1101"/>
      <c r="S347" s="224" t="s">
        <v>48</v>
      </c>
      <c r="T347" s="700" t="s">
        <v>403</v>
      </c>
      <c r="U347" s="701" t="s">
        <v>402</v>
      </c>
      <c r="V347" s="701" t="s">
        <v>192</v>
      </c>
      <c r="W347" s="528" t="s">
        <v>172</v>
      </c>
      <c r="X347" s="197" t="s">
        <v>190</v>
      </c>
      <c r="Y347" s="718" t="s">
        <v>404</v>
      </c>
      <c r="Z347" s="719" t="s">
        <v>405</v>
      </c>
      <c r="AA347" s="719" t="s">
        <v>193</v>
      </c>
      <c r="AB347" s="528" t="s">
        <v>152</v>
      </c>
      <c r="AC347" s="197" t="s">
        <v>191</v>
      </c>
      <c r="AF347" s="157">
        <f>ROWS(AE$11:$AE347)</f>
        <v>337</v>
      </c>
      <c r="AG347" s="157" t="str">
        <f>IF(ID!$A$83=AE347,AF347,"")</f>
        <v/>
      </c>
      <c r="AH347" s="157" t="str">
        <f>IFERROR(SMALL($AG$11:$AG$394,ROWS($AG$11:AG347)),"")</f>
        <v/>
      </c>
    </row>
    <row r="348" spans="1:34" s="980" customFormat="1" x14ac:dyDescent="0.25">
      <c r="B348" s="971">
        <v>0</v>
      </c>
      <c r="C348" s="978" t="s">
        <v>134</v>
      </c>
      <c r="D348" s="978" t="s">
        <v>134</v>
      </c>
      <c r="E348" s="1105" t="s">
        <v>134</v>
      </c>
      <c r="F348" s="981"/>
      <c r="H348" s="971">
        <v>0</v>
      </c>
      <c r="I348" s="978">
        <v>0</v>
      </c>
      <c r="J348" s="978">
        <v>0</v>
      </c>
      <c r="K348" s="1105" t="s">
        <v>334</v>
      </c>
      <c r="L348" s="981"/>
      <c r="M348" s="971">
        <v>0</v>
      </c>
      <c r="N348" s="978">
        <v>0.1</v>
      </c>
      <c r="O348" s="978">
        <v>0.1</v>
      </c>
      <c r="P348" s="975">
        <v>0.6</v>
      </c>
      <c r="Q348" s="1102" t="s">
        <v>544</v>
      </c>
      <c r="R348" s="981"/>
      <c r="S348" s="971">
        <v>0</v>
      </c>
      <c r="T348" s="972" t="str">
        <f>C348</f>
        <v>-</v>
      </c>
      <c r="U348" s="973">
        <f>I348</f>
        <v>0</v>
      </c>
      <c r="V348" s="973">
        <f>N348</f>
        <v>0.1</v>
      </c>
      <c r="W348" s="974">
        <v>0.16666666666666666</v>
      </c>
      <c r="X348" s="975">
        <f>P348</f>
        <v>0.6</v>
      </c>
      <c r="Y348" s="976" t="str">
        <f>D348</f>
        <v>-</v>
      </c>
      <c r="Z348" s="977">
        <f>J348</f>
        <v>0</v>
      </c>
      <c r="AA348" s="977">
        <f>O348</f>
        <v>0.1</v>
      </c>
      <c r="AB348" s="974">
        <v>0.16666666666666666</v>
      </c>
      <c r="AC348" s="975">
        <f>P348</f>
        <v>0.6</v>
      </c>
      <c r="AD348" s="982"/>
      <c r="AE348" s="983"/>
      <c r="AF348" s="984">
        <f>ROWS(AE$11:$AE348)</f>
        <v>338</v>
      </c>
      <c r="AG348" s="984" t="str">
        <f>IF(ID!$A$83=AE348,AF348,"")</f>
        <v/>
      </c>
      <c r="AH348" s="984" t="str">
        <f>IFERROR(SMALL($AG$11:$AG$394,ROWS($AG$11:AG348)),"")</f>
        <v/>
      </c>
    </row>
    <row r="349" spans="1:34" s="980" customFormat="1" x14ac:dyDescent="0.25">
      <c r="B349" s="971">
        <v>50</v>
      </c>
      <c r="C349" s="978" t="s">
        <v>134</v>
      </c>
      <c r="D349" s="978" t="s">
        <v>134</v>
      </c>
      <c r="E349" s="1106"/>
      <c r="F349" s="981"/>
      <c r="H349" s="971">
        <v>50</v>
      </c>
      <c r="I349" s="978">
        <v>-0.3</v>
      </c>
      <c r="J349" s="978">
        <v>-0.5</v>
      </c>
      <c r="K349" s="1106"/>
      <c r="L349" s="981"/>
      <c r="M349" s="971">
        <v>50</v>
      </c>
      <c r="N349" s="978">
        <v>0.4</v>
      </c>
      <c r="O349" s="978">
        <v>0.4</v>
      </c>
      <c r="P349" s="975">
        <v>0.6</v>
      </c>
      <c r="Q349" s="1103"/>
      <c r="R349" s="981"/>
      <c r="S349" s="971">
        <v>50</v>
      </c>
      <c r="T349" s="972" t="str">
        <f t="shared" ref="T349:T354" si="213">C349</f>
        <v>-</v>
      </c>
      <c r="U349" s="973">
        <f t="shared" ref="U349:U354" si="214">I349</f>
        <v>-0.3</v>
      </c>
      <c r="V349" s="973">
        <f t="shared" ref="V349:V354" si="215">N349</f>
        <v>0.4</v>
      </c>
      <c r="W349" s="974">
        <v>0.16666666666666666</v>
      </c>
      <c r="X349" s="975">
        <f t="shared" ref="X349:X354" si="216">P349</f>
        <v>0.6</v>
      </c>
      <c r="Y349" s="976" t="str">
        <f t="shared" ref="Y349" si="217">D349</f>
        <v>-</v>
      </c>
      <c r="Z349" s="977">
        <f t="shared" ref="Z349:Z354" si="218">J349</f>
        <v>-0.5</v>
      </c>
      <c r="AA349" s="977">
        <f t="shared" ref="AA349:AA354" si="219">O349</f>
        <v>0.4</v>
      </c>
      <c r="AB349" s="974">
        <v>0.16666666666666666</v>
      </c>
      <c r="AC349" s="975">
        <f t="shared" ref="AC349:AC354" si="220">P349</f>
        <v>0.6</v>
      </c>
      <c r="AD349" s="982"/>
      <c r="AE349" s="983"/>
      <c r="AF349" s="984">
        <f>ROWS(AE$11:$AE349)</f>
        <v>339</v>
      </c>
      <c r="AG349" s="984" t="str">
        <f>IF(ID!$A$83=AE349,AF349,"")</f>
        <v/>
      </c>
      <c r="AH349" s="984" t="str">
        <f>IFERROR(SMALL($AG$11:$AG$394,ROWS($AG$11:AG349)),"")</f>
        <v/>
      </c>
    </row>
    <row r="350" spans="1:34" s="980" customFormat="1" x14ac:dyDescent="0.25">
      <c r="B350" s="971">
        <v>100</v>
      </c>
      <c r="C350" s="978" t="s">
        <v>134</v>
      </c>
      <c r="D350" s="978" t="s">
        <v>134</v>
      </c>
      <c r="E350" s="1106"/>
      <c r="F350" s="981"/>
      <c r="H350" s="971">
        <v>100</v>
      </c>
      <c r="I350" s="978">
        <v>-0.5</v>
      </c>
      <c r="J350" s="978">
        <v>-0.5</v>
      </c>
      <c r="K350" s="1106"/>
      <c r="L350" s="981"/>
      <c r="M350" s="971">
        <v>100</v>
      </c>
      <c r="N350" s="978">
        <v>0.5</v>
      </c>
      <c r="O350" s="978">
        <v>0.5</v>
      </c>
      <c r="P350" s="975">
        <v>0.6</v>
      </c>
      <c r="Q350" s="1103"/>
      <c r="R350" s="981"/>
      <c r="S350" s="971">
        <v>100</v>
      </c>
      <c r="T350" s="972" t="str">
        <f t="shared" si="213"/>
        <v>-</v>
      </c>
      <c r="U350" s="973">
        <f t="shared" si="214"/>
        <v>-0.5</v>
      </c>
      <c r="V350" s="973">
        <f t="shared" si="215"/>
        <v>0.5</v>
      </c>
      <c r="W350" s="974">
        <v>0.16666666666666666</v>
      </c>
      <c r="X350" s="975">
        <f t="shared" si="216"/>
        <v>0.6</v>
      </c>
      <c r="Y350" s="976" t="str">
        <f>D350</f>
        <v>-</v>
      </c>
      <c r="Z350" s="977">
        <f t="shared" si="218"/>
        <v>-0.5</v>
      </c>
      <c r="AA350" s="977">
        <f t="shared" si="219"/>
        <v>0.5</v>
      </c>
      <c r="AB350" s="974">
        <v>0.16666666666666666</v>
      </c>
      <c r="AC350" s="975">
        <f t="shared" si="220"/>
        <v>0.6</v>
      </c>
      <c r="AD350" s="982"/>
      <c r="AE350" s="983"/>
      <c r="AF350" s="984">
        <f>ROWS(AE$11:$AE350)</f>
        <v>340</v>
      </c>
      <c r="AG350" s="984" t="str">
        <f>IF(ID!$A$83=AE350,AF350,"")</f>
        <v/>
      </c>
      <c r="AH350" s="984" t="str">
        <f>IFERROR(SMALL($AG$11:$AG$394,ROWS($AG$11:AG350)),"")</f>
        <v/>
      </c>
    </row>
    <row r="351" spans="1:34" s="980" customFormat="1" x14ac:dyDescent="0.25">
      <c r="B351" s="971">
        <v>150</v>
      </c>
      <c r="C351" s="978" t="s">
        <v>134</v>
      </c>
      <c r="D351" s="978" t="s">
        <v>134</v>
      </c>
      <c r="E351" s="1106"/>
      <c r="F351" s="981"/>
      <c r="H351" s="971">
        <v>150</v>
      </c>
      <c r="I351" s="978">
        <v>-0.5</v>
      </c>
      <c r="J351" s="978">
        <v>-0.5</v>
      </c>
      <c r="K351" s="1106"/>
      <c r="L351" s="981"/>
      <c r="M351" s="971">
        <v>150</v>
      </c>
      <c r="N351" s="978">
        <v>0.7</v>
      </c>
      <c r="O351" s="978">
        <v>0.7</v>
      </c>
      <c r="P351" s="975">
        <v>0.6</v>
      </c>
      <c r="Q351" s="1103"/>
      <c r="R351" s="981"/>
      <c r="S351" s="971">
        <v>150</v>
      </c>
      <c r="T351" s="972" t="str">
        <f t="shared" si="213"/>
        <v>-</v>
      </c>
      <c r="U351" s="973">
        <f t="shared" si="214"/>
        <v>-0.5</v>
      </c>
      <c r="V351" s="973">
        <f t="shared" si="215"/>
        <v>0.7</v>
      </c>
      <c r="W351" s="974">
        <v>0.16666666666666666</v>
      </c>
      <c r="X351" s="975">
        <f t="shared" si="216"/>
        <v>0.6</v>
      </c>
      <c r="Y351" s="976" t="str">
        <f t="shared" ref="Y351" si="221">D351</f>
        <v>-</v>
      </c>
      <c r="Z351" s="977">
        <f t="shared" si="218"/>
        <v>-0.5</v>
      </c>
      <c r="AA351" s="977">
        <f t="shared" si="219"/>
        <v>0.7</v>
      </c>
      <c r="AB351" s="974">
        <v>0.16666666666666666</v>
      </c>
      <c r="AC351" s="975">
        <f t="shared" si="220"/>
        <v>0.6</v>
      </c>
      <c r="AD351" s="982"/>
      <c r="AE351" s="983"/>
      <c r="AF351" s="984">
        <f>ROWS(AE$11:$AE351)</f>
        <v>341</v>
      </c>
      <c r="AG351" s="984" t="str">
        <f>IF(ID!$A$83=AE351,AF351,"")</f>
        <v/>
      </c>
      <c r="AH351" s="984" t="str">
        <f>IFERROR(SMALL($AG$11:$AG$394,ROWS($AG$11:AG351)),"")</f>
        <v/>
      </c>
    </row>
    <row r="352" spans="1:34" s="980" customFormat="1" x14ac:dyDescent="0.25">
      <c r="B352" s="971">
        <v>200</v>
      </c>
      <c r="C352" s="978" t="s">
        <v>134</v>
      </c>
      <c r="D352" s="978" t="s">
        <v>134</v>
      </c>
      <c r="E352" s="1106"/>
      <c r="F352" s="981"/>
      <c r="H352" s="971">
        <v>200</v>
      </c>
      <c r="I352" s="978">
        <v>-0.5</v>
      </c>
      <c r="J352" s="978">
        <v>-0.5</v>
      </c>
      <c r="K352" s="1106"/>
      <c r="L352" s="981"/>
      <c r="M352" s="971">
        <v>200</v>
      </c>
      <c r="N352" s="978">
        <v>0.8</v>
      </c>
      <c r="O352" s="978">
        <v>0.8</v>
      </c>
      <c r="P352" s="975">
        <v>0.6</v>
      </c>
      <c r="Q352" s="1103"/>
      <c r="R352" s="981"/>
      <c r="S352" s="971">
        <v>200</v>
      </c>
      <c r="T352" s="972" t="str">
        <f t="shared" si="213"/>
        <v>-</v>
      </c>
      <c r="U352" s="973">
        <f t="shared" si="214"/>
        <v>-0.5</v>
      </c>
      <c r="V352" s="973">
        <f t="shared" si="215"/>
        <v>0.8</v>
      </c>
      <c r="W352" s="974">
        <v>0.16666666666666666</v>
      </c>
      <c r="X352" s="975">
        <f t="shared" si="216"/>
        <v>0.6</v>
      </c>
      <c r="Y352" s="976" t="str">
        <f>D352</f>
        <v>-</v>
      </c>
      <c r="Z352" s="977">
        <f t="shared" si="218"/>
        <v>-0.5</v>
      </c>
      <c r="AA352" s="977">
        <f t="shared" si="219"/>
        <v>0.8</v>
      </c>
      <c r="AB352" s="974">
        <v>0.16666666666666666</v>
      </c>
      <c r="AC352" s="975">
        <f t="shared" si="220"/>
        <v>0.6</v>
      </c>
      <c r="AD352" s="982"/>
      <c r="AE352" s="983"/>
      <c r="AF352" s="984">
        <f>ROWS(AE$11:$AE352)</f>
        <v>342</v>
      </c>
      <c r="AG352" s="984" t="str">
        <f>IF(ID!$A$83=AE352,AF352,"")</f>
        <v/>
      </c>
      <c r="AH352" s="984" t="str">
        <f>IFERROR(SMALL($AG$11:$AG$394,ROWS($AG$11:AG352)),"")</f>
        <v/>
      </c>
    </row>
    <row r="353" spans="1:34" s="980" customFormat="1" x14ac:dyDescent="0.25">
      <c r="B353" s="971">
        <v>250</v>
      </c>
      <c r="C353" s="978" t="s">
        <v>134</v>
      </c>
      <c r="D353" s="978" t="s">
        <v>134</v>
      </c>
      <c r="E353" s="1106"/>
      <c r="F353" s="981"/>
      <c r="H353" s="971">
        <v>250</v>
      </c>
      <c r="I353" s="978">
        <v>-0.5</v>
      </c>
      <c r="J353" s="978">
        <v>-0.5</v>
      </c>
      <c r="K353" s="1106"/>
      <c r="L353" s="981"/>
      <c r="M353" s="971">
        <v>250</v>
      </c>
      <c r="N353" s="978">
        <v>0.8</v>
      </c>
      <c r="O353" s="978">
        <v>0.8</v>
      </c>
      <c r="P353" s="975">
        <v>0.6</v>
      </c>
      <c r="Q353" s="1103"/>
      <c r="R353" s="981"/>
      <c r="S353" s="971">
        <v>250</v>
      </c>
      <c r="T353" s="972" t="str">
        <f t="shared" si="213"/>
        <v>-</v>
      </c>
      <c r="U353" s="973">
        <f t="shared" si="214"/>
        <v>-0.5</v>
      </c>
      <c r="V353" s="973">
        <f t="shared" si="215"/>
        <v>0.8</v>
      </c>
      <c r="W353" s="974">
        <v>0.16666666666666666</v>
      </c>
      <c r="X353" s="975">
        <f t="shared" si="216"/>
        <v>0.6</v>
      </c>
      <c r="Y353" s="976" t="str">
        <f t="shared" ref="Y353:Y354" si="222">D353</f>
        <v>-</v>
      </c>
      <c r="Z353" s="977">
        <f t="shared" si="218"/>
        <v>-0.5</v>
      </c>
      <c r="AA353" s="977">
        <f t="shared" si="219"/>
        <v>0.8</v>
      </c>
      <c r="AB353" s="974">
        <v>0.16666666666666666</v>
      </c>
      <c r="AC353" s="975">
        <f t="shared" si="220"/>
        <v>0.6</v>
      </c>
      <c r="AD353" s="982"/>
      <c r="AE353" s="983"/>
      <c r="AF353" s="984">
        <f>ROWS(AE$11:$AE353)</f>
        <v>343</v>
      </c>
      <c r="AG353" s="984" t="str">
        <f>IF(ID!$A$83=AE353,AF353,"")</f>
        <v/>
      </c>
      <c r="AH353" s="984" t="str">
        <f>IFERROR(SMALL($AG$11:$AG$394,ROWS($AG$11:AG353)),"")</f>
        <v/>
      </c>
    </row>
    <row r="354" spans="1:34" s="980" customFormat="1" x14ac:dyDescent="0.25">
      <c r="B354" s="971">
        <v>300</v>
      </c>
      <c r="C354" s="978" t="s">
        <v>134</v>
      </c>
      <c r="D354" s="978" t="s">
        <v>134</v>
      </c>
      <c r="E354" s="1107"/>
      <c r="F354" s="981"/>
      <c r="H354" s="971">
        <v>300</v>
      </c>
      <c r="I354" s="978">
        <v>-0.5</v>
      </c>
      <c r="J354" s="978">
        <v>-0.5</v>
      </c>
      <c r="K354" s="1107"/>
      <c r="L354" s="981"/>
      <c r="M354" s="971">
        <v>300</v>
      </c>
      <c r="N354" s="978">
        <v>0.8</v>
      </c>
      <c r="O354" s="978">
        <v>0.8</v>
      </c>
      <c r="P354" s="975">
        <v>0.6</v>
      </c>
      <c r="Q354" s="1104"/>
      <c r="R354" s="981"/>
      <c r="S354" s="971">
        <v>300</v>
      </c>
      <c r="T354" s="972" t="str">
        <f t="shared" si="213"/>
        <v>-</v>
      </c>
      <c r="U354" s="973">
        <f t="shared" si="214"/>
        <v>-0.5</v>
      </c>
      <c r="V354" s="973">
        <f t="shared" si="215"/>
        <v>0.8</v>
      </c>
      <c r="W354" s="974">
        <v>0.16666666666666666</v>
      </c>
      <c r="X354" s="975">
        <f t="shared" si="216"/>
        <v>0.6</v>
      </c>
      <c r="Y354" s="976" t="str">
        <f t="shared" si="222"/>
        <v>-</v>
      </c>
      <c r="Z354" s="977">
        <f t="shared" si="218"/>
        <v>-0.5</v>
      </c>
      <c r="AA354" s="977">
        <f t="shared" si="219"/>
        <v>0.8</v>
      </c>
      <c r="AB354" s="974">
        <v>0.16666666666666666</v>
      </c>
      <c r="AC354" s="975">
        <f t="shared" si="220"/>
        <v>0.6</v>
      </c>
      <c r="AD354" s="982"/>
      <c r="AE354" s="983"/>
      <c r="AF354" s="984">
        <f>ROWS(AE$11:$AE354)</f>
        <v>344</v>
      </c>
      <c r="AG354" s="984" t="str">
        <f>IF(ID!$A$83=AE354,AF354,"")</f>
        <v/>
      </c>
      <c r="AH354" s="984" t="str">
        <f>IFERROR(SMALL($AG$11:$AG$394,ROWS($AG$11:AG354)),"")</f>
        <v/>
      </c>
    </row>
    <row r="355" spans="1:34" x14ac:dyDescent="0.25">
      <c r="S355" s="230" t="s">
        <v>104</v>
      </c>
      <c r="T355" s="713"/>
      <c r="U355" s="714" t="s">
        <v>104</v>
      </c>
      <c r="V355" s="714"/>
      <c r="W355" s="534"/>
      <c r="X355" s="511" t="s">
        <v>104</v>
      </c>
      <c r="Y355" s="726"/>
      <c r="Z355" s="725"/>
      <c r="AA355" s="725"/>
      <c r="AB355" s="534"/>
      <c r="AC355" s="201"/>
      <c r="AD355" s="95"/>
      <c r="AE355" s="4"/>
      <c r="AF355" s="157">
        <f>ROWS(AE$11:$AE355)</f>
        <v>345</v>
      </c>
      <c r="AG355" s="157" t="str">
        <f>IF(ID!$A$83=AE355,AF355,"")</f>
        <v/>
      </c>
      <c r="AH355" s="157" t="str">
        <f>IFERROR(SMALL($AG$11:$AG$394,ROWS($AG$11:AG355)),"")</f>
        <v/>
      </c>
    </row>
    <row r="356" spans="1:34" x14ac:dyDescent="0.25">
      <c r="E356" s="13"/>
      <c r="F356" s="13"/>
      <c r="K356" s="13"/>
      <c r="L356" s="13"/>
      <c r="N356" s="13"/>
      <c r="O356" s="13"/>
      <c r="Q356" s="13"/>
      <c r="R356" s="13"/>
      <c r="S356" s="230" t="s">
        <v>104</v>
      </c>
      <c r="T356" s="713"/>
      <c r="U356" s="714" t="s">
        <v>104</v>
      </c>
      <c r="V356" s="714"/>
      <c r="W356" s="534"/>
      <c r="X356" s="201" t="s">
        <v>104</v>
      </c>
      <c r="Y356" s="725"/>
      <c r="Z356" s="725"/>
      <c r="AA356" s="725"/>
      <c r="AB356" s="534"/>
      <c r="AC356" s="201"/>
      <c r="AD356" s="95"/>
      <c r="AE356" s="4"/>
      <c r="AF356" s="157">
        <f>ROWS(AE$11:$AE356)</f>
        <v>346</v>
      </c>
      <c r="AG356" s="157" t="str">
        <f>IF(ID!$A$83=AE356,AF356,"")</f>
        <v/>
      </c>
      <c r="AH356" s="157" t="str">
        <f>IFERROR(SMALL($AG$11:$AG$394,ROWS($AG$11:AG356)),"")</f>
        <v/>
      </c>
    </row>
    <row r="357" spans="1:34" x14ac:dyDescent="0.25">
      <c r="S357" s="230" t="s">
        <v>104</v>
      </c>
      <c r="T357" s="713"/>
      <c r="U357" s="714" t="s">
        <v>104</v>
      </c>
      <c r="V357" s="714"/>
      <c r="W357" s="534"/>
      <c r="X357" s="201" t="s">
        <v>104</v>
      </c>
      <c r="Y357" s="725"/>
      <c r="Z357" s="725"/>
      <c r="AA357" s="725"/>
      <c r="AB357" s="534"/>
      <c r="AC357" s="201"/>
      <c r="AD357" s="95"/>
      <c r="AE357" s="4"/>
      <c r="AF357" s="157">
        <f>ROWS(AE$11:$AE357)</f>
        <v>347</v>
      </c>
      <c r="AG357" s="157" t="str">
        <f>IF(ID!$A$83=AE357,AF357,"")</f>
        <v/>
      </c>
      <c r="AH357" s="157" t="str">
        <f>IFERROR(SMALL($AG$11:$AG$394,ROWS($AG$11:AG357)),"")</f>
        <v/>
      </c>
    </row>
    <row r="358" spans="1:34" x14ac:dyDescent="0.25">
      <c r="S358" s="230" t="s">
        <v>104</v>
      </c>
      <c r="T358" s="713"/>
      <c r="U358" s="714" t="s">
        <v>104</v>
      </c>
      <c r="V358" s="714"/>
      <c r="W358" s="534"/>
      <c r="X358" s="201" t="s">
        <v>104</v>
      </c>
      <c r="Y358" s="725"/>
      <c r="Z358" s="725"/>
      <c r="AA358" s="725"/>
      <c r="AB358" s="534"/>
      <c r="AC358" s="201"/>
      <c r="AD358" s="95"/>
      <c r="AE358" s="4"/>
      <c r="AF358" s="157">
        <f>ROWS(AE$11:$AE358)</f>
        <v>348</v>
      </c>
      <c r="AG358" s="157" t="str">
        <f>IF(ID!$A$83=AE358,AF358,"")</f>
        <v/>
      </c>
      <c r="AH358" s="157" t="str">
        <f>IFERROR(SMALL($AG$11:$AG$394,ROWS($AG$11:AG358)),"")</f>
        <v/>
      </c>
    </row>
    <row r="359" spans="1:34" x14ac:dyDescent="0.25">
      <c r="E359" s="13"/>
      <c r="F359" s="13"/>
      <c r="K359" s="13"/>
      <c r="L359" s="13"/>
      <c r="N359" s="13"/>
      <c r="O359" s="13"/>
      <c r="Q359" s="13"/>
      <c r="R359" s="13"/>
      <c r="S359" s="231"/>
      <c r="AD359" s="13"/>
      <c r="AE359" s="13"/>
      <c r="AF359" s="157">
        <f>ROWS(AE$11:$AE359)</f>
        <v>349</v>
      </c>
      <c r="AG359" s="157" t="str">
        <f>IF(ID!$A$83=AE359,AF359,"")</f>
        <v/>
      </c>
      <c r="AH359" s="157" t="str">
        <f>IFERROR(SMALL($AG$11:$AG$394,ROWS($AG$11:AG359)),"")</f>
        <v/>
      </c>
    </row>
    <row r="360" spans="1:34" x14ac:dyDescent="0.25">
      <c r="A360" s="513"/>
      <c r="B360" s="513"/>
      <c r="C360" s="519"/>
      <c r="D360" s="525"/>
      <c r="E360" s="513"/>
      <c r="F360" s="513"/>
      <c r="G360" s="513"/>
      <c r="H360" s="513"/>
      <c r="I360" s="519"/>
      <c r="J360" s="525"/>
      <c r="K360" s="513"/>
      <c r="L360" s="513"/>
      <c r="M360" s="513"/>
      <c r="N360" s="513"/>
      <c r="O360" s="513"/>
      <c r="P360" s="513"/>
      <c r="Q360" s="513"/>
      <c r="R360" s="513"/>
      <c r="S360" s="514"/>
      <c r="T360" s="514"/>
      <c r="U360" s="514"/>
      <c r="V360" s="514"/>
      <c r="W360" s="514"/>
      <c r="X360" s="514"/>
      <c r="Y360" s="514"/>
      <c r="Z360" s="514"/>
      <c r="AA360" s="514"/>
      <c r="AB360" s="529"/>
      <c r="AC360" s="513"/>
      <c r="AD360" s="513"/>
      <c r="AE360" s="513"/>
      <c r="AF360" s="157">
        <f>ROWS(AE$11:$AE360)</f>
        <v>350</v>
      </c>
      <c r="AG360" s="157" t="str">
        <f>IF(ID!$A$83=AE360,AF360,"")</f>
        <v/>
      </c>
      <c r="AH360" s="157" t="str">
        <f>IFERROR(SMALL($AG$11:$AG$394,ROWS($AG$11:AG360)),"")</f>
        <v/>
      </c>
    </row>
    <row r="361" spans="1:34" x14ac:dyDescent="0.25">
      <c r="A361" s="513"/>
      <c r="B361" s="513"/>
      <c r="C361" s="519"/>
      <c r="D361" s="525"/>
      <c r="E361" s="513"/>
      <c r="F361" s="513"/>
      <c r="G361" s="513"/>
      <c r="H361" s="513"/>
      <c r="I361" s="519"/>
      <c r="J361" s="525"/>
      <c r="K361" s="513"/>
      <c r="L361" s="513"/>
      <c r="M361" s="513"/>
      <c r="N361" s="513"/>
      <c r="O361" s="513"/>
      <c r="P361" s="513"/>
      <c r="Q361" s="513"/>
      <c r="R361" s="513"/>
      <c r="S361" s="514"/>
      <c r="T361" s="514"/>
      <c r="U361" s="514"/>
      <c r="V361" s="514"/>
      <c r="W361" s="514"/>
      <c r="X361" s="514"/>
      <c r="Y361" s="514"/>
      <c r="Z361" s="514"/>
      <c r="AA361" s="514"/>
      <c r="AB361" s="529"/>
      <c r="AC361" s="513"/>
      <c r="AD361" s="513"/>
      <c r="AE361" s="513"/>
      <c r="AF361" s="157">
        <f>ROWS(AE$11:$AE361)</f>
        <v>351</v>
      </c>
      <c r="AG361" s="157" t="str">
        <f>IF(ID!$A$83=AE361,AF361,"")</f>
        <v/>
      </c>
      <c r="AH361" s="157" t="str">
        <f>IFERROR(SMALL($AG$11:$AG$394,ROWS($AG$11:AG361)),"")</f>
        <v/>
      </c>
    </row>
    <row r="362" spans="1:34" x14ac:dyDescent="0.25">
      <c r="A362" s="513"/>
      <c r="B362" s="513"/>
      <c r="C362" s="519"/>
      <c r="D362" s="525"/>
      <c r="E362" s="513"/>
      <c r="F362" s="513"/>
      <c r="G362" s="513"/>
      <c r="H362" s="513"/>
      <c r="I362" s="519"/>
      <c r="J362" s="525"/>
      <c r="K362" s="513"/>
      <c r="L362" s="513"/>
      <c r="M362" s="513"/>
      <c r="N362" s="513"/>
      <c r="O362" s="513"/>
      <c r="P362" s="513"/>
      <c r="Q362" s="513"/>
      <c r="R362" s="513"/>
      <c r="S362" s="514"/>
      <c r="T362" s="514"/>
      <c r="U362" s="514"/>
      <c r="V362" s="514"/>
      <c r="W362" s="959" t="s">
        <v>242</v>
      </c>
      <c r="AB362" s="959" t="s">
        <v>242</v>
      </c>
      <c r="AC362" s="513"/>
      <c r="AD362" s="513"/>
      <c r="AE362" s="513"/>
      <c r="AF362" s="157">
        <f>ROWS(AE$11:$AE362)</f>
        <v>352</v>
      </c>
      <c r="AG362" s="157" t="str">
        <f>IF(ID!$A$83=AE362,AF362,"")</f>
        <v/>
      </c>
      <c r="AH362" s="157" t="str">
        <f>IFERROR(SMALL($AG$11:$AG$394,ROWS($AG$11:AG362)),"")</f>
        <v/>
      </c>
    </row>
    <row r="363" spans="1:34" x14ac:dyDescent="0.25">
      <c r="B363" s="1099" t="s">
        <v>400</v>
      </c>
      <c r="C363" s="1100"/>
      <c r="D363" s="1100"/>
      <c r="E363" s="1101"/>
      <c r="F363" s="233"/>
      <c r="H363" s="1099" t="s">
        <v>401</v>
      </c>
      <c r="I363" s="1100"/>
      <c r="J363" s="1100"/>
      <c r="K363" s="1101"/>
      <c r="L363" s="233"/>
      <c r="M363" s="1099" t="s">
        <v>195</v>
      </c>
      <c r="N363" s="1100"/>
      <c r="O363" s="1100"/>
      <c r="P363" s="1100"/>
      <c r="Q363" s="1101"/>
      <c r="S363" s="224" t="s">
        <v>48</v>
      </c>
      <c r="T363" s="700" t="s">
        <v>403</v>
      </c>
      <c r="U363" s="701" t="s">
        <v>402</v>
      </c>
      <c r="V363" s="701" t="s">
        <v>192</v>
      </c>
      <c r="W363" s="528" t="s">
        <v>172</v>
      </c>
      <c r="X363" s="197" t="s">
        <v>190</v>
      </c>
      <c r="Y363" s="718" t="s">
        <v>404</v>
      </c>
      <c r="Z363" s="719" t="s">
        <v>405</v>
      </c>
      <c r="AA363" s="719" t="s">
        <v>193</v>
      </c>
      <c r="AB363" s="528" t="s">
        <v>152</v>
      </c>
      <c r="AC363" s="197" t="s">
        <v>191</v>
      </c>
      <c r="AF363" s="157">
        <f>ROWS(AE$11:$AE363)</f>
        <v>353</v>
      </c>
      <c r="AG363" s="157" t="str">
        <f>IF(ID!$A$83=AE363,AF363,"")</f>
        <v/>
      </c>
      <c r="AH363" s="157" t="str">
        <f>IFERROR(SMALL($AG$11:$AG$394,ROWS($AG$11:AG363)),"")</f>
        <v/>
      </c>
    </row>
    <row r="364" spans="1:34" x14ac:dyDescent="0.25">
      <c r="B364" s="207">
        <v>0</v>
      </c>
      <c r="C364" s="193" t="s">
        <v>134</v>
      </c>
      <c r="D364" s="512" t="s">
        <v>134</v>
      </c>
      <c r="E364" s="1108" t="s">
        <v>134</v>
      </c>
      <c r="F364" s="237"/>
      <c r="H364" s="207">
        <v>0</v>
      </c>
      <c r="I364" s="193" t="s">
        <v>134</v>
      </c>
      <c r="J364" s="512" t="s">
        <v>134</v>
      </c>
      <c r="K364" s="1108" t="s">
        <v>134</v>
      </c>
      <c r="L364" s="237"/>
      <c r="M364" s="207">
        <v>0</v>
      </c>
      <c r="N364" s="193">
        <v>0</v>
      </c>
      <c r="O364" s="512">
        <v>0</v>
      </c>
      <c r="P364" s="199">
        <v>0.1</v>
      </c>
      <c r="Q364" s="1111" t="s">
        <v>339</v>
      </c>
      <c r="R364" s="236"/>
      <c r="S364" s="971">
        <v>0</v>
      </c>
      <c r="T364" s="972" t="str">
        <f>C364</f>
        <v>-</v>
      </c>
      <c r="U364" s="973" t="str">
        <f>I364</f>
        <v>-</v>
      </c>
      <c r="V364" s="973">
        <f>N364</f>
        <v>0</v>
      </c>
      <c r="W364" s="974">
        <f>X364/3</f>
        <v>3.3333333333333333E-2</v>
      </c>
      <c r="X364" s="975">
        <f>P364</f>
        <v>0.1</v>
      </c>
      <c r="Y364" s="976" t="str">
        <f>D364</f>
        <v>-</v>
      </c>
      <c r="Z364" s="977" t="str">
        <f>J364</f>
        <v>-</v>
      </c>
      <c r="AA364" s="977">
        <f>O364</f>
        <v>0</v>
      </c>
      <c r="AB364" s="974">
        <f>AC364/3</f>
        <v>3.3333333333333333E-2</v>
      </c>
      <c r="AC364" s="975">
        <f>P364</f>
        <v>0.1</v>
      </c>
      <c r="AD364" s="9"/>
      <c r="AE364" s="4"/>
      <c r="AF364" s="157">
        <f>ROWS(AE$11:$AE364)</f>
        <v>354</v>
      </c>
      <c r="AG364" s="157" t="str">
        <f>IF(ID!$A$83=AE364,AF364,"")</f>
        <v/>
      </c>
      <c r="AH364" s="157" t="str">
        <f>IFERROR(SMALL($AG$11:$AG$394,ROWS($AG$11:AG364)),"")</f>
        <v/>
      </c>
    </row>
    <row r="365" spans="1:34" x14ac:dyDescent="0.25">
      <c r="B365" s="207">
        <v>50</v>
      </c>
      <c r="C365" s="193" t="s">
        <v>134</v>
      </c>
      <c r="D365" s="512" t="s">
        <v>134</v>
      </c>
      <c r="E365" s="1109"/>
      <c r="F365" s="237"/>
      <c r="H365" s="207">
        <v>50</v>
      </c>
      <c r="I365" s="193" t="s">
        <v>134</v>
      </c>
      <c r="J365" s="512" t="s">
        <v>134</v>
      </c>
      <c r="K365" s="1109"/>
      <c r="L365" s="237"/>
      <c r="M365" s="207">
        <v>50</v>
      </c>
      <c r="N365" s="193">
        <v>-0.4</v>
      </c>
      <c r="O365" s="512">
        <v>-0.5</v>
      </c>
      <c r="P365" s="199">
        <v>0.1</v>
      </c>
      <c r="Q365" s="1112"/>
      <c r="R365" s="236"/>
      <c r="S365" s="971">
        <v>50</v>
      </c>
      <c r="T365" s="972" t="str">
        <f t="shared" ref="T365:T370" si="223">C365</f>
        <v>-</v>
      </c>
      <c r="U365" s="973" t="str">
        <f t="shared" ref="U365:U370" si="224">I365</f>
        <v>-</v>
      </c>
      <c r="V365" s="973">
        <f t="shared" ref="V365:V370" si="225">N365</f>
        <v>-0.4</v>
      </c>
      <c r="W365" s="974">
        <f t="shared" ref="W365:W370" si="226">X365/3</f>
        <v>3.3333333333333333E-2</v>
      </c>
      <c r="X365" s="975">
        <f t="shared" ref="X365:X370" si="227">P365</f>
        <v>0.1</v>
      </c>
      <c r="Y365" s="976" t="str">
        <f t="shared" ref="Y365" si="228">D365</f>
        <v>-</v>
      </c>
      <c r="Z365" s="977" t="str">
        <f t="shared" ref="Z365:Z370" si="229">J365</f>
        <v>-</v>
      </c>
      <c r="AA365" s="977">
        <f t="shared" ref="AA365:AA370" si="230">O365</f>
        <v>-0.5</v>
      </c>
      <c r="AB365" s="974">
        <f t="shared" ref="AB365:AB370" si="231">AC365/3</f>
        <v>3.3333333333333333E-2</v>
      </c>
      <c r="AC365" s="975">
        <f t="shared" ref="AC365:AC370" si="232">P365</f>
        <v>0.1</v>
      </c>
      <c r="AD365" s="9"/>
      <c r="AE365" s="4"/>
      <c r="AF365" s="157">
        <f>ROWS(AE$11:$AE365)</f>
        <v>355</v>
      </c>
      <c r="AG365" s="157" t="str">
        <f>IF(ID!$A$83=AE365,AF365,"")</f>
        <v/>
      </c>
      <c r="AH365" s="157" t="str">
        <f>IFERROR(SMALL($AG$11:$AG$394,ROWS($AG$11:AG365)),"")</f>
        <v/>
      </c>
    </row>
    <row r="366" spans="1:34" x14ac:dyDescent="0.25">
      <c r="B366" s="207">
        <v>100</v>
      </c>
      <c r="C366" s="193" t="s">
        <v>134</v>
      </c>
      <c r="D366" s="512" t="s">
        <v>134</v>
      </c>
      <c r="E366" s="1109"/>
      <c r="F366" s="237"/>
      <c r="H366" s="207">
        <v>100</v>
      </c>
      <c r="I366" s="193" t="s">
        <v>134</v>
      </c>
      <c r="J366" s="512" t="s">
        <v>134</v>
      </c>
      <c r="K366" s="1109"/>
      <c r="L366" s="237"/>
      <c r="M366" s="207">
        <v>100</v>
      </c>
      <c r="N366" s="193">
        <v>-0.2</v>
      </c>
      <c r="O366" s="512">
        <v>-0.2</v>
      </c>
      <c r="P366" s="199">
        <v>0.1</v>
      </c>
      <c r="Q366" s="1112"/>
      <c r="R366" s="236"/>
      <c r="S366" s="971">
        <v>100</v>
      </c>
      <c r="T366" s="972" t="str">
        <f t="shared" si="223"/>
        <v>-</v>
      </c>
      <c r="U366" s="973" t="str">
        <f t="shared" si="224"/>
        <v>-</v>
      </c>
      <c r="V366" s="973">
        <f t="shared" si="225"/>
        <v>-0.2</v>
      </c>
      <c r="W366" s="974">
        <f t="shared" si="226"/>
        <v>3.3333333333333333E-2</v>
      </c>
      <c r="X366" s="975">
        <f t="shared" si="227"/>
        <v>0.1</v>
      </c>
      <c r="Y366" s="976" t="str">
        <f>D366</f>
        <v>-</v>
      </c>
      <c r="Z366" s="977" t="str">
        <f t="shared" si="229"/>
        <v>-</v>
      </c>
      <c r="AA366" s="977">
        <f t="shared" si="230"/>
        <v>-0.2</v>
      </c>
      <c r="AB366" s="974">
        <f t="shared" si="231"/>
        <v>3.3333333333333333E-2</v>
      </c>
      <c r="AC366" s="975">
        <f t="shared" si="232"/>
        <v>0.1</v>
      </c>
      <c r="AD366" s="9"/>
      <c r="AE366" s="4"/>
      <c r="AF366" s="157">
        <f>ROWS(AE$11:$AE366)</f>
        <v>356</v>
      </c>
      <c r="AG366" s="157" t="str">
        <f>IF(ID!$A$83=AE366,AF366,"")</f>
        <v/>
      </c>
      <c r="AH366" s="157" t="str">
        <f>IFERROR(SMALL($AG$11:$AG$394,ROWS($AG$11:AG366)),"")</f>
        <v/>
      </c>
    </row>
    <row r="367" spans="1:34" x14ac:dyDescent="0.25">
      <c r="B367" s="207">
        <v>150</v>
      </c>
      <c r="C367" s="193" t="s">
        <v>134</v>
      </c>
      <c r="D367" s="512" t="s">
        <v>134</v>
      </c>
      <c r="E367" s="1109"/>
      <c r="F367" s="237"/>
      <c r="H367" s="207">
        <v>150</v>
      </c>
      <c r="I367" s="193" t="s">
        <v>134</v>
      </c>
      <c r="J367" s="512" t="s">
        <v>134</v>
      </c>
      <c r="K367" s="1109"/>
      <c r="L367" s="237"/>
      <c r="M367" s="207">
        <v>150</v>
      </c>
      <c r="N367" s="193">
        <v>-0.1</v>
      </c>
      <c r="O367" s="512">
        <v>-0.2</v>
      </c>
      <c r="P367" s="199">
        <v>0.1</v>
      </c>
      <c r="Q367" s="1112"/>
      <c r="R367" s="236"/>
      <c r="S367" s="971">
        <v>150</v>
      </c>
      <c r="T367" s="972" t="str">
        <f t="shared" si="223"/>
        <v>-</v>
      </c>
      <c r="U367" s="973" t="str">
        <f t="shared" si="224"/>
        <v>-</v>
      </c>
      <c r="V367" s="973">
        <f t="shared" si="225"/>
        <v>-0.1</v>
      </c>
      <c r="W367" s="974">
        <f t="shared" si="226"/>
        <v>3.3333333333333333E-2</v>
      </c>
      <c r="X367" s="975">
        <f t="shared" si="227"/>
        <v>0.1</v>
      </c>
      <c r="Y367" s="976" t="str">
        <f t="shared" ref="Y367" si="233">D367</f>
        <v>-</v>
      </c>
      <c r="Z367" s="977" t="str">
        <f t="shared" si="229"/>
        <v>-</v>
      </c>
      <c r="AA367" s="977">
        <f t="shared" si="230"/>
        <v>-0.2</v>
      </c>
      <c r="AB367" s="974">
        <f t="shared" si="231"/>
        <v>3.3333333333333333E-2</v>
      </c>
      <c r="AC367" s="975">
        <f t="shared" si="232"/>
        <v>0.1</v>
      </c>
      <c r="AD367" s="9"/>
      <c r="AE367" s="4"/>
      <c r="AF367" s="157">
        <f>ROWS(AE$11:$AE367)</f>
        <v>357</v>
      </c>
      <c r="AG367" s="157" t="str">
        <f>IF(ID!$A$83=AE367,AF367,"")</f>
        <v/>
      </c>
      <c r="AH367" s="157" t="str">
        <f>IFERROR(SMALL($AG$11:$AG$394,ROWS($AG$11:AG367)),"")</f>
        <v/>
      </c>
    </row>
    <row r="368" spans="1:34" x14ac:dyDescent="0.25">
      <c r="B368" s="207">
        <v>200</v>
      </c>
      <c r="C368" s="193" t="s">
        <v>134</v>
      </c>
      <c r="D368" s="512" t="s">
        <v>134</v>
      </c>
      <c r="E368" s="1109"/>
      <c r="F368" s="237"/>
      <c r="H368" s="207">
        <v>200</v>
      </c>
      <c r="I368" s="193" t="s">
        <v>134</v>
      </c>
      <c r="J368" s="512" t="s">
        <v>134</v>
      </c>
      <c r="K368" s="1109"/>
      <c r="L368" s="237"/>
      <c r="M368" s="207">
        <v>200</v>
      </c>
      <c r="N368" s="193">
        <v>-0.1</v>
      </c>
      <c r="O368" s="512">
        <v>-0.1</v>
      </c>
      <c r="P368" s="199">
        <v>0.1</v>
      </c>
      <c r="Q368" s="1112"/>
      <c r="R368" s="236"/>
      <c r="S368" s="971">
        <v>200</v>
      </c>
      <c r="T368" s="972" t="str">
        <f t="shared" si="223"/>
        <v>-</v>
      </c>
      <c r="U368" s="973" t="str">
        <f t="shared" si="224"/>
        <v>-</v>
      </c>
      <c r="V368" s="973">
        <f t="shared" si="225"/>
        <v>-0.1</v>
      </c>
      <c r="W368" s="974">
        <f t="shared" si="226"/>
        <v>3.3333333333333333E-2</v>
      </c>
      <c r="X368" s="975">
        <f t="shared" si="227"/>
        <v>0.1</v>
      </c>
      <c r="Y368" s="976" t="str">
        <f>D368</f>
        <v>-</v>
      </c>
      <c r="Z368" s="977" t="str">
        <f t="shared" si="229"/>
        <v>-</v>
      </c>
      <c r="AA368" s="977">
        <f t="shared" si="230"/>
        <v>-0.1</v>
      </c>
      <c r="AB368" s="974">
        <f t="shared" si="231"/>
        <v>3.3333333333333333E-2</v>
      </c>
      <c r="AC368" s="975">
        <f t="shared" si="232"/>
        <v>0.1</v>
      </c>
      <c r="AD368" s="9"/>
      <c r="AE368" s="4"/>
      <c r="AF368" s="157">
        <f>ROWS(AE$11:$AE368)</f>
        <v>358</v>
      </c>
      <c r="AG368" s="157" t="str">
        <f>IF(ID!$A$83=AE368,AF368,"")</f>
        <v/>
      </c>
      <c r="AH368" s="157" t="str">
        <f>IFERROR(SMALL($AG$11:$AG$394,ROWS($AG$11:AG368)),"")</f>
        <v/>
      </c>
    </row>
    <row r="369" spans="1:34" x14ac:dyDescent="0.25">
      <c r="B369" s="207">
        <v>250</v>
      </c>
      <c r="C369" s="193" t="s">
        <v>134</v>
      </c>
      <c r="D369" s="512" t="s">
        <v>134</v>
      </c>
      <c r="E369" s="1109"/>
      <c r="F369" s="237"/>
      <c r="H369" s="207">
        <v>250</v>
      </c>
      <c r="I369" s="193" t="s">
        <v>134</v>
      </c>
      <c r="J369" s="512" t="s">
        <v>134</v>
      </c>
      <c r="K369" s="1109"/>
      <c r="L369" s="237"/>
      <c r="M369" s="207">
        <v>250</v>
      </c>
      <c r="N369" s="193">
        <v>0.2</v>
      </c>
      <c r="O369" s="512">
        <v>0.2</v>
      </c>
      <c r="P369" s="199">
        <v>0.1</v>
      </c>
      <c r="Q369" s="1112"/>
      <c r="R369" s="236"/>
      <c r="S369" s="971">
        <v>250</v>
      </c>
      <c r="T369" s="972" t="str">
        <f t="shared" si="223"/>
        <v>-</v>
      </c>
      <c r="U369" s="973" t="str">
        <f t="shared" si="224"/>
        <v>-</v>
      </c>
      <c r="V369" s="973">
        <f t="shared" si="225"/>
        <v>0.2</v>
      </c>
      <c r="W369" s="974">
        <f t="shared" si="226"/>
        <v>3.3333333333333333E-2</v>
      </c>
      <c r="X369" s="975">
        <f t="shared" si="227"/>
        <v>0.1</v>
      </c>
      <c r="Y369" s="976" t="str">
        <f t="shared" ref="Y369:Y370" si="234">D369</f>
        <v>-</v>
      </c>
      <c r="Z369" s="977" t="str">
        <f t="shared" si="229"/>
        <v>-</v>
      </c>
      <c r="AA369" s="977">
        <f t="shared" si="230"/>
        <v>0.2</v>
      </c>
      <c r="AB369" s="974">
        <f t="shared" si="231"/>
        <v>3.3333333333333333E-2</v>
      </c>
      <c r="AC369" s="975">
        <f t="shared" si="232"/>
        <v>0.1</v>
      </c>
      <c r="AD369" s="9"/>
      <c r="AE369" s="4"/>
      <c r="AF369" s="157">
        <f>ROWS(AE$11:$AE369)</f>
        <v>359</v>
      </c>
      <c r="AG369" s="157" t="str">
        <f>IF(ID!$A$83=AE369,AF369,"")</f>
        <v/>
      </c>
      <c r="AH369" s="157" t="str">
        <f>IFERROR(SMALL($AG$11:$AG$394,ROWS($AG$11:AG369)),"")</f>
        <v/>
      </c>
    </row>
    <row r="370" spans="1:34" x14ac:dyDescent="0.25">
      <c r="B370" s="207">
        <v>300</v>
      </c>
      <c r="C370" s="193" t="s">
        <v>134</v>
      </c>
      <c r="D370" s="512" t="s">
        <v>134</v>
      </c>
      <c r="E370" s="1110"/>
      <c r="F370" s="237"/>
      <c r="H370" s="207">
        <v>300</v>
      </c>
      <c r="I370" s="193" t="s">
        <v>134</v>
      </c>
      <c r="J370" s="512" t="s">
        <v>134</v>
      </c>
      <c r="K370" s="1110"/>
      <c r="L370" s="237"/>
      <c r="M370" s="207">
        <v>300</v>
      </c>
      <c r="N370" s="193">
        <v>0.3</v>
      </c>
      <c r="O370" s="512">
        <v>0.3</v>
      </c>
      <c r="P370" s="199">
        <v>0.1</v>
      </c>
      <c r="Q370" s="1113"/>
      <c r="R370" s="236"/>
      <c r="S370" s="971">
        <v>300</v>
      </c>
      <c r="T370" s="972" t="str">
        <f t="shared" si="223"/>
        <v>-</v>
      </c>
      <c r="U370" s="973" t="str">
        <f t="shared" si="224"/>
        <v>-</v>
      </c>
      <c r="V370" s="973">
        <f t="shared" si="225"/>
        <v>0.3</v>
      </c>
      <c r="W370" s="974">
        <f t="shared" si="226"/>
        <v>3.3333333333333333E-2</v>
      </c>
      <c r="X370" s="975">
        <f t="shared" si="227"/>
        <v>0.1</v>
      </c>
      <c r="Y370" s="976" t="str">
        <f t="shared" si="234"/>
        <v>-</v>
      </c>
      <c r="Z370" s="977" t="str">
        <f t="shared" si="229"/>
        <v>-</v>
      </c>
      <c r="AA370" s="977">
        <f t="shared" si="230"/>
        <v>0.3</v>
      </c>
      <c r="AB370" s="974">
        <f t="shared" si="231"/>
        <v>3.3333333333333333E-2</v>
      </c>
      <c r="AC370" s="975">
        <f t="shared" si="232"/>
        <v>0.1</v>
      </c>
      <c r="AD370" s="9"/>
      <c r="AE370" s="4"/>
      <c r="AF370" s="157">
        <f>ROWS(AE$11:$AE370)</f>
        <v>360</v>
      </c>
      <c r="AG370" s="157" t="str">
        <f>IF(ID!$A$83=AE370,AF370,"")</f>
        <v/>
      </c>
      <c r="AH370" s="157" t="str">
        <f>IFERROR(SMALL($AG$11:$AG$394,ROWS($AG$11:AG370)),"")</f>
        <v/>
      </c>
    </row>
    <row r="371" spans="1:34" x14ac:dyDescent="0.25">
      <c r="S371" s="991" t="s">
        <v>104</v>
      </c>
      <c r="T371" s="992"/>
      <c r="U371" s="993" t="s">
        <v>104</v>
      </c>
      <c r="V371" s="993"/>
      <c r="W371" s="994"/>
      <c r="X371" s="995" t="s">
        <v>104</v>
      </c>
      <c r="Y371" s="996"/>
      <c r="Z371" s="997"/>
      <c r="AA371" s="997"/>
      <c r="AB371" s="994"/>
      <c r="AC371" s="998"/>
      <c r="AD371" s="95"/>
      <c r="AE371" s="4"/>
      <c r="AF371" s="157">
        <f>ROWS(AE$11:$AE371)</f>
        <v>361</v>
      </c>
      <c r="AG371" s="157" t="str">
        <f>IF(ID!$A$83=AE371,AF371,"")</f>
        <v/>
      </c>
      <c r="AH371" s="157" t="str">
        <f>IFERROR(SMALL($AG$11:$AG$394,ROWS($AG$11:AG371)),"")</f>
        <v/>
      </c>
    </row>
    <row r="372" spans="1:34" x14ac:dyDescent="0.25">
      <c r="E372" s="13"/>
      <c r="F372" s="13"/>
      <c r="K372" s="13"/>
      <c r="L372" s="13"/>
      <c r="N372" s="13"/>
      <c r="O372" s="13"/>
      <c r="Q372" s="13"/>
      <c r="R372" s="13"/>
      <c r="S372" s="991" t="s">
        <v>104</v>
      </c>
      <c r="T372" s="992"/>
      <c r="U372" s="993" t="s">
        <v>104</v>
      </c>
      <c r="V372" s="993"/>
      <c r="W372" s="994"/>
      <c r="X372" s="998" t="s">
        <v>104</v>
      </c>
      <c r="Y372" s="997"/>
      <c r="Z372" s="997"/>
      <c r="AA372" s="997"/>
      <c r="AB372" s="994"/>
      <c r="AC372" s="998"/>
      <c r="AD372" s="95"/>
      <c r="AE372" s="4"/>
      <c r="AF372" s="157">
        <f>ROWS(AE$11:$AE372)</f>
        <v>362</v>
      </c>
      <c r="AG372" s="157" t="str">
        <f>IF(ID!$A$83=AE372,AF372,"")</f>
        <v/>
      </c>
      <c r="AH372" s="157" t="str">
        <f>IFERROR(SMALL($AG$11:$AG$394,ROWS($AG$11:AG372)),"")</f>
        <v/>
      </c>
    </row>
    <row r="373" spans="1:34" x14ac:dyDescent="0.25">
      <c r="S373" s="991" t="s">
        <v>104</v>
      </c>
      <c r="T373" s="992"/>
      <c r="U373" s="993" t="s">
        <v>104</v>
      </c>
      <c r="V373" s="993"/>
      <c r="W373" s="994"/>
      <c r="X373" s="998" t="s">
        <v>104</v>
      </c>
      <c r="Y373" s="997"/>
      <c r="Z373" s="997"/>
      <c r="AA373" s="997"/>
      <c r="AB373" s="994"/>
      <c r="AC373" s="998"/>
      <c r="AD373" s="95"/>
      <c r="AE373" s="4"/>
      <c r="AF373" s="157">
        <f>ROWS(AE$11:$AE373)</f>
        <v>363</v>
      </c>
      <c r="AG373" s="157" t="str">
        <f>IF(ID!$A$83=AE373,AF373,"")</f>
        <v/>
      </c>
      <c r="AH373" s="157" t="str">
        <f>IFERROR(SMALL($AG$11:$AG$394,ROWS($AG$11:AG373)),"")</f>
        <v/>
      </c>
    </row>
    <row r="374" spans="1:34" x14ac:dyDescent="0.25">
      <c r="S374" s="991" t="s">
        <v>104</v>
      </c>
      <c r="T374" s="992"/>
      <c r="U374" s="993" t="s">
        <v>104</v>
      </c>
      <c r="V374" s="993"/>
      <c r="W374" s="994"/>
      <c r="X374" s="998" t="s">
        <v>104</v>
      </c>
      <c r="Y374" s="997"/>
      <c r="Z374" s="997"/>
      <c r="AA374" s="997"/>
      <c r="AB374" s="994"/>
      <c r="AC374" s="998"/>
      <c r="AD374" s="95"/>
      <c r="AE374" s="4"/>
      <c r="AF374" s="157">
        <f>ROWS(AE$11:$AE374)</f>
        <v>364</v>
      </c>
      <c r="AG374" s="157" t="str">
        <f>IF(ID!$A$83=AE374,AF374,"")</f>
        <v/>
      </c>
      <c r="AH374" s="157" t="str">
        <f>IFERROR(SMALL($AG$11:$AG$394,ROWS($AG$11:AG374)),"")</f>
        <v/>
      </c>
    </row>
    <row r="375" spans="1:34" x14ac:dyDescent="0.25">
      <c r="E375" s="13"/>
      <c r="F375" s="13"/>
      <c r="K375" s="13"/>
      <c r="L375" s="13"/>
      <c r="N375" s="13"/>
      <c r="O375" s="13"/>
      <c r="Q375" s="13"/>
      <c r="R375" s="13"/>
      <c r="S375" s="1012"/>
      <c r="T375" s="1013"/>
      <c r="U375" s="1014"/>
      <c r="V375" s="1014"/>
      <c r="W375" s="1015"/>
      <c r="X375" s="1005"/>
      <c r="Y375" s="1016"/>
      <c r="Z375" s="1016"/>
      <c r="AA375" s="1016"/>
      <c r="AB375" s="1015"/>
      <c r="AC375" s="1005"/>
      <c r="AD375" s="13"/>
      <c r="AE375" s="13"/>
      <c r="AF375" s="157">
        <f>ROWS(AE$11:$AE375)</f>
        <v>365</v>
      </c>
      <c r="AG375" s="157" t="str">
        <f>IF(ID!$A$83=AE375,AF375,"")</f>
        <v/>
      </c>
      <c r="AH375" s="157" t="str">
        <f>IFERROR(SMALL($AG$11:$AG$394,ROWS($AG$11:AG375)),"")</f>
        <v/>
      </c>
    </row>
    <row r="376" spans="1:34" x14ac:dyDescent="0.25">
      <c r="A376" s="513"/>
      <c r="B376" s="513"/>
      <c r="C376" s="519"/>
      <c r="D376" s="525"/>
      <c r="E376" s="513"/>
      <c r="F376" s="513"/>
      <c r="G376" s="513"/>
      <c r="H376" s="513"/>
      <c r="I376" s="519"/>
      <c r="J376" s="525"/>
      <c r="K376" s="513"/>
      <c r="L376" s="513"/>
      <c r="M376" s="513"/>
      <c r="N376" s="513"/>
      <c r="O376" s="513"/>
      <c r="P376" s="513"/>
      <c r="Q376" s="513"/>
      <c r="R376" s="513"/>
      <c r="S376" s="1017"/>
      <c r="T376" s="1017"/>
      <c r="U376" s="1017"/>
      <c r="V376" s="1017"/>
      <c r="W376" s="1017"/>
      <c r="X376" s="1017"/>
      <c r="Y376" s="1017"/>
      <c r="Z376" s="1017"/>
      <c r="AA376" s="1017"/>
      <c r="AB376" s="1018"/>
      <c r="AC376" s="1019"/>
      <c r="AD376" s="513"/>
      <c r="AE376" s="513"/>
      <c r="AF376" s="157">
        <f>ROWS(AE$11:$AE376)</f>
        <v>366</v>
      </c>
      <c r="AG376" s="157" t="str">
        <f>IF(ID!$A$83=AE376,AF376,"")</f>
        <v/>
      </c>
      <c r="AH376" s="157" t="str">
        <f>IFERROR(SMALL($AG$11:$AG$394,ROWS($AG$11:AG376)),"")</f>
        <v/>
      </c>
    </row>
    <row r="377" spans="1:34" x14ac:dyDescent="0.25">
      <c r="A377" s="513"/>
      <c r="B377" s="513"/>
      <c r="C377" s="519"/>
      <c r="D377" s="525"/>
      <c r="E377" s="513"/>
      <c r="F377" s="513"/>
      <c r="G377" s="513"/>
      <c r="H377" s="513"/>
      <c r="I377" s="519"/>
      <c r="J377" s="525"/>
      <c r="K377" s="513"/>
      <c r="L377" s="513"/>
      <c r="M377" s="513"/>
      <c r="N377" s="513"/>
      <c r="O377" s="513"/>
      <c r="P377" s="513"/>
      <c r="Q377" s="513"/>
      <c r="R377" s="513"/>
      <c r="S377" s="1017"/>
      <c r="T377" s="1017"/>
      <c r="U377" s="1017"/>
      <c r="V377" s="1017"/>
      <c r="W377" s="1017"/>
      <c r="X377" s="1017"/>
      <c r="Y377" s="1017"/>
      <c r="Z377" s="1017"/>
      <c r="AA377" s="1017"/>
      <c r="AB377" s="1018"/>
      <c r="AC377" s="1019"/>
      <c r="AD377" s="513"/>
      <c r="AE377" s="513"/>
      <c r="AF377" s="157">
        <f>ROWS(AE$11:$AE377)</f>
        <v>367</v>
      </c>
      <c r="AG377" s="157" t="str">
        <f>IF(ID!$A$83=AE377,AF377,"")</f>
        <v/>
      </c>
      <c r="AH377" s="157" t="str">
        <f>IFERROR(SMALL($AG$11:$AG$394,ROWS($AG$11:AG377)),"")</f>
        <v/>
      </c>
    </row>
    <row r="378" spans="1:34" x14ac:dyDescent="0.25">
      <c r="A378" s="513"/>
      <c r="B378" s="513"/>
      <c r="C378" s="519"/>
      <c r="D378" s="525"/>
      <c r="E378" s="513"/>
      <c r="F378" s="513"/>
      <c r="G378" s="513"/>
      <c r="H378" s="513"/>
      <c r="I378" s="519"/>
      <c r="J378" s="525"/>
      <c r="K378" s="513"/>
      <c r="L378" s="513"/>
      <c r="M378" s="513"/>
      <c r="N378" s="513"/>
      <c r="O378" s="513"/>
      <c r="P378" s="513"/>
      <c r="Q378" s="513"/>
      <c r="R378" s="513"/>
      <c r="S378" s="1017"/>
      <c r="T378" s="1025"/>
      <c r="U378" s="1025"/>
      <c r="V378" s="1025"/>
      <c r="W378" s="959" t="s">
        <v>242</v>
      </c>
      <c r="X378" s="1023"/>
      <c r="Y378" s="1024"/>
      <c r="Z378" s="1024"/>
      <c r="AA378" s="1024"/>
      <c r="AB378" s="959" t="s">
        <v>242</v>
      </c>
      <c r="AC378" s="1026"/>
      <c r="AD378" s="513"/>
      <c r="AE378" s="513"/>
      <c r="AF378" s="157">
        <f>ROWS(AE$11:$AE378)</f>
        <v>368</v>
      </c>
      <c r="AG378" s="157" t="str">
        <f>IF(ID!$A$83=AE378,AF378,"")</f>
        <v/>
      </c>
      <c r="AH378" s="157" t="str">
        <f>IFERROR(SMALL($AG$11:$AG$394,ROWS($AG$11:AG378)),"")</f>
        <v/>
      </c>
    </row>
    <row r="379" spans="1:34" x14ac:dyDescent="0.25">
      <c r="B379" s="1099" t="s">
        <v>400</v>
      </c>
      <c r="C379" s="1100"/>
      <c r="D379" s="1100"/>
      <c r="E379" s="1101"/>
      <c r="F379" s="233"/>
      <c r="H379" s="1099" t="s">
        <v>401</v>
      </c>
      <c r="I379" s="1100"/>
      <c r="J379" s="1100"/>
      <c r="K379" s="1101"/>
      <c r="L379" s="233"/>
      <c r="M379" s="1099" t="s">
        <v>195</v>
      </c>
      <c r="N379" s="1100"/>
      <c r="O379" s="1100"/>
      <c r="P379" s="1100"/>
      <c r="Q379" s="1101"/>
      <c r="S379" s="1021" t="s">
        <v>48</v>
      </c>
      <c r="T379" s="701" t="s">
        <v>403</v>
      </c>
      <c r="U379" s="701" t="s">
        <v>402</v>
      </c>
      <c r="V379" s="701" t="s">
        <v>192</v>
      </c>
      <c r="W379" s="528" t="s">
        <v>172</v>
      </c>
      <c r="X379" s="232" t="s">
        <v>190</v>
      </c>
      <c r="Y379" s="719" t="s">
        <v>404</v>
      </c>
      <c r="Z379" s="719" t="s">
        <v>405</v>
      </c>
      <c r="AA379" s="719" t="s">
        <v>193</v>
      </c>
      <c r="AB379" s="528" t="s">
        <v>152</v>
      </c>
      <c r="AC379" s="232" t="s">
        <v>191</v>
      </c>
      <c r="AF379" s="157">
        <f>ROWS(AE$11:$AE379)</f>
        <v>369</v>
      </c>
      <c r="AG379" s="157" t="str">
        <f>IF(ID!$A$83=AE379,AF379,"")</f>
        <v/>
      </c>
      <c r="AH379" s="157" t="str">
        <f>IFERROR(SMALL($AG$11:$AG$394,ROWS($AG$11:AG379)),"")</f>
        <v/>
      </c>
    </row>
    <row r="380" spans="1:34" x14ac:dyDescent="0.25">
      <c r="B380" s="207">
        <v>0</v>
      </c>
      <c r="C380" s="193" t="s">
        <v>134</v>
      </c>
      <c r="D380" s="512" t="s">
        <v>134</v>
      </c>
      <c r="E380" s="1108" t="s">
        <v>134</v>
      </c>
      <c r="F380" s="237"/>
      <c r="H380" s="207">
        <v>0</v>
      </c>
      <c r="I380" s="193" t="s">
        <v>134</v>
      </c>
      <c r="J380" s="512" t="s">
        <v>134</v>
      </c>
      <c r="K380" s="1108" t="s">
        <v>134</v>
      </c>
      <c r="L380" s="237"/>
      <c r="M380" s="207">
        <v>0</v>
      </c>
      <c r="N380" s="193">
        <v>0</v>
      </c>
      <c r="O380" s="512">
        <v>0</v>
      </c>
      <c r="P380" s="510">
        <v>0.1</v>
      </c>
      <c r="Q380" s="1111" t="s">
        <v>339</v>
      </c>
      <c r="R380" s="236"/>
      <c r="S380" s="971">
        <v>0</v>
      </c>
      <c r="T380" s="972" t="str">
        <f>C380</f>
        <v>-</v>
      </c>
      <c r="U380" s="973" t="str">
        <f>I380</f>
        <v>-</v>
      </c>
      <c r="V380" s="973">
        <f>N380</f>
        <v>0</v>
      </c>
      <c r="W380" s="974">
        <f>X380/3</f>
        <v>3.3333333333333333E-2</v>
      </c>
      <c r="X380" s="975">
        <f>P380</f>
        <v>0.1</v>
      </c>
      <c r="Y380" s="976" t="str">
        <f>D380</f>
        <v>-</v>
      </c>
      <c r="Z380" s="977" t="str">
        <f>J380</f>
        <v>-</v>
      </c>
      <c r="AA380" s="977">
        <f>O380</f>
        <v>0</v>
      </c>
      <c r="AB380" s="974">
        <f>AC380/3</f>
        <v>3.3333333333333333E-2</v>
      </c>
      <c r="AC380" s="975">
        <f>P380</f>
        <v>0.1</v>
      </c>
      <c r="AD380" s="9"/>
      <c r="AE380" s="4"/>
      <c r="AF380" s="157">
        <f>ROWS(AE$11:$AE380)</f>
        <v>370</v>
      </c>
      <c r="AG380" s="157" t="str">
        <f>IF(ID!$A$83=AE380,AF380,"")</f>
        <v/>
      </c>
      <c r="AH380" s="157" t="str">
        <f>IFERROR(SMALL($AG$11:$AG$394,ROWS($AG$11:AG380)),"")</f>
        <v/>
      </c>
    </row>
    <row r="381" spans="1:34" x14ac:dyDescent="0.25">
      <c r="B381" s="207">
        <v>50</v>
      </c>
      <c r="C381" s="193" t="s">
        <v>134</v>
      </c>
      <c r="D381" s="512" t="s">
        <v>134</v>
      </c>
      <c r="E381" s="1109"/>
      <c r="F381" s="237"/>
      <c r="H381" s="207">
        <v>50</v>
      </c>
      <c r="I381" s="193" t="s">
        <v>134</v>
      </c>
      <c r="J381" s="512" t="s">
        <v>134</v>
      </c>
      <c r="K381" s="1109"/>
      <c r="L381" s="237"/>
      <c r="M381" s="207">
        <v>50</v>
      </c>
      <c r="N381" s="193">
        <v>-0.3</v>
      </c>
      <c r="O381" s="512">
        <v>-0.3</v>
      </c>
      <c r="P381" s="510">
        <v>0.1</v>
      </c>
      <c r="Q381" s="1112"/>
      <c r="R381" s="236"/>
      <c r="S381" s="971">
        <v>50</v>
      </c>
      <c r="T381" s="972" t="str">
        <f t="shared" ref="T381:T386" si="235">C381</f>
        <v>-</v>
      </c>
      <c r="U381" s="973" t="str">
        <f t="shared" ref="U381:U386" si="236">I381</f>
        <v>-</v>
      </c>
      <c r="V381" s="973">
        <f t="shared" ref="V381:V386" si="237">N381</f>
        <v>-0.3</v>
      </c>
      <c r="W381" s="974">
        <f t="shared" ref="W381:W386" si="238">X381/3</f>
        <v>3.3333333333333333E-2</v>
      </c>
      <c r="X381" s="975">
        <f t="shared" ref="X381:X386" si="239">P381</f>
        <v>0.1</v>
      </c>
      <c r="Y381" s="976" t="str">
        <f t="shared" ref="Y381" si="240">D381</f>
        <v>-</v>
      </c>
      <c r="Z381" s="977" t="str">
        <f t="shared" ref="Z381:Z386" si="241">J381</f>
        <v>-</v>
      </c>
      <c r="AA381" s="977">
        <f t="shared" ref="AA381:AA386" si="242">O381</f>
        <v>-0.3</v>
      </c>
      <c r="AB381" s="974">
        <f t="shared" ref="AB381:AB386" si="243">AC381/3</f>
        <v>3.3333333333333333E-2</v>
      </c>
      <c r="AC381" s="975">
        <f t="shared" ref="AC381:AC386" si="244">P381</f>
        <v>0.1</v>
      </c>
      <c r="AD381" s="9"/>
      <c r="AE381" s="4"/>
      <c r="AF381" s="157">
        <f>ROWS(AE$11:$AE381)</f>
        <v>371</v>
      </c>
      <c r="AG381" s="157" t="str">
        <f>IF(ID!$A$83=AE381,AF381,"")</f>
        <v/>
      </c>
      <c r="AH381" s="157" t="str">
        <f>IFERROR(SMALL($AG$11:$AG$394,ROWS($AG$11:AG381)),"")</f>
        <v/>
      </c>
    </row>
    <row r="382" spans="1:34" x14ac:dyDescent="0.25">
      <c r="B382" s="207">
        <v>100</v>
      </c>
      <c r="C382" s="193" t="s">
        <v>134</v>
      </c>
      <c r="D382" s="512" t="s">
        <v>134</v>
      </c>
      <c r="E382" s="1109"/>
      <c r="F382" s="237"/>
      <c r="H382" s="207">
        <v>100</v>
      </c>
      <c r="I382" s="193" t="s">
        <v>134</v>
      </c>
      <c r="J382" s="512" t="s">
        <v>134</v>
      </c>
      <c r="K382" s="1109"/>
      <c r="L382" s="237"/>
      <c r="M382" s="207">
        <v>100</v>
      </c>
      <c r="N382" s="193">
        <v>-0.2</v>
      </c>
      <c r="O382" s="512">
        <v>-0.3</v>
      </c>
      <c r="P382" s="510">
        <v>0.1</v>
      </c>
      <c r="Q382" s="1112"/>
      <c r="R382" s="236"/>
      <c r="S382" s="971">
        <v>100</v>
      </c>
      <c r="T382" s="972" t="str">
        <f t="shared" si="235"/>
        <v>-</v>
      </c>
      <c r="U382" s="973" t="str">
        <f t="shared" si="236"/>
        <v>-</v>
      </c>
      <c r="V382" s="973">
        <f t="shared" si="237"/>
        <v>-0.2</v>
      </c>
      <c r="W382" s="974">
        <f t="shared" si="238"/>
        <v>3.3333333333333333E-2</v>
      </c>
      <c r="X382" s="975">
        <f t="shared" si="239"/>
        <v>0.1</v>
      </c>
      <c r="Y382" s="976" t="str">
        <f>D382</f>
        <v>-</v>
      </c>
      <c r="Z382" s="977" t="str">
        <f t="shared" si="241"/>
        <v>-</v>
      </c>
      <c r="AA382" s="977">
        <f t="shared" si="242"/>
        <v>-0.3</v>
      </c>
      <c r="AB382" s="974">
        <f t="shared" si="243"/>
        <v>3.3333333333333333E-2</v>
      </c>
      <c r="AC382" s="975">
        <f t="shared" si="244"/>
        <v>0.1</v>
      </c>
      <c r="AD382" s="9"/>
      <c r="AE382" s="4"/>
      <c r="AF382" s="157">
        <f>ROWS(AE$11:$AE382)</f>
        <v>372</v>
      </c>
      <c r="AG382" s="157" t="str">
        <f>IF(ID!$A$83=AE382,AF382,"")</f>
        <v/>
      </c>
      <c r="AH382" s="157" t="str">
        <f>IFERROR(SMALL($AG$11:$AG$394,ROWS($AG$11:AG382)),"")</f>
        <v/>
      </c>
    </row>
    <row r="383" spans="1:34" x14ac:dyDescent="0.25">
      <c r="B383" s="207">
        <v>150</v>
      </c>
      <c r="C383" s="193" t="s">
        <v>134</v>
      </c>
      <c r="D383" s="512" t="s">
        <v>134</v>
      </c>
      <c r="E383" s="1109"/>
      <c r="F383" s="237"/>
      <c r="H383" s="207">
        <v>150</v>
      </c>
      <c r="I383" s="193" t="s">
        <v>134</v>
      </c>
      <c r="J383" s="512" t="s">
        <v>134</v>
      </c>
      <c r="K383" s="1109"/>
      <c r="L383" s="237"/>
      <c r="M383" s="207">
        <v>150</v>
      </c>
      <c r="N383" s="193">
        <v>0</v>
      </c>
      <c r="O383" s="512">
        <v>0</v>
      </c>
      <c r="P383" s="510">
        <v>0.1</v>
      </c>
      <c r="Q383" s="1112"/>
      <c r="R383" s="236"/>
      <c r="S383" s="971">
        <v>150</v>
      </c>
      <c r="T383" s="972" t="str">
        <f t="shared" si="235"/>
        <v>-</v>
      </c>
      <c r="U383" s="973" t="str">
        <f t="shared" si="236"/>
        <v>-</v>
      </c>
      <c r="V383" s="973">
        <f t="shared" si="237"/>
        <v>0</v>
      </c>
      <c r="W383" s="974">
        <f t="shared" si="238"/>
        <v>3.3333333333333333E-2</v>
      </c>
      <c r="X383" s="975">
        <f t="shared" si="239"/>
        <v>0.1</v>
      </c>
      <c r="Y383" s="976" t="str">
        <f t="shared" ref="Y383" si="245">D383</f>
        <v>-</v>
      </c>
      <c r="Z383" s="977" t="str">
        <f t="shared" si="241"/>
        <v>-</v>
      </c>
      <c r="AA383" s="977">
        <f t="shared" si="242"/>
        <v>0</v>
      </c>
      <c r="AB383" s="974">
        <f t="shared" si="243"/>
        <v>3.3333333333333333E-2</v>
      </c>
      <c r="AC383" s="975">
        <f t="shared" si="244"/>
        <v>0.1</v>
      </c>
      <c r="AD383" s="9"/>
      <c r="AE383" s="4"/>
      <c r="AF383" s="157">
        <f>ROWS(AE$11:$AE383)</f>
        <v>373</v>
      </c>
      <c r="AG383" s="157" t="str">
        <f>IF(ID!$A$83=AE383,AF383,"")</f>
        <v/>
      </c>
      <c r="AH383" s="157" t="str">
        <f>IFERROR(SMALL($AG$11:$AG$394,ROWS($AG$11:AG383)),"")</f>
        <v/>
      </c>
    </row>
    <row r="384" spans="1:34" x14ac:dyDescent="0.25">
      <c r="B384" s="207">
        <v>200</v>
      </c>
      <c r="C384" s="193" t="s">
        <v>134</v>
      </c>
      <c r="D384" s="512" t="s">
        <v>134</v>
      </c>
      <c r="E384" s="1109"/>
      <c r="F384" s="237"/>
      <c r="H384" s="207">
        <v>200</v>
      </c>
      <c r="I384" s="193" t="s">
        <v>134</v>
      </c>
      <c r="J384" s="512" t="s">
        <v>134</v>
      </c>
      <c r="K384" s="1109"/>
      <c r="L384" s="237"/>
      <c r="M384" s="207">
        <v>200</v>
      </c>
      <c r="N384" s="193">
        <v>0.1</v>
      </c>
      <c r="O384" s="512">
        <v>0.1</v>
      </c>
      <c r="P384" s="510">
        <v>0.1</v>
      </c>
      <c r="Q384" s="1112"/>
      <c r="R384" s="236"/>
      <c r="S384" s="971">
        <v>200</v>
      </c>
      <c r="T384" s="972" t="str">
        <f t="shared" si="235"/>
        <v>-</v>
      </c>
      <c r="U384" s="973" t="str">
        <f t="shared" si="236"/>
        <v>-</v>
      </c>
      <c r="V384" s="973">
        <f t="shared" si="237"/>
        <v>0.1</v>
      </c>
      <c r="W384" s="974">
        <f t="shared" si="238"/>
        <v>3.3333333333333333E-2</v>
      </c>
      <c r="X384" s="975">
        <f t="shared" si="239"/>
        <v>0.1</v>
      </c>
      <c r="Y384" s="976" t="str">
        <f>D384</f>
        <v>-</v>
      </c>
      <c r="Z384" s="977" t="str">
        <f t="shared" si="241"/>
        <v>-</v>
      </c>
      <c r="AA384" s="977">
        <f t="shared" si="242"/>
        <v>0.1</v>
      </c>
      <c r="AB384" s="974">
        <f t="shared" si="243"/>
        <v>3.3333333333333333E-2</v>
      </c>
      <c r="AC384" s="975">
        <f t="shared" si="244"/>
        <v>0.1</v>
      </c>
      <c r="AD384" s="9"/>
      <c r="AE384" s="4"/>
      <c r="AF384" s="157">
        <f>ROWS(AE$11:$AE384)</f>
        <v>374</v>
      </c>
      <c r="AG384" s="157" t="str">
        <f>IF(ID!$A$83=AE384,AF384,"")</f>
        <v/>
      </c>
      <c r="AH384" s="157" t="str">
        <f>IFERROR(SMALL($AG$11:$AG$394,ROWS($AG$11:AG384)),"")</f>
        <v/>
      </c>
    </row>
    <row r="385" spans="1:34" x14ac:dyDescent="0.25">
      <c r="B385" s="207">
        <v>250</v>
      </c>
      <c r="C385" s="193" t="s">
        <v>134</v>
      </c>
      <c r="D385" s="512" t="s">
        <v>134</v>
      </c>
      <c r="E385" s="1109"/>
      <c r="F385" s="237"/>
      <c r="H385" s="207">
        <v>250</v>
      </c>
      <c r="I385" s="193" t="s">
        <v>134</v>
      </c>
      <c r="J385" s="512" t="s">
        <v>134</v>
      </c>
      <c r="K385" s="1109"/>
      <c r="L385" s="237"/>
      <c r="M385" s="207">
        <v>250</v>
      </c>
      <c r="N385" s="193">
        <v>0.2</v>
      </c>
      <c r="O385" s="512">
        <v>0.2</v>
      </c>
      <c r="P385" s="510">
        <v>0.1</v>
      </c>
      <c r="Q385" s="1112"/>
      <c r="R385" s="236"/>
      <c r="S385" s="971">
        <v>250</v>
      </c>
      <c r="T385" s="972" t="str">
        <f t="shared" si="235"/>
        <v>-</v>
      </c>
      <c r="U385" s="973" t="str">
        <f t="shared" si="236"/>
        <v>-</v>
      </c>
      <c r="V385" s="973">
        <f t="shared" si="237"/>
        <v>0.2</v>
      </c>
      <c r="W385" s="974">
        <f t="shared" si="238"/>
        <v>3.3333333333333333E-2</v>
      </c>
      <c r="X385" s="975">
        <f t="shared" si="239"/>
        <v>0.1</v>
      </c>
      <c r="Y385" s="976" t="str">
        <f t="shared" ref="Y385:Y386" si="246">D385</f>
        <v>-</v>
      </c>
      <c r="Z385" s="977" t="str">
        <f t="shared" si="241"/>
        <v>-</v>
      </c>
      <c r="AA385" s="977">
        <f t="shared" si="242"/>
        <v>0.2</v>
      </c>
      <c r="AB385" s="974">
        <f t="shared" si="243"/>
        <v>3.3333333333333333E-2</v>
      </c>
      <c r="AC385" s="975">
        <f t="shared" si="244"/>
        <v>0.1</v>
      </c>
      <c r="AD385" s="9"/>
      <c r="AE385" s="4"/>
      <c r="AF385" s="157">
        <f>ROWS(AE$11:$AE385)</f>
        <v>375</v>
      </c>
      <c r="AG385" s="157" t="str">
        <f>IF(ID!$A$83=AE385,AF385,"")</f>
        <v/>
      </c>
      <c r="AH385" s="157" t="str">
        <f>IFERROR(SMALL($AG$11:$AG$394,ROWS($AG$11:AG385)),"")</f>
        <v/>
      </c>
    </row>
    <row r="386" spans="1:34" x14ac:dyDescent="0.25">
      <c r="B386" s="207">
        <v>300</v>
      </c>
      <c r="C386" s="193" t="s">
        <v>134</v>
      </c>
      <c r="D386" s="512" t="s">
        <v>134</v>
      </c>
      <c r="E386" s="1110"/>
      <c r="F386" s="237"/>
      <c r="H386" s="207">
        <v>300</v>
      </c>
      <c r="I386" s="193" t="s">
        <v>134</v>
      </c>
      <c r="J386" s="512" t="s">
        <v>134</v>
      </c>
      <c r="K386" s="1110"/>
      <c r="L386" s="237"/>
      <c r="M386" s="207">
        <v>300</v>
      </c>
      <c r="N386" s="193">
        <v>0.3</v>
      </c>
      <c r="O386" s="512">
        <v>0.3</v>
      </c>
      <c r="P386" s="510">
        <v>0.1</v>
      </c>
      <c r="Q386" s="1113"/>
      <c r="R386" s="236"/>
      <c r="S386" s="971">
        <v>300</v>
      </c>
      <c r="T386" s="972" t="str">
        <f t="shared" si="235"/>
        <v>-</v>
      </c>
      <c r="U386" s="973" t="str">
        <f t="shared" si="236"/>
        <v>-</v>
      </c>
      <c r="V386" s="973">
        <f t="shared" si="237"/>
        <v>0.3</v>
      </c>
      <c r="W386" s="974">
        <f t="shared" si="238"/>
        <v>3.3333333333333333E-2</v>
      </c>
      <c r="X386" s="975">
        <f t="shared" si="239"/>
        <v>0.1</v>
      </c>
      <c r="Y386" s="976" t="str">
        <f t="shared" si="246"/>
        <v>-</v>
      </c>
      <c r="Z386" s="977" t="str">
        <f t="shared" si="241"/>
        <v>-</v>
      </c>
      <c r="AA386" s="977">
        <f t="shared" si="242"/>
        <v>0.3</v>
      </c>
      <c r="AB386" s="974">
        <f t="shared" si="243"/>
        <v>3.3333333333333333E-2</v>
      </c>
      <c r="AC386" s="975">
        <f t="shared" si="244"/>
        <v>0.1</v>
      </c>
      <c r="AD386" s="9"/>
      <c r="AE386" s="4"/>
      <c r="AF386" s="157">
        <f>ROWS(AE$11:$AE386)</f>
        <v>376</v>
      </c>
      <c r="AG386" s="157" t="str">
        <f>IF(ID!$A$83=AE386,AF386,"")</f>
        <v/>
      </c>
      <c r="AH386" s="157" t="str">
        <f>IFERROR(SMALL($AG$11:$AG$394,ROWS($AG$11:AG386)),"")</f>
        <v/>
      </c>
    </row>
    <row r="387" spans="1:34" x14ac:dyDescent="0.25">
      <c r="S387" s="991" t="s">
        <v>104</v>
      </c>
      <c r="T387" s="992"/>
      <c r="U387" s="993" t="s">
        <v>104</v>
      </c>
      <c r="V387" s="993"/>
      <c r="W387" s="994"/>
      <c r="X387" s="995" t="s">
        <v>104</v>
      </c>
      <c r="Y387" s="996"/>
      <c r="Z387" s="997"/>
      <c r="AA387" s="997"/>
      <c r="AB387" s="994"/>
      <c r="AC387" s="998"/>
      <c r="AD387" s="95"/>
      <c r="AE387" s="4"/>
      <c r="AF387" s="157">
        <f>ROWS(AE$11:$AE387)</f>
        <v>377</v>
      </c>
      <c r="AG387" s="157" t="str">
        <f>IF(ID!$A$83=AE387,AF387,"")</f>
        <v/>
      </c>
      <c r="AH387" s="157" t="str">
        <f>IFERROR(SMALL($AG$11:$AG$394,ROWS($AG$11:AG387)),"")</f>
        <v/>
      </c>
    </row>
    <row r="388" spans="1:34" x14ac:dyDescent="0.25">
      <c r="E388" s="13"/>
      <c r="F388" s="13"/>
      <c r="K388" s="13"/>
      <c r="L388" s="13"/>
      <c r="N388" s="13"/>
      <c r="O388" s="13"/>
      <c r="Q388" s="13"/>
      <c r="R388" s="13"/>
      <c r="S388" s="991" t="s">
        <v>104</v>
      </c>
      <c r="T388" s="992"/>
      <c r="U388" s="993" t="s">
        <v>104</v>
      </c>
      <c r="V388" s="993"/>
      <c r="W388" s="994"/>
      <c r="X388" s="998" t="s">
        <v>104</v>
      </c>
      <c r="Y388" s="997"/>
      <c r="Z388" s="997"/>
      <c r="AA388" s="997"/>
      <c r="AB388" s="994"/>
      <c r="AC388" s="998"/>
      <c r="AD388" s="95"/>
      <c r="AE388" s="4"/>
      <c r="AF388" s="157">
        <f>ROWS(AE$11:$AE388)</f>
        <v>378</v>
      </c>
      <c r="AG388" s="157" t="str">
        <f>IF(ID!$A$83=AE388,AF388,"")</f>
        <v/>
      </c>
      <c r="AH388" s="157" t="str">
        <f>IFERROR(SMALL($AG$11:$AG$394,ROWS($AG$11:AG388)),"")</f>
        <v/>
      </c>
    </row>
    <row r="389" spans="1:34" x14ac:dyDescent="0.25">
      <c r="S389" s="991" t="s">
        <v>104</v>
      </c>
      <c r="T389" s="992"/>
      <c r="U389" s="993" t="s">
        <v>104</v>
      </c>
      <c r="V389" s="993"/>
      <c r="W389" s="994"/>
      <c r="X389" s="998" t="s">
        <v>104</v>
      </c>
      <c r="Y389" s="997"/>
      <c r="Z389" s="997"/>
      <c r="AA389" s="997"/>
      <c r="AB389" s="994"/>
      <c r="AC389" s="998"/>
      <c r="AD389" s="95"/>
      <c r="AE389" s="4"/>
      <c r="AF389" s="157">
        <f>ROWS(AE$11:$AE389)</f>
        <v>379</v>
      </c>
      <c r="AG389" s="157" t="str">
        <f>IF(ID!$A$83=AE389,AF389,"")</f>
        <v/>
      </c>
      <c r="AH389" s="157" t="str">
        <f>IFERROR(SMALL($AG$11:$AG$394,ROWS($AG$11:AG389)),"")</f>
        <v/>
      </c>
    </row>
    <row r="390" spans="1:34" x14ac:dyDescent="0.25">
      <c r="S390" s="991" t="s">
        <v>104</v>
      </c>
      <c r="T390" s="992"/>
      <c r="U390" s="993" t="s">
        <v>104</v>
      </c>
      <c r="V390" s="993"/>
      <c r="W390" s="994"/>
      <c r="X390" s="998" t="s">
        <v>104</v>
      </c>
      <c r="Y390" s="997"/>
      <c r="Z390" s="997"/>
      <c r="AA390" s="997"/>
      <c r="AB390" s="994"/>
      <c r="AC390" s="998"/>
      <c r="AD390" s="95"/>
      <c r="AE390" s="4"/>
      <c r="AF390" s="157">
        <f>ROWS(AE$11:$AE390)</f>
        <v>380</v>
      </c>
      <c r="AG390" s="157" t="str">
        <f>IF(ID!$A$83=AE390,AF390,"")</f>
        <v/>
      </c>
      <c r="AH390" s="157" t="str">
        <f>IFERROR(SMALL($AG$11:$AG$394,ROWS($AG$11:AG390)),"")</f>
        <v/>
      </c>
    </row>
    <row r="391" spans="1:34" x14ac:dyDescent="0.25">
      <c r="E391" s="13"/>
      <c r="F391" s="13"/>
      <c r="K391" s="13"/>
      <c r="L391" s="13"/>
      <c r="N391" s="13"/>
      <c r="O391" s="13"/>
      <c r="Q391" s="13"/>
      <c r="R391" s="13"/>
      <c r="S391" s="231"/>
      <c r="AD391" s="13"/>
      <c r="AE391" s="13"/>
      <c r="AF391" s="157">
        <f>ROWS(AE$11:$AE391)</f>
        <v>381</v>
      </c>
      <c r="AG391" s="157" t="str">
        <f>IF(ID!$A$83=AE391,AF391,"")</f>
        <v/>
      </c>
      <c r="AH391" s="157" t="str">
        <f>IFERROR(SMALL($AG$11:$AG$394,ROWS($AG$11:AG391)),"")</f>
        <v/>
      </c>
    </row>
    <row r="392" spans="1:34" x14ac:dyDescent="0.25">
      <c r="A392" s="513"/>
      <c r="B392" s="513"/>
      <c r="C392" s="519"/>
      <c r="D392" s="525"/>
      <c r="E392" s="513"/>
      <c r="F392" s="513"/>
      <c r="G392" s="513"/>
      <c r="H392" s="513"/>
      <c r="I392" s="519"/>
      <c r="J392" s="525"/>
      <c r="K392" s="513"/>
      <c r="L392" s="513"/>
      <c r="M392" s="513"/>
      <c r="N392" s="513"/>
      <c r="O392" s="513"/>
      <c r="P392" s="513"/>
      <c r="Q392" s="513"/>
      <c r="R392" s="513"/>
      <c r="S392" s="514"/>
      <c r="T392" s="514"/>
      <c r="U392" s="514"/>
      <c r="V392" s="514"/>
      <c r="W392" s="514"/>
      <c r="X392" s="514"/>
      <c r="Y392" s="514"/>
      <c r="Z392" s="514"/>
      <c r="AA392" s="514"/>
      <c r="AB392" s="514"/>
      <c r="AC392" s="513"/>
      <c r="AD392" s="513"/>
      <c r="AE392" s="513"/>
      <c r="AF392" s="157">
        <f>ROWS(AE$11:$AE392)</f>
        <v>382</v>
      </c>
      <c r="AG392" s="157" t="str">
        <f>IF(ID!$A$83=AE392,AF392,"")</f>
        <v/>
      </c>
      <c r="AH392" s="157" t="str">
        <f>IFERROR(SMALL($AG$11:$AG$394,ROWS($AG$11:AG392)),"")</f>
        <v/>
      </c>
    </row>
    <row r="393" spans="1:34" x14ac:dyDescent="0.25">
      <c r="A393" s="513"/>
      <c r="B393" s="513"/>
      <c r="C393" s="519"/>
      <c r="D393" s="525"/>
      <c r="E393" s="513"/>
      <c r="F393" s="513"/>
      <c r="G393" s="513"/>
      <c r="H393" s="513"/>
      <c r="I393" s="519"/>
      <c r="J393" s="525"/>
      <c r="K393" s="513"/>
      <c r="L393" s="513"/>
      <c r="M393" s="513"/>
      <c r="N393" s="513"/>
      <c r="O393" s="513"/>
      <c r="P393" s="513"/>
      <c r="Q393" s="513"/>
      <c r="R393" s="513"/>
      <c r="S393" s="514"/>
      <c r="T393" s="514"/>
      <c r="U393" s="514"/>
      <c r="V393" s="514"/>
      <c r="W393" s="514"/>
      <c r="X393" s="514"/>
      <c r="Y393" s="514"/>
      <c r="Z393" s="514"/>
      <c r="AA393" s="514"/>
      <c r="AB393" s="514"/>
      <c r="AC393" s="513"/>
      <c r="AD393" s="513"/>
      <c r="AE393" s="513"/>
      <c r="AF393" s="157">
        <f>ROWS(AE$11:$AE393)</f>
        <v>383</v>
      </c>
      <c r="AG393" s="157" t="str">
        <f>IF(ID!$A$83=AE393,AF393,"")</f>
        <v/>
      </c>
      <c r="AH393" s="157" t="str">
        <f>IFERROR(SMALL($AG$11:$AG$394,ROWS($AG$11:AG393)),"")</f>
        <v/>
      </c>
    </row>
    <row r="394" spans="1:34" x14ac:dyDescent="0.25">
      <c r="A394" s="513"/>
      <c r="B394" s="513"/>
      <c r="C394" s="519"/>
      <c r="D394" s="525"/>
      <c r="E394" s="513"/>
      <c r="F394" s="513"/>
      <c r="G394" s="513"/>
      <c r="H394" s="513"/>
      <c r="I394" s="519"/>
      <c r="J394" s="525"/>
      <c r="K394" s="513"/>
      <c r="L394" s="513"/>
      <c r="M394" s="513"/>
      <c r="N394" s="513"/>
      <c r="O394" s="513"/>
      <c r="P394" s="513"/>
      <c r="Q394" s="513"/>
      <c r="R394" s="513"/>
      <c r="S394" s="514"/>
      <c r="T394" s="514"/>
      <c r="U394" s="514"/>
      <c r="V394" s="514"/>
      <c r="W394" s="514"/>
      <c r="X394" s="514"/>
      <c r="Y394" s="514"/>
      <c r="Z394" s="514"/>
      <c r="AA394" s="514"/>
      <c r="AB394" s="514"/>
      <c r="AC394" s="513"/>
      <c r="AD394" s="513"/>
      <c r="AE394" s="513"/>
      <c r="AF394" s="157">
        <f>ROWS(AE$11:$AE394)</f>
        <v>384</v>
      </c>
      <c r="AG394" s="157" t="str">
        <f>IF(ID!$A$83=AE394,AF394,"")</f>
        <v/>
      </c>
      <c r="AH394" s="157" t="str">
        <f>IFERROR(SMALL($AG$11:$AG$394,ROWS($AG$11:AG394)),"")</f>
        <v/>
      </c>
    </row>
  </sheetData>
  <mergeCells count="150">
    <mergeCell ref="E364:E370"/>
    <mergeCell ref="E380:E386"/>
    <mergeCell ref="B347:E347"/>
    <mergeCell ref="B363:E363"/>
    <mergeCell ref="B379:E379"/>
    <mergeCell ref="E252:E258"/>
    <mergeCell ref="E268:E274"/>
    <mergeCell ref="E284:E290"/>
    <mergeCell ref="E300:E306"/>
    <mergeCell ref="B267:E267"/>
    <mergeCell ref="B299:E299"/>
    <mergeCell ref="E316:E322"/>
    <mergeCell ref="E332:E338"/>
    <mergeCell ref="E348:E354"/>
    <mergeCell ref="B315:E315"/>
    <mergeCell ref="E155:E161"/>
    <mergeCell ref="E169:E175"/>
    <mergeCell ref="E184:E190"/>
    <mergeCell ref="E201:E207"/>
    <mergeCell ref="E218:E224"/>
    <mergeCell ref="B168:E168"/>
    <mergeCell ref="B183:E183"/>
    <mergeCell ref="B200:E200"/>
    <mergeCell ref="E235:E241"/>
    <mergeCell ref="B234:E234"/>
    <mergeCell ref="E50:E56"/>
    <mergeCell ref="B24:E24"/>
    <mergeCell ref="B34:E34"/>
    <mergeCell ref="B49:E49"/>
    <mergeCell ref="E65:E71"/>
    <mergeCell ref="E80:E86"/>
    <mergeCell ref="E110:E116"/>
    <mergeCell ref="E125:E131"/>
    <mergeCell ref="E140:E146"/>
    <mergeCell ref="B79:E79"/>
    <mergeCell ref="B109:E109"/>
    <mergeCell ref="B124:E124"/>
    <mergeCell ref="B139:E139"/>
    <mergeCell ref="H7:K7"/>
    <mergeCell ref="S6:AH7"/>
    <mergeCell ref="M7:Q7"/>
    <mergeCell ref="S8:X8"/>
    <mergeCell ref="Y8:AC8"/>
    <mergeCell ref="B7:E7"/>
    <mergeCell ref="E10:E17"/>
    <mergeCell ref="E25:E31"/>
    <mergeCell ref="E35:E41"/>
    <mergeCell ref="K10:K17"/>
    <mergeCell ref="Q10:Q17"/>
    <mergeCell ref="K25:K31"/>
    <mergeCell ref="Q25:Q31"/>
    <mergeCell ref="K35:K41"/>
    <mergeCell ref="Q35:Q41"/>
    <mergeCell ref="H24:K24"/>
    <mergeCell ref="M24:Q24"/>
    <mergeCell ref="H34:K34"/>
    <mergeCell ref="M34:Q34"/>
    <mergeCell ref="K252:K258"/>
    <mergeCell ref="Q252:Q258"/>
    <mergeCell ref="K50:K56"/>
    <mergeCell ref="K65:K71"/>
    <mergeCell ref="Q65:Q71"/>
    <mergeCell ref="Q50:Q56"/>
    <mergeCell ref="K201:K207"/>
    <mergeCell ref="Q201:Q207"/>
    <mergeCell ref="K218:K224"/>
    <mergeCell ref="Q218:Q224"/>
    <mergeCell ref="K235:K241"/>
    <mergeCell ref="Q235:Q241"/>
    <mergeCell ref="K140:K146"/>
    <mergeCell ref="Q140:Q146"/>
    <mergeCell ref="K155:K161"/>
    <mergeCell ref="Q155:Q161"/>
    <mergeCell ref="K184:K190"/>
    <mergeCell ref="Q184:Q190"/>
    <mergeCell ref="Q169:Q175"/>
    <mergeCell ref="K169:K175"/>
    <mergeCell ref="H168:K168"/>
    <mergeCell ref="M168:Q168"/>
    <mergeCell ref="H183:K183"/>
    <mergeCell ref="M183:Q183"/>
    <mergeCell ref="H49:K49"/>
    <mergeCell ref="M49:Q49"/>
    <mergeCell ref="B64:E64"/>
    <mergeCell ref="H64:K64"/>
    <mergeCell ref="M64:Q64"/>
    <mergeCell ref="K364:K370"/>
    <mergeCell ref="Q364:Q370"/>
    <mergeCell ref="K380:K386"/>
    <mergeCell ref="Q380:Q386"/>
    <mergeCell ref="K332:K338"/>
    <mergeCell ref="Q332:Q338"/>
    <mergeCell ref="K348:K354"/>
    <mergeCell ref="Q348:Q354"/>
    <mergeCell ref="H347:K347"/>
    <mergeCell ref="M347:Q347"/>
    <mergeCell ref="H363:K363"/>
    <mergeCell ref="M363:Q363"/>
    <mergeCell ref="H379:K379"/>
    <mergeCell ref="M379:Q379"/>
    <mergeCell ref="Q284:Q290"/>
    <mergeCell ref="K284:K290"/>
    <mergeCell ref="K300:K306"/>
    <mergeCell ref="Q300:Q306"/>
    <mergeCell ref="K316:K322"/>
    <mergeCell ref="H139:K139"/>
    <mergeCell ref="M139:Q139"/>
    <mergeCell ref="B154:E154"/>
    <mergeCell ref="H154:K154"/>
    <mergeCell ref="M154:Q154"/>
    <mergeCell ref="H79:K79"/>
    <mergeCell ref="M79:Q79"/>
    <mergeCell ref="B94:E94"/>
    <mergeCell ref="H94:K94"/>
    <mergeCell ref="M94:Q94"/>
    <mergeCell ref="K80:K86"/>
    <mergeCell ref="Q80:Q86"/>
    <mergeCell ref="K110:K116"/>
    <mergeCell ref="Q110:Q116"/>
    <mergeCell ref="K125:K131"/>
    <mergeCell ref="Q125:Q131"/>
    <mergeCell ref="H109:K109"/>
    <mergeCell ref="M109:Q109"/>
    <mergeCell ref="H124:K124"/>
    <mergeCell ref="M124:Q124"/>
    <mergeCell ref="H234:K234"/>
    <mergeCell ref="M234:Q234"/>
    <mergeCell ref="B251:E251"/>
    <mergeCell ref="H251:K251"/>
    <mergeCell ref="M251:Q251"/>
    <mergeCell ref="H200:K200"/>
    <mergeCell ref="M200:Q200"/>
    <mergeCell ref="B217:E217"/>
    <mergeCell ref="H217:K217"/>
    <mergeCell ref="M217:Q217"/>
    <mergeCell ref="H315:K315"/>
    <mergeCell ref="M315:Q315"/>
    <mergeCell ref="B331:E331"/>
    <mergeCell ref="H331:K331"/>
    <mergeCell ref="M331:Q331"/>
    <mergeCell ref="H267:K267"/>
    <mergeCell ref="M267:Q267"/>
    <mergeCell ref="B283:E283"/>
    <mergeCell ref="H283:K283"/>
    <mergeCell ref="M283:Q283"/>
    <mergeCell ref="Q316:Q322"/>
    <mergeCell ref="H299:K299"/>
    <mergeCell ref="M299:Q299"/>
    <mergeCell ref="K268:K274"/>
    <mergeCell ref="Q268:Q27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AM150"/>
  <sheetViews>
    <sheetView showGridLines="0" tabSelected="1" view="pageBreakPreview" topLeftCell="A18" zoomScaleNormal="100" zoomScaleSheetLayoutView="100" workbookViewId="0">
      <selection activeCell="H43" sqref="H43"/>
    </sheetView>
  </sheetViews>
  <sheetFormatPr defaultColWidth="9.21875" defaultRowHeight="15.6" x14ac:dyDescent="0.25"/>
  <cols>
    <col min="1" max="1" width="30.21875" style="33" customWidth="1"/>
    <col min="2" max="2" width="11.5546875" style="33" customWidth="1"/>
    <col min="3" max="3" width="15.33203125" style="33" customWidth="1"/>
    <col min="4" max="5" width="10" style="33" customWidth="1"/>
    <col min="6" max="7" width="9.77734375" style="33" customWidth="1"/>
    <col min="8" max="11" width="9.21875" style="33" customWidth="1"/>
    <col min="12" max="12" width="12" style="33" customWidth="1"/>
    <col min="13" max="13" width="17.21875" style="33" customWidth="1"/>
    <col min="14" max="14" width="8.5546875" style="33" customWidth="1"/>
    <col min="15" max="15" width="9.77734375" style="33" customWidth="1"/>
    <col min="16" max="16" width="16" style="33" customWidth="1"/>
    <col min="17" max="17" width="13.21875" style="33" customWidth="1"/>
    <col min="18" max="18" width="7.77734375" style="33" customWidth="1"/>
    <col min="19" max="19" width="9.21875" style="33" customWidth="1"/>
    <col min="20" max="20" width="12.77734375" style="33" customWidth="1"/>
    <col min="21" max="21" width="17.44140625" style="33" customWidth="1"/>
    <col min="22" max="22" width="16.44140625" style="33" customWidth="1"/>
    <col min="23" max="23" width="9.21875" style="33" customWidth="1"/>
    <col min="24" max="24" width="17.77734375" style="33" customWidth="1"/>
    <col min="25" max="28" width="9.21875" style="33" customWidth="1"/>
    <col min="29" max="29" width="14.21875" style="33" customWidth="1"/>
    <col min="30" max="30" width="21.21875" style="33" customWidth="1"/>
    <col min="31" max="225" width="9.21875" style="33" customWidth="1"/>
    <col min="226" max="226" width="7.77734375" style="33" customWidth="1"/>
    <col min="227" max="230" width="8.77734375" style="33" customWidth="1"/>
    <col min="231" max="231" width="0.21875" style="33" customWidth="1"/>
    <col min="232" max="232" width="8.5546875" style="33" customWidth="1"/>
    <col min="233" max="238" width="8.77734375" style="33" customWidth="1"/>
    <col min="239" max="16384" width="9.21875" style="33"/>
  </cols>
  <sheetData>
    <row r="1" spans="1:18" ht="18" x14ac:dyDescent="0.25">
      <c r="A1" s="1128" t="s">
        <v>187</v>
      </c>
      <c r="B1" s="1128"/>
      <c r="C1" s="1128"/>
      <c r="D1" s="1128"/>
      <c r="E1" s="1128"/>
      <c r="F1" s="1128"/>
      <c r="G1" s="1128"/>
      <c r="H1" s="1128"/>
      <c r="I1" s="1128"/>
      <c r="J1" s="1128"/>
      <c r="K1" s="1128"/>
      <c r="L1" s="31"/>
      <c r="M1" s="31"/>
      <c r="N1" s="31"/>
      <c r="O1" s="31"/>
      <c r="P1" s="31"/>
      <c r="Q1" s="32"/>
      <c r="R1" s="32"/>
    </row>
    <row r="2" spans="1:18" ht="17.399999999999999" x14ac:dyDescent="0.25">
      <c r="A2" s="184"/>
      <c r="B2" s="184"/>
      <c r="C2" s="184"/>
      <c r="D2" s="657" t="str">
        <f>IF(PENYELIA!M73&gt;=80,KETERANGAN!F8,KETERANGAN!F9)</f>
        <v>Nomor Surat Keterangan : 44 / M -</v>
      </c>
      <c r="F2" s="184"/>
      <c r="G2" s="184"/>
      <c r="H2" s="184"/>
      <c r="I2" s="1090" t="s">
        <v>365</v>
      </c>
      <c r="J2" s="889"/>
      <c r="K2" s="889"/>
      <c r="L2" s="184"/>
      <c r="M2" s="184"/>
      <c r="N2" s="184"/>
      <c r="O2" s="184"/>
      <c r="P2" s="36"/>
      <c r="Q2" s="36"/>
      <c r="R2" s="36"/>
    </row>
    <row r="3" spans="1:18" ht="17.399999999999999" x14ac:dyDescent="0.25">
      <c r="A3" s="38"/>
      <c r="B3" s="38"/>
      <c r="F3" s="38"/>
      <c r="G3" s="38"/>
      <c r="H3" s="38"/>
      <c r="I3" s="38"/>
      <c r="J3" s="38"/>
      <c r="K3" s="38"/>
      <c r="L3" s="38"/>
      <c r="M3" s="38"/>
      <c r="N3" s="38"/>
      <c r="O3" s="38"/>
      <c r="P3" s="36"/>
      <c r="Q3" s="36"/>
      <c r="R3" s="36"/>
    </row>
    <row r="4" spans="1:18" ht="9.75" customHeight="1" x14ac:dyDescent="0.25">
      <c r="A4" s="102"/>
      <c r="B4" s="38"/>
      <c r="C4" s="38"/>
      <c r="E4" s="38"/>
      <c r="F4" s="38"/>
      <c r="G4" s="38"/>
      <c r="H4" s="38"/>
      <c r="I4" s="38"/>
      <c r="J4" s="38"/>
      <c r="K4" s="38"/>
      <c r="L4" s="38"/>
      <c r="M4" s="38"/>
      <c r="N4" s="38"/>
      <c r="O4" s="38"/>
      <c r="P4" s="36"/>
      <c r="Q4" s="36"/>
      <c r="R4" s="36"/>
    </row>
    <row r="5" spans="1:18" ht="6.75" customHeight="1" x14ac:dyDescent="0.25">
      <c r="F5" s="63"/>
      <c r="G5" s="63"/>
      <c r="H5" s="41"/>
      <c r="I5" s="41"/>
    </row>
    <row r="6" spans="1:18" ht="17.399999999999999" x14ac:dyDescent="0.25">
      <c r="A6" s="39" t="s">
        <v>21</v>
      </c>
      <c r="B6" s="40" t="s">
        <v>0</v>
      </c>
      <c r="C6" s="829" t="s">
        <v>232</v>
      </c>
      <c r="D6" s="38"/>
      <c r="H6" s="98"/>
      <c r="L6" s="169"/>
      <c r="M6" s="169"/>
      <c r="N6" s="169"/>
      <c r="O6" s="169"/>
      <c r="P6" s="36"/>
      <c r="Q6" s="36"/>
      <c r="R6" s="36"/>
    </row>
    <row r="7" spans="1:18" x14ac:dyDescent="0.25">
      <c r="A7" s="103" t="s">
        <v>136</v>
      </c>
      <c r="B7" s="40" t="s">
        <v>0</v>
      </c>
      <c r="C7" s="829" t="s">
        <v>134</v>
      </c>
      <c r="D7" s="98"/>
      <c r="L7" s="169"/>
      <c r="M7" s="169"/>
      <c r="N7" s="169"/>
      <c r="O7" s="169"/>
    </row>
    <row r="8" spans="1:18" ht="15.75" customHeight="1" x14ac:dyDescent="0.25">
      <c r="A8" s="39" t="s">
        <v>9</v>
      </c>
      <c r="B8" s="40" t="s">
        <v>0</v>
      </c>
      <c r="C8" s="830" t="s">
        <v>134</v>
      </c>
      <c r="D8" s="98"/>
      <c r="L8" s="169"/>
      <c r="M8" s="169"/>
      <c r="N8" s="169"/>
      <c r="O8" s="169"/>
    </row>
    <row r="9" spans="1:18" x14ac:dyDescent="0.25">
      <c r="A9" s="39" t="s">
        <v>76</v>
      </c>
      <c r="B9" s="40" t="s">
        <v>0</v>
      </c>
      <c r="C9" s="829">
        <v>2</v>
      </c>
      <c r="D9" s="98"/>
      <c r="L9" s="169"/>
      <c r="M9" s="368" t="s">
        <v>201</v>
      </c>
      <c r="N9" s="169"/>
      <c r="O9" s="169"/>
    </row>
    <row r="10" spans="1:18" x14ac:dyDescent="0.25">
      <c r="A10" s="98" t="s">
        <v>135</v>
      </c>
      <c r="B10" s="99" t="s">
        <v>0</v>
      </c>
      <c r="C10" s="1088">
        <v>44641</v>
      </c>
      <c r="D10" s="98"/>
      <c r="E10" s="169"/>
      <c r="F10" s="169"/>
      <c r="G10" s="169"/>
      <c r="H10" s="169"/>
      <c r="I10" s="169"/>
      <c r="J10" s="169"/>
      <c r="K10" s="169"/>
      <c r="L10" s="169"/>
      <c r="M10" s="98" t="s">
        <v>202</v>
      </c>
      <c r="N10" s="169"/>
      <c r="O10" s="169"/>
    </row>
    <row r="11" spans="1:18" x14ac:dyDescent="0.25">
      <c r="A11" s="39" t="s">
        <v>1</v>
      </c>
      <c r="B11" s="40" t="s">
        <v>0</v>
      </c>
      <c r="C11" s="1088" t="s">
        <v>584</v>
      </c>
      <c r="D11" s="98"/>
      <c r="E11" s="169"/>
      <c r="F11" s="169"/>
      <c r="G11" s="169"/>
      <c r="H11" s="169"/>
      <c r="I11" s="169"/>
      <c r="J11" s="169"/>
      <c r="K11" s="169"/>
      <c r="L11" s="169"/>
      <c r="M11" s="98" t="s">
        <v>203</v>
      </c>
      <c r="N11" s="169"/>
      <c r="O11" s="169"/>
    </row>
    <row r="12" spans="1:18" x14ac:dyDescent="0.25">
      <c r="A12" s="39" t="s">
        <v>2</v>
      </c>
      <c r="B12" s="40" t="s">
        <v>0</v>
      </c>
      <c r="C12" s="831" t="s">
        <v>231</v>
      </c>
      <c r="D12" s="98"/>
      <c r="E12" s="63"/>
    </row>
    <row r="13" spans="1:18" x14ac:dyDescent="0.25">
      <c r="A13" s="34" t="s">
        <v>23</v>
      </c>
      <c r="B13" s="40" t="s">
        <v>0</v>
      </c>
      <c r="C13" s="829" t="s">
        <v>448</v>
      </c>
      <c r="D13" s="98"/>
      <c r="L13" s="169"/>
      <c r="M13" s="169"/>
      <c r="N13" s="169"/>
      <c r="O13" s="169"/>
    </row>
    <row r="14" spans="1:18" x14ac:dyDescent="0.25">
      <c r="A14" s="103" t="s">
        <v>207</v>
      </c>
      <c r="B14" s="40" t="s">
        <v>0</v>
      </c>
      <c r="C14" s="1132" t="s">
        <v>201</v>
      </c>
      <c r="D14" s="1132"/>
      <c r="E14" s="63"/>
    </row>
    <row r="15" spans="1:18" x14ac:dyDescent="0.25">
      <c r="A15" s="39"/>
      <c r="B15" s="40"/>
      <c r="C15" s="35"/>
      <c r="D15" s="185"/>
      <c r="E15" s="42"/>
      <c r="F15" s="63"/>
      <c r="G15" s="63"/>
      <c r="H15" s="41"/>
      <c r="I15" s="41"/>
    </row>
    <row r="16" spans="1:18" x14ac:dyDescent="0.25">
      <c r="A16" s="39"/>
      <c r="B16" s="40"/>
      <c r="C16" s="43"/>
      <c r="D16" s="34"/>
      <c r="E16" s="44"/>
      <c r="F16" s="39"/>
      <c r="G16" s="39"/>
      <c r="H16" s="41"/>
      <c r="I16" s="100"/>
      <c r="J16" s="34"/>
      <c r="K16" s="34"/>
      <c r="L16" s="34"/>
      <c r="M16" s="34"/>
      <c r="N16" s="34"/>
      <c r="O16" s="34"/>
      <c r="P16" s="34"/>
    </row>
    <row r="17" spans="1:39" x14ac:dyDescent="0.25">
      <c r="E17" s="44"/>
      <c r="F17" s="39"/>
      <c r="G17" s="39"/>
      <c r="H17" s="100"/>
      <c r="I17" s="100"/>
      <c r="J17" s="34"/>
      <c r="K17" s="34"/>
      <c r="L17" s="34"/>
      <c r="M17" s="34"/>
      <c r="N17" s="34"/>
      <c r="O17" s="34"/>
      <c r="P17" s="34"/>
    </row>
    <row r="18" spans="1:39" ht="24.75" customHeight="1" x14ac:dyDescent="0.25">
      <c r="A18" s="505" t="str">
        <f>LK!A17</f>
        <v>I. Kondisi Ruang</v>
      </c>
      <c r="B18" s="505"/>
      <c r="C18" s="505"/>
      <c r="D18" s="505"/>
      <c r="E18" s="505"/>
      <c r="F18" s="505"/>
      <c r="G18" s="34"/>
      <c r="H18" s="34"/>
      <c r="I18" s="34"/>
      <c r="J18" s="34"/>
      <c r="K18" s="34"/>
      <c r="L18" s="34"/>
      <c r="M18" s="98"/>
      <c r="N18" s="368"/>
      <c r="O18" s="34"/>
      <c r="P18" s="45"/>
      <c r="Q18" s="47"/>
      <c r="R18" s="47"/>
      <c r="W18" s="98"/>
      <c r="X18" s="98"/>
    </row>
    <row r="19" spans="1:39" ht="26.25" customHeight="1" x14ac:dyDescent="0.2">
      <c r="A19" s="1149" t="s">
        <v>53</v>
      </c>
      <c r="B19" s="1139" t="s">
        <v>72</v>
      </c>
      <c r="C19" s="1139" t="s">
        <v>72</v>
      </c>
      <c r="D19" s="1139" t="s">
        <v>73</v>
      </c>
      <c r="E19" s="1139" t="s">
        <v>74</v>
      </c>
      <c r="F19" s="1139" t="s">
        <v>75</v>
      </c>
      <c r="G19" s="34"/>
      <c r="O19" s="26"/>
      <c r="Q19" s="493"/>
      <c r="R19" s="493"/>
      <c r="S19" s="493"/>
      <c r="T19" s="493"/>
      <c r="U19" s="98"/>
      <c r="W19" s="736"/>
      <c r="X19" s="737"/>
      <c r="Y19" s="26"/>
      <c r="AA19" s="493"/>
      <c r="AB19" s="493"/>
      <c r="AC19" s="952">
        <f>X22+AC20</f>
        <v>22.6</v>
      </c>
      <c r="AD19" s="98"/>
      <c r="AE19" s="493"/>
      <c r="AF19" s="493"/>
      <c r="AG19" s="493"/>
      <c r="AH19" s="493"/>
      <c r="AI19" s="493"/>
      <c r="AJ19" s="493"/>
      <c r="AK19" s="493"/>
      <c r="AL19" s="493"/>
      <c r="AM19" s="493"/>
    </row>
    <row r="20" spans="1:39" ht="26.25" customHeight="1" x14ac:dyDescent="0.2">
      <c r="A20" s="1150"/>
      <c r="B20" s="1140"/>
      <c r="C20" s="1140"/>
      <c r="D20" s="1140"/>
      <c r="E20" s="1140"/>
      <c r="F20" s="1140"/>
      <c r="G20" s="34"/>
      <c r="M20" s="730"/>
      <c r="N20" s="731"/>
      <c r="O20" s="26"/>
      <c r="Q20" s="47"/>
      <c r="R20" s="47"/>
      <c r="T20" s="732"/>
      <c r="U20" s="494"/>
      <c r="W20" s="736"/>
      <c r="X20" s="738"/>
      <c r="Y20" s="26"/>
      <c r="AA20" s="47"/>
      <c r="AB20" s="47"/>
      <c r="AC20" s="951">
        <f>(((AB22-Z22)/(AA22-Y22))*(X22-Y22)+Z22)</f>
        <v>0.1</v>
      </c>
      <c r="AD20" s="1170"/>
    </row>
    <row r="21" spans="1:39" ht="17.25" customHeight="1" x14ac:dyDescent="0.2">
      <c r="A21" s="48"/>
      <c r="B21" s="391" t="s">
        <v>44</v>
      </c>
      <c r="C21" s="391" t="s">
        <v>45</v>
      </c>
      <c r="D21" s="391" t="s">
        <v>50</v>
      </c>
      <c r="E21" s="391" t="s">
        <v>47</v>
      </c>
      <c r="F21" s="391" t="s">
        <v>47</v>
      </c>
      <c r="G21" s="34"/>
      <c r="M21" s="730"/>
      <c r="N21" s="733"/>
      <c r="O21" s="26"/>
      <c r="Q21" s="47"/>
      <c r="R21" s="47"/>
      <c r="T21" s="732"/>
      <c r="U21" s="494"/>
      <c r="W21" s="736"/>
      <c r="X21" s="738"/>
      <c r="Y21" s="26"/>
      <c r="AA21" s="47"/>
      <c r="AB21" s="47"/>
      <c r="AC21" s="732"/>
      <c r="AD21" s="1170"/>
    </row>
    <row r="22" spans="1:39" ht="17.25" customHeight="1" x14ac:dyDescent="0.25">
      <c r="A22" s="49" t="s">
        <v>26</v>
      </c>
      <c r="B22" s="1091">
        <v>22.5</v>
      </c>
      <c r="C22" s="1091">
        <v>22.5</v>
      </c>
      <c r="D22" s="739">
        <f>B22+'INTERPOLASI  '!CH18</f>
        <v>22.65</v>
      </c>
      <c r="E22" s="739">
        <f>C22+'INTERPOLASI  '!CH24</f>
        <v>22.65</v>
      </c>
      <c r="F22" s="828">
        <f>(D22+E22)/2</f>
        <v>22.65</v>
      </c>
      <c r="G22" s="833" t="s">
        <v>453</v>
      </c>
      <c r="L22" s="99"/>
      <c r="U22" s="735" t="s">
        <v>411</v>
      </c>
      <c r="V22" s="748">
        <f>B22</f>
        <v>22.5</v>
      </c>
      <c r="W22" s="749">
        <f>C22</f>
        <v>22.5</v>
      </c>
      <c r="X22" s="750">
        <f>AVERAGE(V22:W22)</f>
        <v>22.5</v>
      </c>
      <c r="Y22" s="751">
        <f>'DATA 1'!J8</f>
        <v>25</v>
      </c>
      <c r="Z22" s="752">
        <f>'DATA 1'!K8</f>
        <v>0.1</v>
      </c>
      <c r="AA22" s="753">
        <f>'DATA 1'!J9</f>
        <v>30</v>
      </c>
      <c r="AB22" s="754">
        <f>'DATA 1'!K9</f>
        <v>0.1</v>
      </c>
      <c r="AC22" s="741">
        <f>((((AB22-Z22)*(X22-Y22)))/(AA22-Y22))+Z22</f>
        <v>0.1</v>
      </c>
      <c r="AD22" s="755">
        <f>X22+AC22</f>
        <v>22.6</v>
      </c>
      <c r="AF22" s="758">
        <f>F22</f>
        <v>22.65</v>
      </c>
    </row>
    <row r="23" spans="1:39" ht="17.25" customHeight="1" x14ac:dyDescent="0.2">
      <c r="A23" s="49" t="s">
        <v>24</v>
      </c>
      <c r="B23" s="1091">
        <v>55.9</v>
      </c>
      <c r="C23" s="1091">
        <v>55.7</v>
      </c>
      <c r="D23" s="739">
        <f>B23+'INTERPOLASI  '!CS18</f>
        <v>53.39</v>
      </c>
      <c r="E23" s="739">
        <f>C23+'INTERPOLASI  '!CS24</f>
        <v>53.17</v>
      </c>
      <c r="F23" s="828">
        <f>(D23+E23)/2</f>
        <v>53.28</v>
      </c>
      <c r="G23" s="834" t="s">
        <v>455</v>
      </c>
      <c r="U23" s="730"/>
      <c r="V23" s="748">
        <f>B23</f>
        <v>55.9</v>
      </c>
      <c r="W23" s="749">
        <f>C23</f>
        <v>55.7</v>
      </c>
      <c r="X23" s="750">
        <f>AVERAGE(V23:W23)</f>
        <v>55.8</v>
      </c>
      <c r="Y23" s="751">
        <f>'DATA 1'!M11</f>
        <v>80</v>
      </c>
      <c r="Z23" s="752">
        <f>'DATA 1'!N11</f>
        <v>2.2000000000000002</v>
      </c>
      <c r="AA23" s="753">
        <f>'DATA 1'!M12</f>
        <v>90</v>
      </c>
      <c r="AB23" s="754">
        <f>'DATA 1'!N12</f>
        <v>5.4</v>
      </c>
      <c r="AC23" s="740">
        <f>((((AB23-Z23)*(X23-Y23)))/(AA23-Y23))+Z23</f>
        <v>-5.5440000000000014</v>
      </c>
      <c r="AD23" s="755">
        <f>X23+AC23</f>
        <v>50.255999999999993</v>
      </c>
      <c r="AF23" s="758">
        <f>F23</f>
        <v>53.28</v>
      </c>
    </row>
    <row r="24" spans="1:39" ht="17.25" customHeight="1" x14ac:dyDescent="0.2">
      <c r="A24" s="34"/>
      <c r="B24" s="388"/>
      <c r="C24" s="50"/>
      <c r="D24" s="50"/>
      <c r="E24" s="50"/>
      <c r="F24" s="50"/>
      <c r="G24" s="18"/>
      <c r="H24" s="51"/>
      <c r="I24" s="51"/>
      <c r="J24" s="50"/>
      <c r="K24" s="50"/>
      <c r="L24" s="50"/>
      <c r="U24" s="734"/>
      <c r="V24" s="733"/>
      <c r="W24" s="26"/>
      <c r="X24" s="53"/>
      <c r="Y24" s="47"/>
      <c r="Z24" s="47"/>
    </row>
    <row r="25" spans="1:39" ht="15.75" hidden="1" customHeight="1" x14ac:dyDescent="0.2">
      <c r="U25" s="727"/>
      <c r="V25" s="728"/>
      <c r="W25" s="729"/>
    </row>
    <row r="26" spans="1:39" ht="15.75" hidden="1" customHeight="1" x14ac:dyDescent="0.25"/>
    <row r="27" spans="1:39" ht="15.75" hidden="1" customHeight="1" x14ac:dyDescent="0.25"/>
    <row r="28" spans="1:39" ht="15.75" hidden="1" customHeight="1" x14ac:dyDescent="0.25"/>
    <row r="29" spans="1:39" ht="15.75" hidden="1" customHeight="1" x14ac:dyDescent="0.25"/>
    <row r="30" spans="1:39" ht="15.75" hidden="1" customHeight="1" x14ac:dyDescent="0.25"/>
    <row r="31" spans="1:39" ht="15.75" hidden="1" customHeight="1" x14ac:dyDescent="0.25"/>
    <row r="32" spans="1:39" ht="15.75" hidden="1" customHeight="1" x14ac:dyDescent="0.25"/>
    <row r="33" spans="1:32" ht="15.75" hidden="1" customHeight="1" x14ac:dyDescent="0.25"/>
    <row r="34" spans="1:32" ht="15.75" hidden="1" customHeight="1" x14ac:dyDescent="0.25"/>
    <row r="35" spans="1:32" ht="15.75" hidden="1" customHeight="1" x14ac:dyDescent="0.25"/>
    <row r="36" spans="1:32" ht="25.5" customHeight="1" x14ac:dyDescent="0.25">
      <c r="A36" s="239" t="str">
        <f>LK!A35</f>
        <v>II. Pemeriksaan Kondisi Fisik dan Fungsi Alat</v>
      </c>
      <c r="B36" s="104"/>
      <c r="C36" s="104"/>
      <c r="D36" s="104"/>
      <c r="E36" s="46"/>
      <c r="F36" s="46"/>
      <c r="G36" s="16"/>
      <c r="H36" s="45"/>
      <c r="I36" s="45"/>
      <c r="J36" s="46"/>
      <c r="K36" s="46"/>
      <c r="L36" s="16"/>
      <c r="U36" s="16"/>
      <c r="V36" s="45"/>
      <c r="W36" s="46"/>
      <c r="X36" s="34"/>
    </row>
    <row r="37" spans="1:32" x14ac:dyDescent="0.25">
      <c r="A37" s="34" t="s">
        <v>67</v>
      </c>
      <c r="B37" s="40" t="s">
        <v>0</v>
      </c>
      <c r="C37" s="1092" t="s">
        <v>64</v>
      </c>
      <c r="F37" s="63"/>
      <c r="G37" s="63"/>
      <c r="H37" s="41"/>
      <c r="I37" s="41"/>
      <c r="L37" s="98" t="s">
        <v>64</v>
      </c>
    </row>
    <row r="38" spans="1:32" x14ac:dyDescent="0.25">
      <c r="A38" s="34" t="s">
        <v>68</v>
      </c>
      <c r="B38" s="40" t="s">
        <v>0</v>
      </c>
      <c r="C38" s="1092" t="s">
        <v>64</v>
      </c>
      <c r="F38" s="63"/>
      <c r="G38" s="63"/>
      <c r="H38" s="41"/>
      <c r="I38" s="41"/>
      <c r="L38" s="98" t="s">
        <v>65</v>
      </c>
      <c r="U38" s="98"/>
      <c r="V38" s="98"/>
    </row>
    <row r="39" spans="1:32" ht="27" customHeight="1" x14ac:dyDescent="0.25">
      <c r="A39" s="239" t="str">
        <f>LK!A38</f>
        <v>III. Pengujian Kinerja</v>
      </c>
      <c r="B39" s="40"/>
      <c r="F39" s="63"/>
      <c r="G39" s="63"/>
      <c r="H39" s="41"/>
      <c r="I39" s="41"/>
      <c r="U39" s="742"/>
      <c r="V39" s="743"/>
      <c r="W39" s="744"/>
      <c r="Y39" s="493"/>
      <c r="Z39" s="493"/>
      <c r="AA39" s="493"/>
      <c r="AB39" s="493"/>
      <c r="AC39" s="98"/>
    </row>
    <row r="40" spans="1:32" ht="17.25" customHeight="1" x14ac:dyDescent="0.25">
      <c r="A40" s="100" t="str">
        <f>LK!A39</f>
        <v>A. Pengujian Kebocoran</v>
      </c>
      <c r="B40" s="54"/>
      <c r="C40" s="54"/>
      <c r="D40" s="54"/>
      <c r="E40" s="54"/>
      <c r="F40" s="34"/>
      <c r="G40" s="18"/>
      <c r="H40" s="51"/>
      <c r="I40" s="51"/>
      <c r="J40" s="50"/>
      <c r="K40" s="50"/>
      <c r="L40" s="50"/>
      <c r="U40" s="742"/>
      <c r="V40" s="743"/>
      <c r="W40" s="744"/>
      <c r="X40" s="53"/>
      <c r="Y40" s="47"/>
      <c r="Z40" s="47"/>
      <c r="AB40" s="732"/>
      <c r="AC40" s="494"/>
    </row>
    <row r="41" spans="1:32" ht="21.75" customHeight="1" x14ac:dyDescent="0.25">
      <c r="A41" s="1161" t="s">
        <v>53</v>
      </c>
      <c r="B41" s="1137" t="s">
        <v>343</v>
      </c>
      <c r="C41" s="1137"/>
      <c r="D41" s="1133" t="str">
        <f>IF(B41=KETERANGAN!F39,KETERANGAN!G39,KETERANGAN!G38)</f>
        <v>Laju Kebocoran tekanan 250 mmHg Terkoreksi dalam 1 menit</v>
      </c>
      <c r="E41" s="1134"/>
      <c r="F41" s="1137" t="s">
        <v>37</v>
      </c>
      <c r="G41" s="18"/>
      <c r="H41" s="51"/>
      <c r="I41" s="51"/>
      <c r="J41" s="50"/>
      <c r="K41" s="50"/>
      <c r="L41" s="50"/>
      <c r="U41" s="742"/>
      <c r="V41" s="743"/>
      <c r="W41" s="744"/>
      <c r="X41" s="53"/>
      <c r="Y41" s="47"/>
      <c r="Z41" s="47"/>
      <c r="AB41" s="732"/>
      <c r="AC41" s="494"/>
    </row>
    <row r="42" spans="1:32" ht="24" customHeight="1" x14ac:dyDescent="0.25">
      <c r="A42" s="1161"/>
      <c r="B42" s="1137"/>
      <c r="C42" s="1137"/>
      <c r="D42" s="1135"/>
      <c r="E42" s="1136"/>
      <c r="F42" s="1137"/>
      <c r="G42" s="18"/>
      <c r="H42" s="51"/>
      <c r="I42" s="51"/>
      <c r="J42" s="50"/>
      <c r="K42" s="50"/>
      <c r="L42" s="50"/>
      <c r="U42" s="742"/>
      <c r="V42" s="743"/>
      <c r="W42" s="744"/>
      <c r="X42" s="53"/>
      <c r="Y42" s="47"/>
      <c r="Z42" s="47"/>
    </row>
    <row r="43" spans="1:32" ht="17.25" customHeight="1" x14ac:dyDescent="0.25">
      <c r="A43" s="1137" t="s">
        <v>138</v>
      </c>
      <c r="B43" s="1145">
        <v>27.7</v>
      </c>
      <c r="C43" s="1146"/>
      <c r="D43" s="1141">
        <f>B43+'INTERPOLASI  '!DG18</f>
        <v>27.533799999999999</v>
      </c>
      <c r="E43" s="1142"/>
      <c r="F43" s="1138" t="s">
        <v>111</v>
      </c>
      <c r="G43" s="18"/>
      <c r="H43" s="51"/>
      <c r="I43" s="51"/>
      <c r="J43" s="50"/>
      <c r="K43" s="50"/>
      <c r="L43" s="50"/>
      <c r="U43" s="735" t="s">
        <v>412</v>
      </c>
      <c r="V43" s="748"/>
      <c r="W43" s="749"/>
      <c r="X43" s="756">
        <f>B43</f>
        <v>27.7</v>
      </c>
      <c r="Y43" s="751">
        <f>'DATA 1'!B6</f>
        <v>0</v>
      </c>
      <c r="Z43" s="752">
        <f>'DATA 1'!F6</f>
        <v>0</v>
      </c>
      <c r="AA43" s="753">
        <f>'DATA 1'!B7</f>
        <v>50</v>
      </c>
      <c r="AB43" s="754">
        <f>'DATA 1'!F7</f>
        <v>-0.3</v>
      </c>
      <c r="AC43" s="741">
        <f>((((AB43-Z43)*(X43-Y43)))/(AA43-Y43))+Z43</f>
        <v>-0.16619999999999999</v>
      </c>
      <c r="AD43" s="755">
        <f>X43+AC43</f>
        <v>27.533799999999999</v>
      </c>
      <c r="AF43" s="758">
        <f>D43</f>
        <v>27.533799999999999</v>
      </c>
    </row>
    <row r="44" spans="1:32" ht="17.25" customHeight="1" x14ac:dyDescent="0.25">
      <c r="A44" s="1137"/>
      <c r="B44" s="1147"/>
      <c r="C44" s="1148"/>
      <c r="D44" s="1143"/>
      <c r="E44" s="1144"/>
      <c r="F44" s="1138"/>
      <c r="G44" s="18"/>
      <c r="H44" s="51"/>
      <c r="I44" s="51"/>
      <c r="J44" s="50"/>
      <c r="K44" s="50"/>
      <c r="L44" s="50"/>
      <c r="U44" s="742"/>
      <c r="V44" s="743"/>
      <c r="W44" s="744"/>
      <c r="X44" s="53"/>
      <c r="Y44" s="47"/>
      <c r="Z44" s="47"/>
    </row>
    <row r="45" spans="1:32" ht="17.25" hidden="1" customHeight="1" x14ac:dyDescent="0.25">
      <c r="A45" s="34"/>
      <c r="B45" s="50"/>
      <c r="C45" s="50"/>
      <c r="D45" s="50"/>
      <c r="E45" s="50"/>
      <c r="F45" s="50"/>
      <c r="G45" s="18"/>
      <c r="H45" s="51"/>
      <c r="I45" s="51"/>
      <c r="J45" s="50"/>
      <c r="K45" s="50"/>
      <c r="L45" s="50"/>
      <c r="U45" s="742"/>
      <c r="V45" s="745"/>
      <c r="W45" s="746"/>
      <c r="X45" s="53"/>
      <c r="Y45" s="47"/>
      <c r="Z45" s="47"/>
    </row>
    <row r="46" spans="1:32" ht="21.75" hidden="1" customHeight="1" x14ac:dyDescent="0.25">
      <c r="A46" s="1149" t="s">
        <v>53</v>
      </c>
      <c r="B46" s="1133" t="s">
        <v>77</v>
      </c>
      <c r="C46" s="1134"/>
      <c r="D46" s="506" t="s">
        <v>78</v>
      </c>
      <c r="E46" s="507"/>
      <c r="F46" s="1139" t="s">
        <v>37</v>
      </c>
      <c r="G46" s="18"/>
      <c r="H46" s="51"/>
      <c r="I46" s="51"/>
      <c r="J46" s="50"/>
      <c r="K46" s="50"/>
      <c r="L46" s="50"/>
      <c r="U46" s="50"/>
      <c r="V46" s="52"/>
      <c r="W46" s="52"/>
      <c r="X46" s="53"/>
      <c r="Y46" s="47"/>
      <c r="Z46" s="47"/>
    </row>
    <row r="47" spans="1:32" ht="24" hidden="1" customHeight="1" x14ac:dyDescent="0.25">
      <c r="A47" s="1160"/>
      <c r="B47" s="1135"/>
      <c r="C47" s="1136"/>
      <c r="D47" s="508"/>
      <c r="E47" s="509"/>
      <c r="F47" s="1156"/>
      <c r="G47" s="18"/>
      <c r="H47" s="51"/>
      <c r="I47" s="51"/>
      <c r="J47" s="50"/>
      <c r="K47" s="50"/>
      <c r="L47" s="50"/>
      <c r="U47" s="50"/>
      <c r="V47" s="52"/>
      <c r="W47" s="52"/>
      <c r="X47" s="53"/>
      <c r="Y47" s="47"/>
      <c r="Z47" s="47"/>
    </row>
    <row r="48" spans="1:32" ht="17.25" hidden="1" customHeight="1" x14ac:dyDescent="0.25">
      <c r="A48" s="105" t="s">
        <v>54</v>
      </c>
      <c r="B48" s="186">
        <v>9</v>
      </c>
      <c r="C48" s="187"/>
      <c r="D48" s="106">
        <f ca="1">(FORECAST(B48,OFFSET('DATA 1'!$C$6:$C$12,MATCH(B48,'DATA 1'!$B$6:$B$12,1)-1,0,2),OFFSET('DATA 1'!$B$6:$B$12,MATCH(B48,'DATA 1'!$B$6:$B$12,1)-1,0,2)))+$B$43</f>
        <v>27.681999999999999</v>
      </c>
      <c r="E48" s="107"/>
      <c r="F48" s="108" t="s">
        <v>111</v>
      </c>
      <c r="G48" s="18"/>
      <c r="H48" s="51"/>
      <c r="I48" s="51"/>
      <c r="J48" s="50"/>
      <c r="K48" s="50"/>
      <c r="L48" s="50"/>
      <c r="U48" s="50"/>
      <c r="V48" s="52"/>
      <c r="W48" s="52"/>
      <c r="X48" s="53"/>
      <c r="Y48" s="47"/>
      <c r="Z48" s="47"/>
    </row>
    <row r="49" spans="1:32" ht="17.25" hidden="1" customHeight="1" x14ac:dyDescent="0.25">
      <c r="A49" s="109"/>
      <c r="B49" s="188"/>
      <c r="C49" s="189"/>
      <c r="D49" s="110"/>
      <c r="E49" s="111"/>
      <c r="F49" s="112"/>
      <c r="G49" s="18"/>
      <c r="H49" s="51"/>
      <c r="I49" s="51"/>
      <c r="J49" s="50"/>
      <c r="K49" s="50"/>
      <c r="L49" s="50"/>
      <c r="U49" s="50"/>
      <c r="V49" s="52"/>
      <c r="W49" s="52"/>
      <c r="X49" s="53"/>
      <c r="Y49" s="47"/>
      <c r="Z49" s="47"/>
    </row>
    <row r="50" spans="1:32" ht="17.25" customHeight="1" x14ac:dyDescent="0.25">
      <c r="A50" s="113"/>
      <c r="B50" s="190"/>
      <c r="C50" s="190"/>
      <c r="D50" s="114"/>
      <c r="E50" s="114"/>
      <c r="F50" s="115"/>
      <c r="G50" s="18"/>
      <c r="H50" s="51"/>
      <c r="I50" s="51"/>
      <c r="J50" s="50"/>
      <c r="K50" s="50"/>
      <c r="L50" s="50"/>
      <c r="U50" s="50"/>
      <c r="V50" s="52"/>
      <c r="W50" s="52"/>
      <c r="X50" s="53"/>
      <c r="Y50" s="47"/>
      <c r="Z50" s="47"/>
    </row>
    <row r="51" spans="1:32" ht="17.25" customHeight="1" x14ac:dyDescent="0.25">
      <c r="A51" s="132" t="str">
        <f>LK!A50</f>
        <v>B. Laju Buang Cepat</v>
      </c>
      <c r="B51" s="1086" t="s">
        <v>577</v>
      </c>
      <c r="C51" s="1087"/>
      <c r="D51" s="1086" t="str">
        <f>"0.000"</f>
        <v>0.000</v>
      </c>
      <c r="E51" s="130"/>
      <c r="F51" s="131"/>
      <c r="G51" s="18"/>
      <c r="H51" s="51"/>
      <c r="I51" s="51"/>
      <c r="J51" s="50"/>
      <c r="K51" s="50"/>
      <c r="L51" s="50"/>
      <c r="U51" s="388"/>
      <c r="V51" s="747"/>
      <c r="W51" s="52"/>
      <c r="X51" s="53"/>
      <c r="Y51" s="47"/>
      <c r="Z51" s="47"/>
    </row>
    <row r="52" spans="1:32" ht="25.5" customHeight="1" x14ac:dyDescent="0.2">
      <c r="A52" s="1161" t="s">
        <v>53</v>
      </c>
      <c r="B52" s="1137" t="s">
        <v>139</v>
      </c>
      <c r="C52" s="1137"/>
      <c r="D52" s="1133" t="str">
        <f>IF(B52=KETERANGAN!F42,KETERANGAN!G42,KETERANGAN!G41)</f>
        <v>Laju Buang Cepat tekanan 260 mmHg sampai dengan 15 mmHg Terkoreksi</v>
      </c>
      <c r="E52" s="1134"/>
      <c r="F52" s="1137" t="s">
        <v>37</v>
      </c>
      <c r="G52" s="18"/>
      <c r="H52" s="51"/>
      <c r="I52" s="51"/>
      <c r="J52" s="50"/>
      <c r="K52" s="50"/>
      <c r="L52" s="50"/>
      <c r="U52" s="148"/>
      <c r="V52" s="757"/>
      <c r="X52" s="53"/>
      <c r="Y52" s="493"/>
      <c r="Z52" s="493"/>
      <c r="AA52" s="493"/>
      <c r="AB52" s="493"/>
    </row>
    <row r="53" spans="1:32" ht="25.5" customHeight="1" x14ac:dyDescent="0.2">
      <c r="A53" s="1161"/>
      <c r="B53" s="1137"/>
      <c r="C53" s="1137"/>
      <c r="D53" s="1135"/>
      <c r="E53" s="1136"/>
      <c r="F53" s="1137"/>
      <c r="G53" s="18"/>
      <c r="H53" s="51"/>
      <c r="I53" s="51"/>
      <c r="J53" s="50"/>
      <c r="K53" s="50"/>
      <c r="L53" s="50"/>
      <c r="U53" s="148"/>
      <c r="V53" s="757"/>
      <c r="X53" s="53"/>
      <c r="Y53" s="47"/>
      <c r="Z53" s="47"/>
      <c r="AB53" s="758"/>
    </row>
    <row r="54" spans="1:32" ht="17.25" customHeight="1" x14ac:dyDescent="0.25">
      <c r="A54" s="1137" t="s">
        <v>137</v>
      </c>
      <c r="B54" s="1162">
        <v>1.79</v>
      </c>
      <c r="C54" s="1163"/>
      <c r="D54" s="1166">
        <f>B54+'INTERPOLASI  '!DR18</f>
        <v>1.7882100000000001</v>
      </c>
      <c r="E54" s="1167"/>
      <c r="F54" s="1138" t="s">
        <v>141</v>
      </c>
      <c r="G54" s="18"/>
      <c r="H54" s="51"/>
      <c r="I54" s="51"/>
      <c r="J54" s="50"/>
      <c r="K54" s="50"/>
      <c r="L54" s="50"/>
      <c r="U54" s="735" t="s">
        <v>413</v>
      </c>
      <c r="V54" s="748"/>
      <c r="W54" s="749"/>
      <c r="X54" s="761">
        <f>B54</f>
        <v>1.79</v>
      </c>
      <c r="Y54" s="751">
        <f>'SERTIFIKAT STOPWATCH'!R37</f>
        <v>0</v>
      </c>
      <c r="Z54" s="752">
        <f>'SERTIFIKAT STOPWATCH'!S37</f>
        <v>0</v>
      </c>
      <c r="AA54" s="753">
        <f>'SERTIFIKAT STOPWATCH'!R38</f>
        <v>10</v>
      </c>
      <c r="AB54" s="760">
        <f>'SERTIFIKAT STOPWATCH'!S38</f>
        <v>-0.01</v>
      </c>
      <c r="AC54" s="741">
        <f>((((AB54-Z54)*(X54-Y54)))/(AA54-Y54))+Z54</f>
        <v>-1.7899999999999999E-3</v>
      </c>
      <c r="AD54" s="755">
        <f>X54+AC54</f>
        <v>1.7882100000000001</v>
      </c>
      <c r="AF54" s="758">
        <f>D54</f>
        <v>1.7882100000000001</v>
      </c>
    </row>
    <row r="55" spans="1:32" ht="17.25" customHeight="1" x14ac:dyDescent="0.25">
      <c r="A55" s="1137"/>
      <c r="B55" s="1164"/>
      <c r="C55" s="1165"/>
      <c r="D55" s="1168"/>
      <c r="E55" s="1169"/>
      <c r="F55" s="1138"/>
      <c r="G55" s="18"/>
      <c r="H55" s="51"/>
      <c r="I55" s="51"/>
      <c r="J55" s="50"/>
      <c r="K55" s="50"/>
      <c r="L55" s="50"/>
      <c r="M55" s="149"/>
      <c r="N55" s="759"/>
      <c r="P55" s="53"/>
      <c r="Q55" s="47"/>
      <c r="R55" s="47"/>
    </row>
    <row r="56" spans="1:32" ht="17.25" customHeight="1" x14ac:dyDescent="0.25">
      <c r="A56" s="129"/>
      <c r="B56" s="191"/>
      <c r="C56" s="191"/>
      <c r="D56" s="130"/>
      <c r="E56" s="130"/>
      <c r="F56" s="131"/>
      <c r="G56" s="18"/>
      <c r="H56" s="51"/>
      <c r="I56" s="51"/>
      <c r="J56" s="50"/>
      <c r="K56" s="50"/>
      <c r="L56" s="50"/>
      <c r="M56" s="50"/>
      <c r="N56" s="52"/>
      <c r="O56" s="52"/>
      <c r="P56" s="53"/>
      <c r="Q56" s="47"/>
      <c r="R56" s="47"/>
    </row>
    <row r="57" spans="1:32" ht="17.25" hidden="1" customHeight="1" x14ac:dyDescent="0.25">
      <c r="A57" s="129"/>
      <c r="B57" s="191"/>
      <c r="C57" s="191"/>
      <c r="D57" s="130"/>
      <c r="E57" s="130"/>
      <c r="F57" s="131"/>
      <c r="G57" s="18"/>
      <c r="H57" s="51"/>
      <c r="I57" s="51"/>
      <c r="J57" s="50"/>
      <c r="K57" s="50"/>
      <c r="L57" s="50"/>
      <c r="M57" s="50"/>
      <c r="N57" s="52"/>
      <c r="O57" s="52"/>
      <c r="P57" s="53"/>
      <c r="Q57" s="47"/>
      <c r="R57" s="47"/>
    </row>
    <row r="58" spans="1:32" ht="17.25" hidden="1" customHeight="1" x14ac:dyDescent="0.25">
      <c r="A58" s="129"/>
      <c r="B58" s="191"/>
      <c r="C58" s="191"/>
      <c r="D58" s="130"/>
      <c r="E58" s="130"/>
      <c r="F58" s="131"/>
      <c r="G58" s="18"/>
      <c r="H58" s="51"/>
      <c r="I58" s="51"/>
      <c r="J58" s="50"/>
      <c r="K58" s="50"/>
      <c r="L58" s="50"/>
      <c r="M58" s="50"/>
      <c r="N58" s="52"/>
      <c r="O58" s="52"/>
      <c r="P58" s="53"/>
      <c r="Q58" s="47"/>
      <c r="R58" s="47"/>
    </row>
    <row r="59" spans="1:32" ht="17.25" hidden="1" customHeight="1" x14ac:dyDescent="0.25">
      <c r="A59" s="129"/>
      <c r="B59" s="191"/>
      <c r="C59" s="191"/>
      <c r="D59" s="130"/>
      <c r="E59" s="130"/>
      <c r="F59" s="131"/>
      <c r="G59" s="18"/>
      <c r="H59" s="51"/>
      <c r="I59" s="51"/>
      <c r="J59" s="50"/>
      <c r="K59" s="50"/>
      <c r="L59" s="50"/>
      <c r="M59" s="50"/>
      <c r="N59" s="52"/>
      <c r="O59" s="52"/>
      <c r="P59" s="53"/>
      <c r="Q59" s="47"/>
      <c r="R59" s="47"/>
    </row>
    <row r="60" spans="1:32" ht="17.25" hidden="1" customHeight="1" x14ac:dyDescent="0.25">
      <c r="A60" s="129"/>
      <c r="B60" s="191"/>
      <c r="C60" s="191"/>
      <c r="D60" s="130"/>
      <c r="E60" s="130"/>
      <c r="F60" s="131"/>
      <c r="G60" s="18"/>
      <c r="H60" s="51"/>
      <c r="I60" s="51"/>
      <c r="J60" s="50"/>
      <c r="K60" s="50"/>
      <c r="L60" s="50"/>
      <c r="M60" s="50"/>
      <c r="N60" s="52"/>
      <c r="O60" s="52"/>
      <c r="P60" s="53"/>
      <c r="Q60" s="47"/>
      <c r="R60" s="47"/>
    </row>
    <row r="61" spans="1:32" ht="17.25" hidden="1" customHeight="1" x14ac:dyDescent="0.25">
      <c r="A61" s="129"/>
      <c r="B61" s="191"/>
      <c r="C61" s="191"/>
      <c r="D61" s="130"/>
      <c r="E61" s="130"/>
      <c r="F61" s="131"/>
      <c r="G61" s="18"/>
      <c r="H61" s="51"/>
      <c r="I61" s="51"/>
      <c r="J61" s="50"/>
      <c r="K61" s="50"/>
      <c r="L61" s="50"/>
      <c r="M61" s="50"/>
      <c r="N61" s="52"/>
      <c r="O61" s="52"/>
      <c r="P61" s="53"/>
      <c r="Q61" s="47"/>
      <c r="R61" s="47"/>
    </row>
    <row r="62" spans="1:32" ht="17.25" hidden="1" customHeight="1" x14ac:dyDescent="0.25">
      <c r="A62" s="129"/>
      <c r="B62" s="191"/>
      <c r="C62" s="191"/>
      <c r="D62" s="130"/>
      <c r="E62" s="130"/>
      <c r="F62" s="131"/>
      <c r="G62" s="18"/>
      <c r="H62" s="51"/>
      <c r="I62" s="51"/>
      <c r="J62" s="50"/>
      <c r="K62" s="50"/>
      <c r="L62" s="50"/>
      <c r="M62" s="50"/>
      <c r="N62" s="52"/>
      <c r="O62" s="52"/>
      <c r="P62" s="53"/>
      <c r="Q62" s="47"/>
      <c r="R62" s="47"/>
    </row>
    <row r="63" spans="1:32" ht="17.25" hidden="1" customHeight="1" x14ac:dyDescent="0.25">
      <c r="A63" s="129"/>
      <c r="B63" s="191"/>
      <c r="C63" s="191"/>
      <c r="D63" s="130"/>
      <c r="E63" s="130"/>
      <c r="F63" s="131"/>
      <c r="G63" s="18"/>
      <c r="H63" s="51"/>
      <c r="I63" s="51"/>
      <c r="J63" s="50"/>
      <c r="K63" s="50"/>
      <c r="L63" s="50"/>
      <c r="M63" s="50"/>
      <c r="N63" s="52"/>
      <c r="O63" s="52"/>
      <c r="P63" s="53"/>
      <c r="Q63" s="47"/>
      <c r="R63" s="47"/>
    </row>
    <row r="64" spans="1:32" ht="17.25" customHeight="1" x14ac:dyDescent="0.25">
      <c r="A64" s="85" t="str">
        <f>LK!A63</f>
        <v>C. Kalibrasi Akurasi Tekanan</v>
      </c>
      <c r="B64" s="85"/>
      <c r="C64" s="85"/>
      <c r="D64" s="85"/>
      <c r="E64" s="85"/>
      <c r="F64" s="85"/>
      <c r="G64" s="34"/>
      <c r="H64" s="34"/>
      <c r="I64" s="34"/>
      <c r="J64" s="34"/>
      <c r="K64" s="34"/>
      <c r="L64" s="34"/>
      <c r="M64" s="34"/>
      <c r="N64" s="34"/>
      <c r="O64" s="34"/>
      <c r="P64" s="45"/>
      <c r="Q64" s="47"/>
      <c r="R64" s="47"/>
      <c r="T64" s="98"/>
      <c r="U64" s="98"/>
    </row>
    <row r="65" spans="1:32" ht="16.5" customHeight="1" x14ac:dyDescent="0.25">
      <c r="A65" s="1149" t="s">
        <v>52</v>
      </c>
      <c r="B65" s="1157" t="s">
        <v>81</v>
      </c>
      <c r="C65" s="1158"/>
      <c r="D65" s="1158"/>
      <c r="E65" s="1158"/>
      <c r="F65" s="1158"/>
      <c r="G65" s="1159"/>
      <c r="H65" s="1152" t="s">
        <v>170</v>
      </c>
      <c r="I65" s="1153"/>
      <c r="J65" s="1152" t="s">
        <v>155</v>
      </c>
      <c r="K65" s="1171"/>
      <c r="L65" s="1178" t="s">
        <v>83</v>
      </c>
      <c r="M65" s="1178"/>
      <c r="N65" s="1152" t="s">
        <v>49</v>
      </c>
      <c r="O65" s="1171"/>
      <c r="P65" s="1177" t="s">
        <v>112</v>
      </c>
      <c r="Q65" s="1177"/>
      <c r="T65" s="742"/>
      <c r="U65" s="762"/>
      <c r="V65" s="763"/>
      <c r="W65" s="763"/>
      <c r="X65" s="764"/>
      <c r="Y65" s="764"/>
      <c r="Z65" s="763"/>
      <c r="AA65" s="763"/>
      <c r="AB65" s="763"/>
      <c r="AC65" s="763"/>
      <c r="AD65" s="764"/>
      <c r="AE65" s="764"/>
    </row>
    <row r="66" spans="1:32" x14ac:dyDescent="0.25">
      <c r="A66" s="1150"/>
      <c r="B66" s="55" t="s">
        <v>10</v>
      </c>
      <c r="C66" s="55" t="s">
        <v>10</v>
      </c>
      <c r="D66" s="390" t="s">
        <v>10</v>
      </c>
      <c r="E66" s="55" t="s">
        <v>10</v>
      </c>
      <c r="F66" s="390" t="s">
        <v>10</v>
      </c>
      <c r="G66" s="56" t="s">
        <v>10</v>
      </c>
      <c r="H66" s="1154"/>
      <c r="I66" s="1155"/>
      <c r="J66" s="1154"/>
      <c r="K66" s="1172"/>
      <c r="L66" s="1178"/>
      <c r="M66" s="1178"/>
      <c r="N66" s="1154"/>
      <c r="O66" s="1172"/>
      <c r="P66" s="1177"/>
      <c r="Q66" s="1177"/>
      <c r="T66" s="742"/>
      <c r="U66" s="762"/>
      <c r="V66" s="763"/>
      <c r="W66" s="763"/>
      <c r="X66" s="764"/>
      <c r="Y66" s="764"/>
      <c r="Z66" s="763"/>
      <c r="AA66" s="763"/>
      <c r="AB66" s="763"/>
      <c r="AC66" s="763"/>
      <c r="AD66" s="764"/>
      <c r="AE66" s="764"/>
    </row>
    <row r="67" spans="1:32" x14ac:dyDescent="0.3">
      <c r="A67" s="1160"/>
      <c r="B67" s="84" t="s">
        <v>142</v>
      </c>
      <c r="C67" s="84" t="s">
        <v>143</v>
      </c>
      <c r="D67" s="84" t="s">
        <v>144</v>
      </c>
      <c r="E67" s="84" t="s">
        <v>233</v>
      </c>
      <c r="F67" s="84" t="s">
        <v>234</v>
      </c>
      <c r="G67" s="84" t="s">
        <v>145</v>
      </c>
      <c r="H67" s="166" t="s">
        <v>156</v>
      </c>
      <c r="I67" s="166" t="s">
        <v>157</v>
      </c>
      <c r="J67" s="166" t="s">
        <v>156</v>
      </c>
      <c r="K67" s="166" t="s">
        <v>157</v>
      </c>
      <c r="L67" s="166" t="s">
        <v>156</v>
      </c>
      <c r="M67" s="166" t="s">
        <v>157</v>
      </c>
      <c r="N67" s="167" t="s">
        <v>158</v>
      </c>
      <c r="O67" s="167" t="s">
        <v>157</v>
      </c>
      <c r="P67" s="167" t="s">
        <v>158</v>
      </c>
      <c r="Q67" s="167" t="s">
        <v>157</v>
      </c>
      <c r="X67" s="765"/>
      <c r="Y67" s="765"/>
      <c r="Z67" s="765"/>
      <c r="AA67" s="765"/>
      <c r="AB67" s="204"/>
      <c r="AC67" s="204"/>
      <c r="AD67" s="765"/>
      <c r="AE67" s="765"/>
    </row>
    <row r="68" spans="1:32" x14ac:dyDescent="0.25">
      <c r="A68" s="57">
        <v>0</v>
      </c>
      <c r="B68" s="1405">
        <v>0</v>
      </c>
      <c r="C68" s="1405">
        <v>0</v>
      </c>
      <c r="D68" s="1405">
        <v>0</v>
      </c>
      <c r="E68" s="1405">
        <v>0</v>
      </c>
      <c r="F68" s="1405">
        <v>0</v>
      </c>
      <c r="G68" s="1405">
        <v>0</v>
      </c>
      <c r="H68" s="770">
        <f>AVERAGE(B68,D68,F68)</f>
        <v>0</v>
      </c>
      <c r="I68" s="770">
        <f>AVERAGE(C68,E68,G68)</f>
        <v>0</v>
      </c>
      <c r="J68" s="893">
        <f>H68+'INTERPOLASI  '!K18</f>
        <v>-1.9999999999999997E-9</v>
      </c>
      <c r="K68" s="893">
        <f>I68+'INTERPOLASI  '!V18</f>
        <v>-6E-9</v>
      </c>
      <c r="L68" s="495">
        <f>STDEV(B68,D68,F68)</f>
        <v>0</v>
      </c>
      <c r="M68" s="495">
        <f>STDEV(C68,E68,G68)</f>
        <v>0</v>
      </c>
      <c r="N68" s="496">
        <f>J68-A68</f>
        <v>-1.9999999999999997E-9</v>
      </c>
      <c r="O68" s="496">
        <f t="shared" ref="O68:O73" si="0">K68-A68</f>
        <v>-6E-9</v>
      </c>
      <c r="P68" s="940">
        <f>'BUDGET NAIK'!L21</f>
        <v>0.60888847565242932</v>
      </c>
      <c r="Q68" s="192">
        <f>'BUDGET TURUN'!L21</f>
        <v>0.60888847565242932</v>
      </c>
      <c r="T68" s="742"/>
      <c r="U68" s="735" t="s">
        <v>412</v>
      </c>
      <c r="V68" s="748"/>
      <c r="W68" s="748" t="s">
        <v>414</v>
      </c>
      <c r="X68" s="768">
        <f>H68</f>
        <v>0</v>
      </c>
      <c r="Y68" s="751">
        <f>'DATA 1'!B6</f>
        <v>0</v>
      </c>
      <c r="Z68" s="752">
        <f>'DATA 1'!C6</f>
        <v>0</v>
      </c>
      <c r="AA68" s="753">
        <f>'DATA 1'!B7</f>
        <v>50</v>
      </c>
      <c r="AB68" s="754">
        <f>'DATA 1'!C7</f>
        <v>-0.1</v>
      </c>
      <c r="AC68" s="741">
        <f t="shared" ref="AC68:AC79" si="1">((((AB68-Z68)*(X68-Y68)))/(AA68-Y68))+Z68</f>
        <v>0</v>
      </c>
      <c r="AD68" s="771">
        <f>X68+AC68</f>
        <v>0</v>
      </c>
      <c r="AE68" s="767"/>
      <c r="AF68" s="758">
        <f>J68</f>
        <v>-1.9999999999999997E-9</v>
      </c>
    </row>
    <row r="69" spans="1:32" x14ac:dyDescent="0.25">
      <c r="A69" s="57">
        <v>50</v>
      </c>
      <c r="B69" s="1405">
        <v>50.8</v>
      </c>
      <c r="C69" s="1405">
        <v>50.3</v>
      </c>
      <c r="D69" s="1405">
        <v>50.8</v>
      </c>
      <c r="E69" s="1405">
        <v>50.3</v>
      </c>
      <c r="F69" s="1405">
        <v>50.8</v>
      </c>
      <c r="G69" s="1405">
        <v>50.1</v>
      </c>
      <c r="H69" s="770">
        <f t="shared" ref="H69:H73" si="2">AVERAGE(B69,D69,F69)</f>
        <v>50.79999999999999</v>
      </c>
      <c r="I69" s="770">
        <f>AVERAGE(C69,E69,G69)</f>
        <v>50.233333333333327</v>
      </c>
      <c r="J69" s="893">
        <f>H69+'INTERPOLASI  '!K19</f>
        <v>50.699999999999989</v>
      </c>
      <c r="K69" s="893">
        <f>I69+'INTERPOLASI  '!V19</f>
        <v>49.93333333333333</v>
      </c>
      <c r="L69" s="495">
        <f t="shared" ref="L69:L73" si="3">STDEV(B69,D69,F69)</f>
        <v>8.7023357152673167E-15</v>
      </c>
      <c r="M69" s="495">
        <f t="shared" ref="M69:M73" si="4">STDEV(C69,E69,G69)</f>
        <v>0.11547005383792268</v>
      </c>
      <c r="N69" s="496">
        <f t="shared" ref="N69:N73" si="5">J69-A69</f>
        <v>0.69999999999998863</v>
      </c>
      <c r="O69" s="496">
        <f t="shared" si="0"/>
        <v>-6.6666666666669983E-2</v>
      </c>
      <c r="P69" s="183">
        <f>'BUDGET NAIK'!L36</f>
        <v>0.61906579656778449</v>
      </c>
      <c r="Q69" s="192">
        <f>'BUDGET TURUN'!L36</f>
        <v>0.6832843085007988</v>
      </c>
      <c r="T69" s="742"/>
      <c r="U69" s="743"/>
      <c r="V69" s="766"/>
      <c r="W69" s="748" t="s">
        <v>414</v>
      </c>
      <c r="X69" s="768">
        <f t="shared" ref="X69:X72" si="6">H69</f>
        <v>50.79999999999999</v>
      </c>
      <c r="Y69" s="751">
        <f>'DATA 1'!B6</f>
        <v>0</v>
      </c>
      <c r="Z69" s="752">
        <f>'DATA 1'!C6</f>
        <v>0</v>
      </c>
      <c r="AA69" s="753">
        <f>'DATA 1'!B7</f>
        <v>50</v>
      </c>
      <c r="AB69" s="754">
        <f>'DATA 1'!C7</f>
        <v>-0.1</v>
      </c>
      <c r="AC69" s="741">
        <f t="shared" si="1"/>
        <v>-0.10159999999999998</v>
      </c>
      <c r="AD69" s="771">
        <f t="shared" ref="AD69:AD73" si="7">X69+AC69</f>
        <v>50.698399999999992</v>
      </c>
      <c r="AE69" s="767"/>
      <c r="AF69" s="758">
        <f t="shared" ref="AF69:AF73" si="8">J69</f>
        <v>50.699999999999989</v>
      </c>
    </row>
    <row r="70" spans="1:32" ht="18.75" customHeight="1" x14ac:dyDescent="0.25">
      <c r="A70" s="57">
        <f>IF($C$14=$M$9,70,100)</f>
        <v>70</v>
      </c>
      <c r="B70" s="1405">
        <v>101</v>
      </c>
      <c r="C70" s="1405">
        <v>100.5</v>
      </c>
      <c r="D70" s="1405">
        <v>101</v>
      </c>
      <c r="E70" s="1405">
        <v>100.6</v>
      </c>
      <c r="F70" s="1405">
        <v>101</v>
      </c>
      <c r="G70" s="1405">
        <v>100.6</v>
      </c>
      <c r="H70" s="770">
        <f t="shared" si="2"/>
        <v>101</v>
      </c>
      <c r="I70" s="770">
        <f t="shared" ref="I70:I73" si="9">AVERAGE(C70,E70,G70)</f>
        <v>100.56666666666666</v>
      </c>
      <c r="J70" s="893">
        <f>H70+'INTERPOLASI  '!K20</f>
        <v>100.90600000000001</v>
      </c>
      <c r="K70" s="893">
        <f>I70+'INTERPOLASI  '!V20</f>
        <v>100.56666765646666</v>
      </c>
      <c r="L70" s="495">
        <f t="shared" si="3"/>
        <v>0</v>
      </c>
      <c r="M70" s="495">
        <f t="shared" si="4"/>
        <v>5.7735026918959292E-2</v>
      </c>
      <c r="N70" s="496">
        <f t="shared" si="5"/>
        <v>30.906000000000006</v>
      </c>
      <c r="O70" s="496">
        <f t="shared" si="0"/>
        <v>30.566667656466663</v>
      </c>
      <c r="P70" s="183">
        <f>'BUDGET NAIK'!L51</f>
        <v>0.61538099025557558</v>
      </c>
      <c r="Q70" s="192">
        <f>'BUDGET TURUN'!L51</f>
        <v>0.66463946123704742</v>
      </c>
      <c r="T70" s="742"/>
      <c r="U70" s="743"/>
      <c r="V70" s="766"/>
      <c r="W70" s="748" t="s">
        <v>415</v>
      </c>
      <c r="X70" s="768">
        <f t="shared" si="6"/>
        <v>101</v>
      </c>
      <c r="Y70" s="751">
        <f>'DATA 1'!B7</f>
        <v>50</v>
      </c>
      <c r="Z70" s="752">
        <f>'DATA 1'!C7</f>
        <v>-0.1</v>
      </c>
      <c r="AA70" s="753">
        <f>'DATA 1'!B8</f>
        <v>100</v>
      </c>
      <c r="AB70" s="754">
        <f>'DATA 1'!C8</f>
        <v>-0.1</v>
      </c>
      <c r="AC70" s="741">
        <f t="shared" si="1"/>
        <v>-0.1</v>
      </c>
      <c r="AD70" s="771">
        <f t="shared" si="7"/>
        <v>100.9</v>
      </c>
      <c r="AE70" s="767"/>
      <c r="AF70" s="758">
        <f t="shared" si="8"/>
        <v>100.90600000000001</v>
      </c>
    </row>
    <row r="71" spans="1:32" x14ac:dyDescent="0.25">
      <c r="A71" s="57">
        <f>IF($C$14=$M$9,100,150)</f>
        <v>100</v>
      </c>
      <c r="B71" s="1406">
        <v>151.19999999999999</v>
      </c>
      <c r="C71" s="1406">
        <v>150.80000000000001</v>
      </c>
      <c r="D71" s="1406">
        <v>151.19999999999999</v>
      </c>
      <c r="E71" s="1406">
        <v>150.80000000000001</v>
      </c>
      <c r="F71" s="1406">
        <v>151.1</v>
      </c>
      <c r="G71" s="1406">
        <v>150.69999999999999</v>
      </c>
      <c r="H71" s="770">
        <f t="shared" si="2"/>
        <v>151.16666666666666</v>
      </c>
      <c r="I71" s="770">
        <f t="shared" si="9"/>
        <v>150.76666666666668</v>
      </c>
      <c r="J71" s="893">
        <f>H71+'INTERPOLASI  '!K21</f>
        <v>151.36666666666665</v>
      </c>
      <c r="K71" s="893">
        <f>I71+'INTERPOLASI  '!V21</f>
        <v>150.76666765286669</v>
      </c>
      <c r="L71" s="495">
        <f t="shared" si="3"/>
        <v>5.7735026918959292E-2</v>
      </c>
      <c r="M71" s="495">
        <f t="shared" si="4"/>
        <v>5.7735026918975703E-2</v>
      </c>
      <c r="N71" s="496">
        <f t="shared" si="5"/>
        <v>51.366666666666646</v>
      </c>
      <c r="O71" s="496">
        <f t="shared" si="0"/>
        <v>50.766667652866687</v>
      </c>
      <c r="P71" s="183">
        <f>'BUDGET NAIK'!X21</f>
        <v>0.61484742622066291</v>
      </c>
      <c r="Q71" s="192">
        <f>'BUDGET TURUN'!X21</f>
        <v>0.65214372129546749</v>
      </c>
      <c r="T71" s="742"/>
      <c r="U71" s="743"/>
      <c r="V71" s="766"/>
      <c r="W71" s="748" t="s">
        <v>416</v>
      </c>
      <c r="X71" s="768">
        <f t="shared" si="6"/>
        <v>151.16666666666666</v>
      </c>
      <c r="Y71" s="751">
        <f>'DATA 1'!B8</f>
        <v>100</v>
      </c>
      <c r="Z71" s="752">
        <f>'DATA 1'!C8</f>
        <v>-0.1</v>
      </c>
      <c r="AA71" s="753">
        <f>'DATA 1'!B9</f>
        <v>150</v>
      </c>
      <c r="AB71" s="754">
        <f>'DATA 1'!C9</f>
        <v>0.2</v>
      </c>
      <c r="AC71" s="741">
        <f t="shared" si="1"/>
        <v>0.20699999999999999</v>
      </c>
      <c r="AD71" s="771">
        <f t="shared" si="7"/>
        <v>151.37366666666665</v>
      </c>
      <c r="AE71" s="767"/>
      <c r="AF71" s="758">
        <f t="shared" si="8"/>
        <v>151.36666666666665</v>
      </c>
    </row>
    <row r="72" spans="1:32" x14ac:dyDescent="0.25">
      <c r="A72" s="57">
        <f>IF($C$14=$M$9,120,200)</f>
        <v>120</v>
      </c>
      <c r="B72" s="1406">
        <v>201.8</v>
      </c>
      <c r="C72" s="1406">
        <v>201.1</v>
      </c>
      <c r="D72" s="1406">
        <v>201.8</v>
      </c>
      <c r="E72" s="1406">
        <v>201.1</v>
      </c>
      <c r="F72" s="1406">
        <v>201.7</v>
      </c>
      <c r="G72" s="1406">
        <v>201</v>
      </c>
      <c r="H72" s="770">
        <f t="shared" si="2"/>
        <v>201.76666666666665</v>
      </c>
      <c r="I72" s="770">
        <f t="shared" si="9"/>
        <v>201.06666666666669</v>
      </c>
      <c r="J72" s="893">
        <f>H72+'INTERPOLASI  '!K22</f>
        <v>201.96666666666664</v>
      </c>
      <c r="K72" s="893">
        <f>I72+'INTERPOLASI  '!V22</f>
        <v>201.06666764746669</v>
      </c>
      <c r="L72" s="495">
        <f t="shared" si="3"/>
        <v>5.7735026918975703E-2</v>
      </c>
      <c r="M72" s="495">
        <f t="shared" si="4"/>
        <v>5.7735026918959292E-2</v>
      </c>
      <c r="N72" s="496">
        <f t="shared" si="5"/>
        <v>81.96666666666664</v>
      </c>
      <c r="O72" s="496">
        <f t="shared" si="0"/>
        <v>81.066667647466687</v>
      </c>
      <c r="P72" s="183">
        <f>'BUDGET NAIK'!X36</f>
        <v>0.62452688133509149</v>
      </c>
      <c r="Q72" s="192">
        <f>'BUDGET TURUN'!X36</f>
        <v>0.64469493792969146</v>
      </c>
      <c r="V72" s="766"/>
      <c r="W72" s="748" t="s">
        <v>417</v>
      </c>
      <c r="X72" s="768">
        <f t="shared" si="6"/>
        <v>201.76666666666665</v>
      </c>
      <c r="Y72" s="751">
        <f>'DATA 1'!B9</f>
        <v>150</v>
      </c>
      <c r="Z72" s="752">
        <f>'DATA 1'!C9</f>
        <v>0.2</v>
      </c>
      <c r="AA72" s="753">
        <f>'DATA 1'!B10</f>
        <v>200</v>
      </c>
      <c r="AB72" s="754">
        <f>'DATA 1'!C10</f>
        <v>0.2</v>
      </c>
      <c r="AC72" s="741">
        <f t="shared" si="1"/>
        <v>0.2</v>
      </c>
      <c r="AD72" s="771">
        <f t="shared" si="7"/>
        <v>201.96666666666664</v>
      </c>
      <c r="AE72" s="767"/>
      <c r="AF72" s="758">
        <f t="shared" si="8"/>
        <v>201.96666666666664</v>
      </c>
    </row>
    <row r="73" spans="1:32" x14ac:dyDescent="0.25">
      <c r="A73" s="57">
        <f>IF($C$14=$M$9,150,250)</f>
        <v>150</v>
      </c>
      <c r="B73" s="1406">
        <v>251.2</v>
      </c>
      <c r="C73" s="1406">
        <v>250.7</v>
      </c>
      <c r="D73" s="1406">
        <v>251.2</v>
      </c>
      <c r="E73" s="1406">
        <v>250.7</v>
      </c>
      <c r="F73" s="1406">
        <v>251.2</v>
      </c>
      <c r="G73" s="1406">
        <v>250.6</v>
      </c>
      <c r="H73" s="770">
        <f t="shared" si="2"/>
        <v>251.19999999999996</v>
      </c>
      <c r="I73" s="770">
        <f t="shared" si="9"/>
        <v>250.66666666666666</v>
      </c>
      <c r="J73" s="893">
        <f>H73+'INTERPOLASI  '!K23</f>
        <v>251.39759999999995</v>
      </c>
      <c r="K73" s="893">
        <f>I73+'INTERPOLASI  '!V23</f>
        <v>250.66666765466667</v>
      </c>
      <c r="L73" s="495">
        <f t="shared" si="3"/>
        <v>3.4809342861069267E-14</v>
      </c>
      <c r="M73" s="495">
        <f t="shared" si="4"/>
        <v>5.7735026918959292E-2</v>
      </c>
      <c r="N73" s="496">
        <f t="shared" si="5"/>
        <v>101.39759999999995</v>
      </c>
      <c r="O73" s="496">
        <f t="shared" si="0"/>
        <v>100.66666765466667</v>
      </c>
      <c r="P73" s="183">
        <f>'BUDGET NAIK'!X51</f>
        <v>0.64895038435048291</v>
      </c>
      <c r="Q73" s="192">
        <f>'BUDGET TURUN'!X51</f>
        <v>0.63491116957816685</v>
      </c>
      <c r="V73" s="766"/>
      <c r="W73" s="748" t="s">
        <v>417</v>
      </c>
      <c r="X73" s="768">
        <f>H73</f>
        <v>251.19999999999996</v>
      </c>
      <c r="Y73" s="751">
        <f>'DATA 1'!B9</f>
        <v>150</v>
      </c>
      <c r="Z73" s="752">
        <f>'DATA 1'!C9</f>
        <v>0.2</v>
      </c>
      <c r="AA73" s="753">
        <f>'DATA 1'!B10</f>
        <v>200</v>
      </c>
      <c r="AB73" s="754">
        <f>'DATA 1'!C10</f>
        <v>0.2</v>
      </c>
      <c r="AC73" s="741">
        <f t="shared" si="1"/>
        <v>0.2</v>
      </c>
      <c r="AD73" s="771">
        <f t="shared" si="7"/>
        <v>251.39999999999995</v>
      </c>
      <c r="AE73" s="767"/>
      <c r="AF73" s="758">
        <f t="shared" si="8"/>
        <v>251.39759999999995</v>
      </c>
    </row>
    <row r="74" spans="1:32" ht="15.75" customHeight="1" x14ac:dyDescent="0.25">
      <c r="F74" s="165"/>
      <c r="G74" s="168"/>
      <c r="H74" s="165"/>
      <c r="I74" s="165"/>
      <c r="J74" s="168"/>
      <c r="K74" s="168"/>
      <c r="L74" s="58"/>
      <c r="M74" s="58"/>
      <c r="N74" s="59"/>
      <c r="O74" s="58"/>
      <c r="P74" s="59"/>
      <c r="Q74" s="1179"/>
      <c r="R74" s="1179"/>
      <c r="V74" s="748"/>
      <c r="W74" s="748" t="s">
        <v>414</v>
      </c>
      <c r="X74" s="769">
        <f>I68</f>
        <v>0</v>
      </c>
      <c r="Y74" s="751">
        <f>'DATA 1'!B6</f>
        <v>0</v>
      </c>
      <c r="Z74" s="752">
        <f>'DATA 1'!F6</f>
        <v>0</v>
      </c>
      <c r="AA74" s="753">
        <v>50</v>
      </c>
      <c r="AB74" s="754">
        <v>0.2</v>
      </c>
      <c r="AC74" s="741">
        <f t="shared" si="1"/>
        <v>0</v>
      </c>
      <c r="AD74" s="771">
        <f>X74+AC74</f>
        <v>0</v>
      </c>
      <c r="AF74" s="758">
        <f>K68</f>
        <v>-6E-9</v>
      </c>
    </row>
    <row r="75" spans="1:32" ht="24.75" customHeight="1" x14ac:dyDescent="0.3">
      <c r="A75" s="239" t="s">
        <v>103</v>
      </c>
      <c r="B75" s="129"/>
      <c r="C75" s="129"/>
      <c r="D75" s="129"/>
      <c r="E75" s="129"/>
      <c r="F75" s="129"/>
      <c r="H75" s="202"/>
      <c r="I75" s="202"/>
      <c r="L75" s="1175" t="s">
        <v>182</v>
      </c>
      <c r="M75" s="1175"/>
      <c r="R75" s="370"/>
      <c r="W75" s="748" t="s">
        <v>414</v>
      </c>
      <c r="X75" s="769">
        <f t="shared" ref="X75:X79" si="10">I69</f>
        <v>50.233333333333327</v>
      </c>
      <c r="Y75" s="751">
        <f>'DATA 1'!B6</f>
        <v>0</v>
      </c>
      <c r="Z75" s="752">
        <f>'DATA 1'!F6</f>
        <v>0</v>
      </c>
      <c r="AA75" s="753">
        <f>'DATA 1'!B7</f>
        <v>50</v>
      </c>
      <c r="AB75" s="754">
        <f>'DATA 1'!F7</f>
        <v>-0.3</v>
      </c>
      <c r="AC75" s="741">
        <f t="shared" si="1"/>
        <v>-0.30139999999999995</v>
      </c>
      <c r="AD75" s="771">
        <f t="shared" ref="AD75:AD79" si="11">X75+AC75</f>
        <v>49.931933333333326</v>
      </c>
      <c r="AF75" s="758">
        <f t="shared" ref="AF75:AF79" si="12">K69</f>
        <v>49.93333333333333</v>
      </c>
    </row>
    <row r="76" spans="1:32" ht="15.75" customHeight="1" x14ac:dyDescent="0.3">
      <c r="A76" s="1093" t="s">
        <v>483</v>
      </c>
      <c r="B76" s="203"/>
      <c r="C76" s="203"/>
      <c r="D76" s="203"/>
      <c r="E76" s="203"/>
      <c r="F76" s="203"/>
      <c r="G76" s="203"/>
      <c r="H76" s="204"/>
      <c r="I76" s="204"/>
      <c r="J76" s="900"/>
      <c r="L76" s="419" t="s">
        <v>150</v>
      </c>
      <c r="M76" s="419" t="s">
        <v>151</v>
      </c>
      <c r="N76" s="98"/>
      <c r="R76" s="886"/>
      <c r="W76" s="748" t="s">
        <v>415</v>
      </c>
      <c r="X76" s="769">
        <f t="shared" si="10"/>
        <v>100.56666666666666</v>
      </c>
      <c r="Y76" s="751">
        <f>'DATA 1'!B7</f>
        <v>50</v>
      </c>
      <c r="Z76" s="752">
        <f>'DATA 1'!F7</f>
        <v>-0.3</v>
      </c>
      <c r="AA76" s="753">
        <f>'DATA 1'!B8</f>
        <v>100</v>
      </c>
      <c r="AB76" s="754">
        <f>'DATA 1'!F8</f>
        <v>-0.3</v>
      </c>
      <c r="AC76" s="741">
        <f t="shared" si="1"/>
        <v>-0.3</v>
      </c>
      <c r="AD76" s="771">
        <f t="shared" si="11"/>
        <v>100.26666666666667</v>
      </c>
      <c r="AF76" s="758">
        <f t="shared" si="12"/>
        <v>100.56666765646666</v>
      </c>
    </row>
    <row r="77" spans="1:32" ht="15.75" customHeight="1" x14ac:dyDescent="0.3">
      <c r="A77" s="832"/>
      <c r="D77" s="206"/>
      <c r="E77" s="206"/>
      <c r="F77" s="206"/>
      <c r="G77" s="206"/>
      <c r="L77" s="425">
        <f>PENYELIA!T48</f>
        <v>0.60888847765242937</v>
      </c>
      <c r="M77" s="425">
        <f>PENYELIA!U48</f>
        <v>0.60888848165242937</v>
      </c>
      <c r="R77" s="392"/>
      <c r="W77" s="748" t="s">
        <v>416</v>
      </c>
      <c r="X77" s="769">
        <f t="shared" si="10"/>
        <v>150.76666666666668</v>
      </c>
      <c r="Y77" s="751">
        <f>'DATA 1'!B8</f>
        <v>100</v>
      </c>
      <c r="Z77" s="752">
        <f>'DATA 1'!F8</f>
        <v>-0.3</v>
      </c>
      <c r="AA77" s="753">
        <f>'DATA 1'!B9</f>
        <v>150</v>
      </c>
      <c r="AB77" s="754">
        <f>'DATA 1'!F8</f>
        <v>-0.3</v>
      </c>
      <c r="AC77" s="741">
        <f t="shared" si="1"/>
        <v>-0.3</v>
      </c>
      <c r="AD77" s="771">
        <f t="shared" si="11"/>
        <v>150.46666666666667</v>
      </c>
      <c r="AF77" s="758">
        <f t="shared" si="12"/>
        <v>150.76666765286669</v>
      </c>
    </row>
    <row r="78" spans="1:32" ht="15.75" customHeight="1" x14ac:dyDescent="0.3">
      <c r="A78" s="205"/>
      <c r="B78" s="206"/>
      <c r="C78" s="206"/>
      <c r="D78" s="206"/>
      <c r="E78" s="206"/>
      <c r="F78" s="206"/>
      <c r="G78" s="206"/>
      <c r="L78" s="425">
        <f>PENYELIA!T49</f>
        <v>1.3190657965677732</v>
      </c>
      <c r="M78" s="425">
        <f>PENYELIA!U49</f>
        <v>0.74995097516746878</v>
      </c>
      <c r="R78" s="442"/>
      <c r="W78" s="748" t="s">
        <v>417</v>
      </c>
      <c r="X78" s="769">
        <f t="shared" si="10"/>
        <v>201.06666666666669</v>
      </c>
      <c r="Y78" s="751">
        <f>'DATA 1'!B9</f>
        <v>150</v>
      </c>
      <c r="Z78" s="752">
        <f>'DATA 1'!F9</f>
        <v>0</v>
      </c>
      <c r="AA78" s="753">
        <f>'DATA 1'!B10</f>
        <v>200</v>
      </c>
      <c r="AB78" s="754">
        <f>'DATA 1'!F10</f>
        <v>0</v>
      </c>
      <c r="AC78" s="741">
        <f t="shared" si="1"/>
        <v>0</v>
      </c>
      <c r="AD78" s="771">
        <f t="shared" si="11"/>
        <v>201.06666666666669</v>
      </c>
      <c r="AF78" s="758">
        <f t="shared" si="12"/>
        <v>201.06666764746669</v>
      </c>
    </row>
    <row r="79" spans="1:32" ht="15.75" customHeight="1" x14ac:dyDescent="0.3">
      <c r="A79" s="205"/>
      <c r="B79" s="206"/>
      <c r="C79" s="206"/>
      <c r="D79" s="206"/>
      <c r="E79" s="206"/>
      <c r="F79" s="206"/>
      <c r="G79" s="206"/>
      <c r="L79" s="425">
        <f>PENYELIA!T50</f>
        <v>31.521380990255583</v>
      </c>
      <c r="M79" s="425">
        <f>PENYELIA!U50</f>
        <v>31.231307117703711</v>
      </c>
      <c r="R79" s="101"/>
      <c r="W79" s="748" t="s">
        <v>417</v>
      </c>
      <c r="X79" s="769">
        <f t="shared" si="10"/>
        <v>250.66666666666666</v>
      </c>
      <c r="Y79" s="751">
        <f>'DATA 1'!B9</f>
        <v>150</v>
      </c>
      <c r="Z79" s="752">
        <f>'DATA 1'!F9</f>
        <v>0</v>
      </c>
      <c r="AA79" s="753">
        <f>'DATA 1'!B10</f>
        <v>200</v>
      </c>
      <c r="AB79" s="754">
        <f>'DATA 1'!F10</f>
        <v>0</v>
      </c>
      <c r="AC79" s="741">
        <f t="shared" si="1"/>
        <v>0</v>
      </c>
      <c r="AD79" s="771">
        <f t="shared" si="11"/>
        <v>250.66666666666666</v>
      </c>
      <c r="AF79" s="758">
        <f t="shared" si="12"/>
        <v>250.66666765466667</v>
      </c>
    </row>
    <row r="80" spans="1:32" ht="15.75" customHeight="1" x14ac:dyDescent="0.3">
      <c r="A80" s="100" t="s">
        <v>208</v>
      </c>
      <c r="B80" s="40"/>
      <c r="F80" s="206"/>
      <c r="G80" s="206"/>
      <c r="L80" s="425">
        <f>PENYELIA!T51</f>
        <v>51.981514092887309</v>
      </c>
      <c r="M80" s="425">
        <f>PENYELIA!U51</f>
        <v>51.418811374162154</v>
      </c>
      <c r="R80" s="101"/>
    </row>
    <row r="81" spans="1:23" ht="15.75" customHeight="1" x14ac:dyDescent="0.3">
      <c r="A81" s="1151" t="s">
        <v>27</v>
      </c>
      <c r="B81" s="1151"/>
      <c r="C81" s="1151"/>
      <c r="D81" s="206"/>
      <c r="E81" s="206"/>
      <c r="F81" s="206"/>
      <c r="G81" s="206"/>
      <c r="L81" s="425">
        <f>PENYELIA!T52</f>
        <v>82.591193548001726</v>
      </c>
      <c r="M81" s="425">
        <f>PENYELIA!U52</f>
        <v>81.711362585396373</v>
      </c>
      <c r="R81" s="101"/>
      <c r="S81" s="899" t="s">
        <v>495</v>
      </c>
      <c r="T81" s="899" t="s">
        <v>496</v>
      </c>
      <c r="U81" s="743" t="s">
        <v>497</v>
      </c>
      <c r="V81" s="204" t="s">
        <v>498</v>
      </c>
      <c r="W81" s="894"/>
    </row>
    <row r="82" spans="1:23" ht="15.75" customHeight="1" x14ac:dyDescent="0.3">
      <c r="A82" s="562" t="s">
        <v>247</v>
      </c>
      <c r="B82" s="169"/>
      <c r="C82" s="169"/>
      <c r="D82" s="169"/>
      <c r="E82" s="169"/>
      <c r="F82" s="169"/>
      <c r="G82" s="169"/>
      <c r="L82" s="425">
        <f>PENYELIA!T53</f>
        <v>102.04655038435044</v>
      </c>
      <c r="M82" s="425">
        <f>PENYELIA!U53</f>
        <v>101.30157882424483</v>
      </c>
      <c r="R82" s="101"/>
      <c r="S82" s="732">
        <f>INDEX('DATA 1'!$C$6:$C$14,MATCH(H69,'DATA 1'!$B$6:$B$14,1))</f>
        <v>-0.1</v>
      </c>
      <c r="T82" s="732">
        <f>INDEX('DATA 1'!$C$6:$C$14,MATCH(H69,'DATA 1'!$B$6:$B$14,1)+1)</f>
        <v>-0.1</v>
      </c>
      <c r="U82" s="743">
        <f>INDEX('DATA 1'!$B$6:$B$14,MATCH(H69,'DATA 1'!$B$6:$B$14,1))</f>
        <v>50</v>
      </c>
      <c r="V82" s="204">
        <f>INDEX('DATA 1'!$B$6:$B$14,MATCH(H69,'DATA 1'!$B$6:$B$14,1)+1)</f>
        <v>100</v>
      </c>
      <c r="W82" s="894"/>
    </row>
    <row r="83" spans="1:23" ht="15.75" customHeight="1" x14ac:dyDescent="0.3">
      <c r="A83" s="1129" t="s">
        <v>460</v>
      </c>
      <c r="B83" s="1130"/>
      <c r="C83" s="1130"/>
      <c r="D83" s="1130"/>
      <c r="E83" s="1130"/>
      <c r="F83" s="1130"/>
      <c r="G83" s="1130"/>
      <c r="H83" s="58"/>
      <c r="I83" s="58"/>
      <c r="J83" s="59"/>
      <c r="K83" s="59"/>
      <c r="L83" s="58"/>
      <c r="M83" s="58"/>
      <c r="N83" s="59"/>
      <c r="O83" s="58"/>
      <c r="R83" s="101"/>
      <c r="S83" s="732">
        <f>INDEX('DATA 1'!$C$6:$C$14,MATCH(H70,'DATA 1'!$B$6:$B$14,1))</f>
        <v>-0.1</v>
      </c>
      <c r="T83" s="732">
        <f>INDEX('DATA 1'!$C$6:$C$14,MATCH(H70,'DATA 1'!$B$6:$B$14,1)+1)</f>
        <v>0.2</v>
      </c>
      <c r="U83" s="743">
        <f>INDEX('DATA 1'!$B$6:$B$14,MATCH(H70,'DATA 1'!$B$6:$B$14,1))</f>
        <v>100</v>
      </c>
      <c r="V83" s="204">
        <f>INDEX('DATA 1'!$B$6:$B$14,MATCH(H70,'DATA 1'!$B$6:$B$14,1)+1)</f>
        <v>150</v>
      </c>
      <c r="W83" s="894"/>
    </row>
    <row r="84" spans="1:23" ht="15.75" customHeight="1" x14ac:dyDescent="0.3">
      <c r="H84" s="61"/>
      <c r="I84" s="61"/>
      <c r="J84" s="62"/>
      <c r="K84" s="62"/>
      <c r="L84" s="1173" t="s">
        <v>200</v>
      </c>
      <c r="M84" s="1173"/>
      <c r="N84" s="389" t="s">
        <v>183</v>
      </c>
      <c r="O84" s="58"/>
      <c r="P84" s="59"/>
      <c r="Q84" s="101"/>
      <c r="R84" s="101"/>
      <c r="S84" s="732">
        <f>INDEX('DATA 1'!$C$6:$C$14,MATCH(H71,'DATA 1'!$B$6:$B$14,1))</f>
        <v>0.2</v>
      </c>
      <c r="T84" s="732">
        <f>INDEX('DATA 1'!$C$6:$C$14,MATCH(H71,'DATA 1'!$B$6:$B$14,1)+1)</f>
        <v>0.2</v>
      </c>
      <c r="U84" s="743">
        <f>INDEX('DATA 1'!$B$6:$B$14,MATCH(H71,'DATA 1'!$B$6:$B$14,1))</f>
        <v>150</v>
      </c>
      <c r="V84" s="204">
        <f>INDEX('DATA 1'!$B$6:$B$14,MATCH(H71,'DATA 1'!$B$6:$B$14,1)+1)</f>
        <v>200</v>
      </c>
      <c r="W84" s="894"/>
    </row>
    <row r="85" spans="1:23" x14ac:dyDescent="0.3">
      <c r="A85" s="1129" t="s">
        <v>592</v>
      </c>
      <c r="B85" s="1130"/>
      <c r="C85" s="1130"/>
      <c r="D85" s="1130"/>
      <c r="E85" s="1130"/>
      <c r="F85" s="1130"/>
      <c r="G85" s="1130"/>
      <c r="L85" s="1174" t="str">
        <f>IF(N85&gt;=70,"HIJAU","MERAH")</f>
        <v>MERAH</v>
      </c>
      <c r="M85" s="1174"/>
      <c r="N85" s="1176">
        <f>PENYELIA!M73</f>
        <v>30</v>
      </c>
      <c r="S85" s="732">
        <f>INDEX('DATA 1'!$C$6:$C$14,MATCH(H72,'DATA 1'!$B$6:$B$14,1))</f>
        <v>0.2</v>
      </c>
      <c r="T85" s="732">
        <f>INDEX('DATA 1'!$C$6:$C$14,MATCH(H72,'DATA 1'!$B$6:$B$14,1)+1)</f>
        <v>0.2</v>
      </c>
      <c r="U85" s="743">
        <f>INDEX('DATA 1'!$B$6:$B$14,MATCH(H72,'DATA 1'!$B$6:$B$14,1))</f>
        <v>200</v>
      </c>
      <c r="V85" s="204">
        <f>INDEX('DATA 1'!$B$6:$B$14,MATCH(H72,'DATA 1'!$B$6:$B$14,1)+1)</f>
        <v>250</v>
      </c>
      <c r="W85" s="894"/>
    </row>
    <row r="86" spans="1:23" ht="19.5" customHeight="1" x14ac:dyDescent="0.3">
      <c r="A86" s="1131" t="s">
        <v>603</v>
      </c>
      <c r="B86" s="1131"/>
      <c r="C86" s="1131"/>
      <c r="D86" s="1131"/>
      <c r="E86" s="1131"/>
      <c r="F86" s="1131"/>
      <c r="G86" s="1131"/>
      <c r="L86" s="1174"/>
      <c r="M86" s="1174"/>
      <c r="N86" s="1176"/>
      <c r="S86" s="732">
        <f>INDEX('DATA 1'!$C$6:$C$14,MATCH(H73,'DATA 1'!$B$6:$B$14,1))</f>
        <v>0.2</v>
      </c>
      <c r="T86" s="732">
        <f>INDEX('DATA 1'!$C$6:$C$14,MATCH(H73,'DATA 1'!$B$6:$B$14,1)+1)</f>
        <v>0.1</v>
      </c>
      <c r="U86" s="743">
        <f>INDEX('DATA 1'!$B$6:$B$14,MATCH(H73,'DATA 1'!$B$6:$B$14,1))</f>
        <v>250</v>
      </c>
      <c r="V86" s="204">
        <f>INDEX('DATA 1'!$B$6:$B$14,MATCH(H73,'DATA 1'!$B$6:$B$14,1)+1)</f>
        <v>300</v>
      </c>
      <c r="W86" s="894"/>
    </row>
    <row r="87" spans="1:23" ht="18.75" customHeight="1" x14ac:dyDescent="0.3">
      <c r="A87" s="51"/>
      <c r="B87" s="58"/>
      <c r="C87" s="59"/>
      <c r="D87" s="58"/>
      <c r="E87" s="59"/>
      <c r="F87" s="58"/>
      <c r="G87" s="59"/>
      <c r="S87" s="732"/>
      <c r="T87" s="732"/>
      <c r="U87" s="743"/>
      <c r="V87" s="204"/>
      <c r="W87" s="894"/>
    </row>
    <row r="88" spans="1:23" ht="69" x14ac:dyDescent="0.3">
      <c r="D88" s="60"/>
      <c r="E88" s="60"/>
      <c r="F88" s="60"/>
      <c r="G88" s="60"/>
      <c r="S88" s="895" t="s">
        <v>500</v>
      </c>
      <c r="T88" s="895" t="s">
        <v>501</v>
      </c>
      <c r="U88" s="896" t="s">
        <v>502</v>
      </c>
      <c r="V88" s="897" t="s">
        <v>503</v>
      </c>
      <c r="W88" s="898"/>
    </row>
    <row r="89" spans="1:23" x14ac:dyDescent="0.3">
      <c r="S89" s="895">
        <f>INDEX('DATA 1'!$C$6:$C$14,MATCH(I69,'DATA 1'!$B$6:$B$14,1))</f>
        <v>-0.1</v>
      </c>
      <c r="T89" s="895">
        <f>INDEX('DATA 1'!$C$6:$C$14,MATCH(I69,'DATA 1'!$B$6:$B$14,1)+1)</f>
        <v>-0.1</v>
      </c>
      <c r="U89" s="896">
        <f>INDEX('DATA 1'!$B$6:$B$14,MATCH(I69,'DATA 1'!$B$6:$B$14,1))</f>
        <v>50</v>
      </c>
      <c r="V89" s="897">
        <f>INDEX('DATA 1'!$B$6:$B$14,MATCH(I69,'DATA 1'!$B$6:$B$14,1)+1)</f>
        <v>100</v>
      </c>
      <c r="W89" s="898"/>
    </row>
    <row r="90" spans="1:23" x14ac:dyDescent="0.3">
      <c r="O90" s="65"/>
      <c r="P90" s="65"/>
      <c r="S90" s="895">
        <f>INDEX('DATA 1'!$C$6:$C$14,MATCH(I70,'DATA 1'!$B$6:$B$14,1))</f>
        <v>-0.1</v>
      </c>
      <c r="T90" s="895">
        <f>INDEX('DATA 1'!$C$6:$C$14,MATCH(I70,'DATA 1'!$B$6:$B$14,1)+1)</f>
        <v>0.2</v>
      </c>
      <c r="U90" s="896">
        <f>INDEX('DATA 1'!$B$6:$B$14,MATCH(I70,'DATA 1'!$B$6:$B$14,1))</f>
        <v>100</v>
      </c>
      <c r="V90" s="897">
        <f>INDEX('DATA 1'!$B$6:$B$14,MATCH(I70,'DATA 1'!$B$6:$B$14,1)+1)</f>
        <v>150</v>
      </c>
      <c r="W90" s="898"/>
    </row>
    <row r="91" spans="1:23" x14ac:dyDescent="0.3">
      <c r="A91" s="41" t="s">
        <v>237</v>
      </c>
      <c r="B91" s="444" t="s">
        <v>0</v>
      </c>
      <c r="C91" s="504">
        <v>44116</v>
      </c>
      <c r="O91" s="65"/>
      <c r="P91" s="65"/>
      <c r="S91" s="895">
        <f>INDEX('DATA 1'!$C$6:$C$14,MATCH(I71,'DATA 1'!$B$6:$B$14,1))</f>
        <v>0.2</v>
      </c>
      <c r="T91" s="895">
        <f>INDEX('DATA 1'!$C$6:$C$14,MATCH(I71,'DATA 1'!$B$6:$B$14,1)+1)</f>
        <v>0.2</v>
      </c>
      <c r="U91" s="896">
        <f>INDEX('DATA 1'!$B$6:$B$14,MATCH(I71,'DATA 1'!$B$6:$B$14,1))</f>
        <v>150</v>
      </c>
      <c r="V91" s="897">
        <f>INDEX('DATA 1'!$B$6:$B$14,MATCH(I71,'DATA 1'!$B$6:$B$14,1)+1)</f>
        <v>200</v>
      </c>
      <c r="W91" s="898"/>
    </row>
    <row r="92" spans="1:23" x14ac:dyDescent="0.3">
      <c r="A92" s="63"/>
      <c r="B92" s="170"/>
      <c r="C92" s="170"/>
      <c r="D92" s="170"/>
      <c r="E92" s="170"/>
      <c r="F92" s="170"/>
      <c r="G92" s="170"/>
      <c r="S92" s="895">
        <f>INDEX('DATA 1'!$C$6:$C$14,MATCH(I72,'DATA 1'!$B$6:$B$14,1))</f>
        <v>0.2</v>
      </c>
      <c r="T92" s="895">
        <f>INDEX('DATA 1'!$C$6:$C$14,MATCH(I72,'DATA 1'!$B$6:$B$14,1)+1)</f>
        <v>0.2</v>
      </c>
      <c r="U92" s="896">
        <f>INDEX('DATA 1'!$B$6:$B$14,MATCH(I72,'DATA 1'!$B$6:$B$14,1))</f>
        <v>200</v>
      </c>
      <c r="V92" s="897">
        <f>INDEX('DATA 1'!$B$6:$B$14,MATCH(I72,'DATA 1'!$B$6:$B$14,1)+1)</f>
        <v>250</v>
      </c>
      <c r="W92" s="898"/>
    </row>
    <row r="93" spans="1:23" x14ac:dyDescent="0.3">
      <c r="A93" s="64"/>
      <c r="B93" s="171"/>
      <c r="C93" s="172"/>
      <c r="D93" s="173"/>
      <c r="E93" s="173"/>
      <c r="F93" s="173"/>
      <c r="G93" s="170"/>
      <c r="S93" s="895">
        <f>INDEX('DATA 1'!$C$6:$C$14,MATCH(I73,'DATA 1'!$B$6:$B$14,1))</f>
        <v>0.2</v>
      </c>
      <c r="T93" s="895">
        <f>INDEX('DATA 1'!$C$6:$C$14,MATCH(I73,'DATA 1'!$B$6:$B$14,1)+1)</f>
        <v>0.1</v>
      </c>
      <c r="U93" s="896">
        <f>INDEX('DATA 1'!$B$6:$B$14,MATCH(I73,'DATA 1'!$B$6:$B$14,1))</f>
        <v>250</v>
      </c>
      <c r="V93" s="897">
        <f>INDEX('DATA 1'!$B$6:$B$14,MATCH(I73,'DATA 1'!$B$6:$B$14,1)+1)</f>
        <v>300</v>
      </c>
      <c r="W93" s="898"/>
    </row>
    <row r="94" spans="1:23" x14ac:dyDescent="0.25">
      <c r="A94" s="65"/>
      <c r="B94" s="174"/>
      <c r="C94" s="175"/>
      <c r="D94" s="175"/>
      <c r="E94" s="176"/>
      <c r="F94" s="174"/>
      <c r="G94" s="170"/>
    </row>
    <row r="95" spans="1:23" x14ac:dyDescent="0.25">
      <c r="A95" s="63"/>
      <c r="B95" s="177"/>
      <c r="C95" s="177"/>
      <c r="D95" s="177"/>
      <c r="E95" s="177"/>
      <c r="F95" s="178"/>
      <c r="G95" s="170"/>
    </row>
    <row r="96" spans="1:23" x14ac:dyDescent="0.25">
      <c r="A96" s="63"/>
      <c r="B96" s="179"/>
      <c r="C96" s="180"/>
      <c r="D96" s="181"/>
      <c r="E96" s="182"/>
      <c r="F96" s="170"/>
      <c r="G96" s="170"/>
    </row>
    <row r="150" spans="1:1" x14ac:dyDescent="0.25">
      <c r="A150" s="98" t="s">
        <v>294</v>
      </c>
    </row>
  </sheetData>
  <sheetProtection formatCells="0" formatColumns="0" formatRows="0" insertColumns="0" insertRows="0" deleteColumns="0" deleteRows="0"/>
  <mergeCells count="44">
    <mergeCell ref="L85:M86"/>
    <mergeCell ref="L75:M75"/>
    <mergeCell ref="N85:N86"/>
    <mergeCell ref="P65:Q66"/>
    <mergeCell ref="N65:O66"/>
    <mergeCell ref="L65:M66"/>
    <mergeCell ref="Q74:R74"/>
    <mergeCell ref="C19:C20"/>
    <mergeCell ref="A41:A42"/>
    <mergeCell ref="AD20:AD21"/>
    <mergeCell ref="J65:K66"/>
    <mergeCell ref="L84:M84"/>
    <mergeCell ref="A85:G85"/>
    <mergeCell ref="A81:C81"/>
    <mergeCell ref="B46:C47"/>
    <mergeCell ref="H65:I66"/>
    <mergeCell ref="F46:F47"/>
    <mergeCell ref="B65:G65"/>
    <mergeCell ref="A46:A47"/>
    <mergeCell ref="A65:A67"/>
    <mergeCell ref="A52:A53"/>
    <mergeCell ref="B52:C53"/>
    <mergeCell ref="D52:E53"/>
    <mergeCell ref="F52:F53"/>
    <mergeCell ref="A54:A55"/>
    <mergeCell ref="B54:C55"/>
    <mergeCell ref="D54:E55"/>
    <mergeCell ref="F54:F55"/>
    <mergeCell ref="A1:K1"/>
    <mergeCell ref="A83:G83"/>
    <mergeCell ref="A86:G86"/>
    <mergeCell ref="C14:D14"/>
    <mergeCell ref="D41:E42"/>
    <mergeCell ref="F41:F42"/>
    <mergeCell ref="F43:F44"/>
    <mergeCell ref="A43:A44"/>
    <mergeCell ref="D19:D20"/>
    <mergeCell ref="E19:E20"/>
    <mergeCell ref="F19:F20"/>
    <mergeCell ref="D43:E44"/>
    <mergeCell ref="B43:C44"/>
    <mergeCell ref="B41:C42"/>
    <mergeCell ref="A19:A20"/>
    <mergeCell ref="B19:B20"/>
  </mergeCells>
  <phoneticPr fontId="6" type="noConversion"/>
  <dataValidations count="6">
    <dataValidation type="list" allowBlank="1" showInputMessage="1" showErrorMessage="1" sqref="J15:K17 J38:K39" xr:uid="{00000000-0002-0000-0600-000000000000}">
      <formula1>$HQ$1:$HQ$13</formula1>
    </dataValidation>
    <dataValidation type="list" allowBlank="1" showInputMessage="1" showErrorMessage="1" sqref="L7:O7" xr:uid="{00000000-0002-0000-0600-000001000000}">
      <formula1>$AS$4:$AS$16</formula1>
    </dataValidation>
    <dataValidation type="list" allowBlank="1" showInputMessage="1" showErrorMessage="1" sqref="C14:D14" xr:uid="{00000000-0002-0000-0600-000002000000}">
      <formula1>$M$9:$M$10</formula1>
    </dataValidation>
    <dataValidation type="list" allowBlank="1" showInputMessage="1" showErrorMessage="1" sqref="C39" xr:uid="{00000000-0002-0000-0600-000003000000}">
      <formula1>#REF!</formula1>
    </dataValidation>
    <dataValidation allowBlank="1" showInputMessage="1" sqref="A2:D2 F2:K2" xr:uid="{00000000-0002-0000-0600-000004000000}"/>
    <dataValidation type="list" allowBlank="1" showInputMessage="1" showErrorMessage="1" sqref="C37:C38" xr:uid="{00000000-0002-0000-0600-000005000000}">
      <formula1>$L$37:$L$38</formula1>
    </dataValidation>
  </dataValidations>
  <printOptions horizontalCentered="1"/>
  <pageMargins left="0.511811023622047" right="0.23622047244094499" top="0.74803149606299202" bottom="0.23622047244094499" header="0.23622047244094499" footer="0.23622047244094499"/>
  <pageSetup paperSize="9" scale="68" orientation="portrait" horizontalDpi="4294967294" r:id="rId1"/>
  <headerFooter>
    <oddHeader xml:space="preserve">&amp;R&amp;"-,Regular"&amp;8T.ID 042-18
</oddHeader>
    <oddFooter>&amp;R&amp;8&amp;K00-014Software Sphygmomanometer 2018</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iconSet" priority="1" id="{8F2FFE95-9FF3-41AE-A7B6-49F2C3F1A469}">
            <x14:iconSet custom="1">
              <x14:cfvo type="percent">
                <xm:f>0</xm:f>
              </x14:cfvo>
              <x14:cfvo type="num">
                <xm:f>3</xm:f>
              </x14:cfvo>
              <x14:cfvo type="num" gte="0">
                <xm:f>3</xm:f>
              </x14:cfvo>
              <x14:cfIcon iconSet="3Symbols" iconId="2"/>
              <x14:cfIcon iconSet="3Symbols" iconId="2"/>
              <x14:cfIcon iconSet="3Symbols" iconId="0"/>
            </x14:iconSet>
          </x14:cfRule>
          <xm:sqref>C95:E95</xm:sqref>
        </x14:conditionalFormatting>
      </x14:conditionalFormattings>
    </ext>
    <ext xmlns:x14="http://schemas.microsoft.com/office/spreadsheetml/2009/9/main" uri="{CCE6A557-97BC-4b89-ADB6-D9C93CAAB3DF}">
      <x14:dataValidations xmlns:xm="http://schemas.microsoft.com/office/excel/2006/main" count="10">
        <x14:dataValidation type="list" allowBlank="1" showInputMessage="1" xr:uid="{00000000-0002-0000-0600-000006000000}">
          <x14:formula1>
            <xm:f>KETERANGAN!$G$26:$G$34</xm:f>
          </x14:formula1>
          <xm:sqref>A77</xm:sqref>
        </x14:dataValidation>
        <x14:dataValidation type="list" allowBlank="1" showInputMessage="1" xr:uid="{00000000-0002-0000-0600-000007000000}">
          <x14:formula1>
            <xm:f>KETERANGAN!$F$8:$F$9</xm:f>
          </x14:formula1>
          <xm:sqref>P6 P2:P4</xm:sqref>
        </x14:dataValidation>
        <x14:dataValidation type="list" allowBlank="1" showInputMessage="1" xr:uid="{00000000-0002-0000-0600-000008000000}">
          <x14:formula1>
            <xm:f>KETERANGAN!$F$26:$F$34</xm:f>
          </x14:formula1>
          <xm:sqref>A76</xm:sqref>
        </x14:dataValidation>
        <x14:dataValidation type="list" allowBlank="1" showInputMessage="1" showErrorMessage="1" xr:uid="{00000000-0002-0000-0600-000009000000}">
          <x14:formula1>
            <xm:f>KETERANGAN!$F$38:$F$39</xm:f>
          </x14:formula1>
          <xm:sqref>B41:C42</xm:sqref>
        </x14:dataValidation>
        <x14:dataValidation type="list" allowBlank="1" showInputMessage="1" showErrorMessage="1" xr:uid="{00000000-0002-0000-0600-00000A000000}">
          <x14:formula1>
            <xm:f>KETERANGAN!$F$41:$F$42</xm:f>
          </x14:formula1>
          <xm:sqref>B52:C53</xm:sqref>
        </x14:dataValidation>
        <x14:dataValidation type="list" allowBlank="1" showInputMessage="1" showErrorMessage="1" xr:uid="{00000000-0002-0000-0600-00000B000000}">
          <x14:formula1>
            <xm:f>'SERTIFIKAT THERMOHYGROMETER'!$W$3:$W$12</xm:f>
          </x14:formula1>
          <xm:sqref>L8:O8</xm:sqref>
        </x14:dataValidation>
        <x14:dataValidation type="list" allowBlank="1" showInputMessage="1" showErrorMessage="1" xr:uid="{00000000-0002-0000-0600-00000C000000}">
          <x14:formula1>
            <xm:f>'SERTIFIKAT STOPWATCH'!$N$6:$N$21</xm:f>
          </x14:formula1>
          <xm:sqref>A85:G85</xm:sqref>
        </x14:dataValidation>
        <x14:dataValidation type="list" allowBlank="1" showInputMessage="1" showErrorMessage="1" xr:uid="{00000000-0002-0000-0600-00000D000000}">
          <x14:formula1>
            <xm:f>'RESOLUSI STANDAR'!$E$7:$E$30</xm:f>
          </x14:formula1>
          <xm:sqref>A83:G83</xm:sqref>
        </x14:dataValidation>
        <x14:dataValidation type="list" allowBlank="1" showInputMessage="1" showErrorMessage="1" xr:uid="{00000000-0002-0000-0600-00000E000000}">
          <x14:formula1>
            <xm:f>'SERTIFIKAT THERMOHYGROMETER'!$W$3:$W$24</xm:f>
          </x14:formula1>
          <xm:sqref>A86:G86</xm:sqref>
        </x14:dataValidation>
        <x14:dataValidation type="list" allowBlank="1" showInputMessage="1" xr:uid="{00000000-0002-0000-0600-00000F000000}">
          <x14:formula1>
            <xm:f>'SERTIFIKAT DPM'!$CN$1:$CN$25</xm:f>
          </x14:formula1>
          <xm:sqref>A81:C81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AA99"/>
  <sheetViews>
    <sheetView view="pageBreakPreview" topLeftCell="B77" zoomScaleNormal="100" zoomScaleSheetLayoutView="100" workbookViewId="0">
      <selection activeCell="F18" sqref="F18"/>
    </sheetView>
  </sheetViews>
  <sheetFormatPr defaultColWidth="9.21875" defaultRowHeight="15.6" x14ac:dyDescent="0.25"/>
  <cols>
    <col min="1" max="1" width="29.77734375" style="245" customWidth="1"/>
    <col min="2" max="2" width="12.21875" style="245" customWidth="1"/>
    <col min="3" max="3" width="11.77734375" style="245" customWidth="1"/>
    <col min="4" max="5" width="10" style="245" customWidth="1"/>
    <col min="6" max="8" width="9.77734375" style="245" customWidth="1"/>
    <col min="9" max="11" width="9.21875" style="245" customWidth="1"/>
    <col min="12" max="13" width="12" style="33" customWidth="1"/>
    <col min="14" max="14" width="8.5546875" style="33" customWidth="1"/>
    <col min="15" max="15" width="11.5546875" style="33" customWidth="1"/>
    <col min="16" max="16" width="11.77734375" style="33" customWidth="1"/>
    <col min="17" max="17" width="13.21875" style="33" customWidth="1"/>
    <col min="18" max="18" width="7.77734375" style="33" customWidth="1"/>
    <col min="19" max="19" width="9.21875" style="33" customWidth="1"/>
    <col min="20" max="20" width="11.21875" style="33" customWidth="1"/>
    <col min="21" max="235" width="9.21875" style="33" customWidth="1"/>
    <col min="236" max="236" width="7.77734375" style="33" customWidth="1"/>
    <col min="237" max="240" width="8.77734375" style="33" customWidth="1"/>
    <col min="241" max="241" width="0.21875" style="33" customWidth="1"/>
    <col min="242" max="242" width="8.5546875" style="33" customWidth="1"/>
    <col min="243" max="248" width="8.77734375" style="33" customWidth="1"/>
    <col min="249" max="16384" width="9.21875" style="33"/>
  </cols>
  <sheetData>
    <row r="1" spans="1:27" ht="18" x14ac:dyDescent="0.25">
      <c r="A1" s="1202" t="s">
        <v>229</v>
      </c>
      <c r="B1" s="1202"/>
      <c r="C1" s="1202"/>
      <c r="D1" s="1202"/>
      <c r="E1" s="1202"/>
      <c r="F1" s="1202"/>
      <c r="G1" s="1202"/>
      <c r="H1" s="1202"/>
      <c r="I1" s="1202"/>
      <c r="J1" s="1202"/>
      <c r="K1" s="1202"/>
      <c r="L1" s="31"/>
      <c r="M1" s="31"/>
      <c r="N1" s="31"/>
      <c r="O1" s="31"/>
      <c r="P1" s="31"/>
      <c r="Q1" s="32"/>
      <c r="R1" s="32"/>
      <c r="V1" s="34" t="s">
        <v>64</v>
      </c>
      <c r="X1" s="35" t="s">
        <v>104</v>
      </c>
    </row>
    <row r="2" spans="1:27" ht="18.600000000000001" x14ac:dyDescent="0.25">
      <c r="A2" s="1203" t="s">
        <v>356</v>
      </c>
      <c r="B2" s="1203"/>
      <c r="C2" s="1203"/>
      <c r="D2" s="1203"/>
      <c r="E2" s="1203"/>
      <c r="F2" s="1203"/>
      <c r="G2" s="1203"/>
      <c r="H2" s="1203"/>
      <c r="I2" s="1203"/>
      <c r="J2" s="1203"/>
      <c r="K2" s="1203"/>
      <c r="L2" s="184"/>
      <c r="M2" s="184"/>
      <c r="N2" s="184"/>
      <c r="O2" s="184"/>
      <c r="P2" s="36"/>
      <c r="Q2" s="36"/>
      <c r="R2" s="36"/>
      <c r="V2" s="34" t="s">
        <v>65</v>
      </c>
      <c r="W2" s="37"/>
      <c r="Y2" s="37"/>
      <c r="Z2" s="37"/>
      <c r="AA2" s="37"/>
    </row>
    <row r="3" spans="1:27" ht="17.25" customHeight="1" x14ac:dyDescent="0.25">
      <c r="A3" s="1203"/>
      <c r="B3" s="1203"/>
      <c r="C3" s="1203"/>
      <c r="D3" s="1203"/>
      <c r="E3" s="1203"/>
      <c r="F3" s="1203"/>
      <c r="G3" s="1203"/>
      <c r="H3" s="1203"/>
      <c r="I3" s="1203"/>
      <c r="J3" s="1203"/>
      <c r="K3" s="1203"/>
      <c r="L3" s="38"/>
      <c r="M3" s="38"/>
      <c r="N3" s="38"/>
      <c r="O3" s="38"/>
      <c r="P3" s="36"/>
      <c r="Q3" s="36"/>
      <c r="R3" s="36"/>
      <c r="V3" s="34"/>
      <c r="W3" s="37"/>
      <c r="Y3" s="37"/>
      <c r="Z3" s="37"/>
      <c r="AA3" s="37"/>
    </row>
    <row r="4" spans="1:27" ht="17.399999999999999" x14ac:dyDescent="0.25">
      <c r="A4" s="241"/>
      <c r="B4" s="240"/>
      <c r="C4" s="240"/>
      <c r="D4" s="240"/>
      <c r="E4" s="240"/>
      <c r="F4" s="240"/>
      <c r="G4" s="240"/>
      <c r="H4" s="240"/>
      <c r="I4" s="240"/>
      <c r="J4" s="240"/>
      <c r="K4" s="240"/>
      <c r="L4" s="38"/>
      <c r="M4" s="38"/>
      <c r="N4" s="38"/>
      <c r="O4" s="38"/>
      <c r="P4" s="36"/>
      <c r="Q4" s="36"/>
      <c r="R4" s="36"/>
      <c r="V4" s="34"/>
      <c r="W4" s="37"/>
      <c r="Y4" s="37"/>
      <c r="Z4" s="37"/>
      <c r="AA4" s="37"/>
    </row>
    <row r="5" spans="1:27" hidden="1" x14ac:dyDescent="0.25">
      <c r="A5" s="242" t="s">
        <v>22</v>
      </c>
      <c r="B5" s="243" t="s">
        <v>0</v>
      </c>
      <c r="C5" s="244" t="s">
        <v>184</v>
      </c>
      <c r="F5" s="246"/>
      <c r="G5" s="246"/>
      <c r="H5" s="246"/>
      <c r="I5" s="247"/>
      <c r="J5" s="247"/>
    </row>
    <row r="6" spans="1:27" ht="17.399999999999999" x14ac:dyDescent="0.25">
      <c r="A6" s="242" t="s">
        <v>21</v>
      </c>
      <c r="C6" s="243" t="s">
        <v>0</v>
      </c>
      <c r="D6" s="244" t="s">
        <v>184</v>
      </c>
      <c r="F6" s="248"/>
      <c r="G6" s="248"/>
      <c r="H6" s="248"/>
      <c r="I6" s="248"/>
      <c r="J6" s="248"/>
      <c r="K6" s="248"/>
      <c r="L6" s="169"/>
      <c r="M6" s="169"/>
      <c r="N6" s="169"/>
      <c r="O6" s="169"/>
      <c r="P6" s="36"/>
      <c r="Q6" s="36"/>
      <c r="R6" s="36"/>
      <c r="V6" s="34"/>
      <c r="W6" s="37"/>
      <c r="Y6" s="37"/>
      <c r="Z6" s="37"/>
      <c r="AA6" s="37"/>
    </row>
    <row r="7" spans="1:27" x14ac:dyDescent="0.25">
      <c r="A7" s="242" t="s">
        <v>136</v>
      </c>
      <c r="C7" s="243" t="s">
        <v>0</v>
      </c>
      <c r="D7" s="244" t="s">
        <v>184</v>
      </c>
      <c r="E7" s="248"/>
      <c r="F7" s="248"/>
      <c r="G7" s="248"/>
      <c r="H7" s="248"/>
      <c r="I7" s="248"/>
      <c r="J7" s="248"/>
      <c r="K7" s="248"/>
      <c r="L7" s="169"/>
      <c r="M7" s="169"/>
      <c r="N7" s="169"/>
      <c r="O7" s="169"/>
      <c r="U7" s="37"/>
      <c r="V7" s="37"/>
      <c r="W7" s="37"/>
      <c r="X7" s="37"/>
      <c r="Z7" s="37"/>
      <c r="AA7" s="37"/>
    </row>
    <row r="8" spans="1:27" x14ac:dyDescent="0.25">
      <c r="A8" s="242" t="s">
        <v>9</v>
      </c>
      <c r="C8" s="243" t="s">
        <v>0</v>
      </c>
      <c r="D8" s="244" t="s">
        <v>184</v>
      </c>
      <c r="E8" s="248"/>
      <c r="F8" s="248"/>
      <c r="G8" s="248"/>
      <c r="H8" s="248"/>
      <c r="I8" s="248"/>
      <c r="J8" s="248"/>
      <c r="K8" s="248"/>
      <c r="L8" s="169"/>
      <c r="M8" s="169"/>
      <c r="N8" s="169"/>
      <c r="O8" s="169"/>
    </row>
    <row r="9" spans="1:27" x14ac:dyDescent="0.25">
      <c r="A9" s="242" t="s">
        <v>76</v>
      </c>
      <c r="C9" s="243" t="s">
        <v>0</v>
      </c>
      <c r="D9" s="244" t="s">
        <v>238</v>
      </c>
      <c r="E9" s="248"/>
      <c r="F9" s="248"/>
      <c r="G9" s="248"/>
      <c r="H9" s="248"/>
      <c r="I9" s="248"/>
      <c r="J9" s="248"/>
      <c r="K9" s="248"/>
      <c r="L9" s="169"/>
      <c r="M9" s="169"/>
      <c r="N9" s="169"/>
      <c r="O9" s="169"/>
    </row>
    <row r="10" spans="1:27" x14ac:dyDescent="0.25">
      <c r="A10" s="245" t="s">
        <v>135</v>
      </c>
      <c r="C10" s="373" t="s">
        <v>0</v>
      </c>
      <c r="D10" s="244" t="s">
        <v>184</v>
      </c>
      <c r="E10" s="248"/>
      <c r="F10" s="248"/>
      <c r="G10" s="248"/>
      <c r="H10" s="248"/>
      <c r="I10" s="248"/>
      <c r="J10" s="248"/>
      <c r="K10" s="248"/>
      <c r="L10" s="169"/>
      <c r="M10" s="169"/>
      <c r="N10" s="169"/>
      <c r="O10" s="169"/>
    </row>
    <row r="11" spans="1:27" x14ac:dyDescent="0.25">
      <c r="A11" s="242" t="s">
        <v>1</v>
      </c>
      <c r="C11" s="243" t="s">
        <v>0</v>
      </c>
      <c r="D11" s="244" t="s">
        <v>184</v>
      </c>
      <c r="E11" s="246"/>
    </row>
    <row r="12" spans="1:27" x14ac:dyDescent="0.25">
      <c r="A12" s="242" t="s">
        <v>2</v>
      </c>
      <c r="C12" s="243" t="s">
        <v>0</v>
      </c>
      <c r="D12" s="244" t="s">
        <v>184</v>
      </c>
      <c r="L12" s="169"/>
      <c r="M12" s="169"/>
      <c r="N12" s="169"/>
      <c r="O12" s="169"/>
    </row>
    <row r="13" spans="1:27" x14ac:dyDescent="0.25">
      <c r="A13" s="250" t="s">
        <v>23</v>
      </c>
      <c r="C13" s="243" t="s">
        <v>0</v>
      </c>
      <c r="D13" s="244" t="s">
        <v>184</v>
      </c>
      <c r="E13" s="246"/>
      <c r="U13" s="18"/>
      <c r="V13" s="18"/>
      <c r="W13" s="18"/>
      <c r="X13" s="18"/>
    </row>
    <row r="14" spans="1:27" hidden="1" x14ac:dyDescent="0.25">
      <c r="A14" s="242" t="s">
        <v>66</v>
      </c>
      <c r="B14" s="243" t="s">
        <v>0</v>
      </c>
      <c r="C14" s="251" t="s">
        <v>110</v>
      </c>
      <c r="D14" s="252"/>
      <c r="E14" s="253"/>
      <c r="F14" s="246"/>
      <c r="G14" s="246"/>
      <c r="H14" s="246"/>
      <c r="I14" s="247"/>
      <c r="J14" s="247"/>
    </row>
    <row r="15" spans="1:27" hidden="1" x14ac:dyDescent="0.25">
      <c r="A15" s="242" t="s">
        <v>69</v>
      </c>
      <c r="B15" s="243" t="s">
        <v>0</v>
      </c>
      <c r="C15" s="254"/>
      <c r="D15" s="250" t="s">
        <v>46</v>
      </c>
      <c r="E15" s="255"/>
      <c r="F15" s="242"/>
      <c r="G15" s="242"/>
      <c r="H15" s="242"/>
      <c r="I15" s="256"/>
      <c r="J15" s="256"/>
      <c r="K15" s="250"/>
      <c r="L15" s="34"/>
      <c r="M15" s="34"/>
      <c r="N15" s="34"/>
      <c r="O15" s="34"/>
      <c r="P15" s="34"/>
    </row>
    <row r="16" spans="1:27" x14ac:dyDescent="0.25">
      <c r="A16" s="242" t="s">
        <v>207</v>
      </c>
      <c r="B16" s="243"/>
      <c r="C16" s="320" t="s">
        <v>0</v>
      </c>
      <c r="D16" s="250" t="s">
        <v>338</v>
      </c>
      <c r="E16" s="255"/>
      <c r="F16" s="242"/>
      <c r="G16" s="242"/>
      <c r="H16" s="242"/>
      <c r="I16" s="256"/>
      <c r="J16" s="256"/>
      <c r="K16" s="250"/>
      <c r="L16" s="34"/>
      <c r="M16" s="34"/>
      <c r="N16" s="34"/>
      <c r="O16" s="34"/>
      <c r="P16" s="34"/>
    </row>
    <row r="17" spans="1:18" ht="23.25" customHeight="1" x14ac:dyDescent="0.3">
      <c r="A17" s="1182" t="s">
        <v>211</v>
      </c>
      <c r="B17" s="1182"/>
      <c r="C17" s="1182"/>
      <c r="D17" s="1183"/>
      <c r="E17" s="1183"/>
      <c r="F17" s="1183"/>
      <c r="G17" s="250"/>
      <c r="H17" s="250"/>
      <c r="I17" s="250"/>
      <c r="J17" s="250"/>
      <c r="K17" s="250"/>
      <c r="L17" s="34"/>
      <c r="M17" s="34"/>
      <c r="N17" s="34"/>
      <c r="O17" s="34"/>
      <c r="P17" s="45"/>
      <c r="Q17" s="47"/>
      <c r="R17" s="47"/>
    </row>
    <row r="18" spans="1:18" ht="12.75" customHeight="1" x14ac:dyDescent="0.25">
      <c r="A18" s="1184" t="s">
        <v>53</v>
      </c>
      <c r="B18" s="1186" t="s">
        <v>72</v>
      </c>
      <c r="C18" s="1186" t="s">
        <v>72</v>
      </c>
      <c r="D18" s="257"/>
      <c r="N18" s="47"/>
      <c r="O18" s="47"/>
    </row>
    <row r="19" spans="1:18" ht="12.75" customHeight="1" x14ac:dyDescent="0.25">
      <c r="A19" s="1185"/>
      <c r="B19" s="1187"/>
      <c r="C19" s="1187"/>
      <c r="D19" s="250"/>
      <c r="N19" s="47"/>
      <c r="O19" s="47"/>
    </row>
    <row r="20" spans="1:18" ht="15.75" customHeight="1" x14ac:dyDescent="0.25">
      <c r="A20" s="258"/>
      <c r="B20" s="259" t="s">
        <v>44</v>
      </c>
      <c r="C20" s="259" t="s">
        <v>45</v>
      </c>
      <c r="D20" s="250"/>
      <c r="J20" s="1214"/>
      <c r="N20" s="47"/>
      <c r="O20" s="47"/>
    </row>
    <row r="21" spans="1:18" ht="15.75" customHeight="1" x14ac:dyDescent="0.25">
      <c r="A21" s="260" t="s">
        <v>26</v>
      </c>
      <c r="B21" s="261"/>
      <c r="C21" s="261"/>
      <c r="D21" s="262"/>
      <c r="J21" s="1214"/>
      <c r="N21" s="47"/>
      <c r="O21" s="47"/>
    </row>
    <row r="22" spans="1:18" ht="15.75" customHeight="1" x14ac:dyDescent="0.25">
      <c r="A22" s="260" t="s">
        <v>24</v>
      </c>
      <c r="B22" s="261"/>
      <c r="C22" s="261"/>
      <c r="D22" s="262"/>
      <c r="J22" s="1214"/>
      <c r="N22" s="47"/>
      <c r="O22" s="47"/>
    </row>
    <row r="23" spans="1:18" ht="15.75" hidden="1" customHeight="1" x14ac:dyDescent="0.25">
      <c r="A23" s="250"/>
      <c r="B23" s="263"/>
      <c r="C23" s="263"/>
      <c r="D23" s="263"/>
      <c r="E23" s="263"/>
      <c r="F23" s="263"/>
      <c r="G23" s="262"/>
      <c r="H23" s="262"/>
      <c r="I23" s="264"/>
      <c r="J23" s="1214"/>
      <c r="K23" s="263"/>
      <c r="L23" s="50"/>
      <c r="M23" s="50"/>
      <c r="N23" s="52"/>
      <c r="O23" s="52"/>
      <c r="P23" s="53"/>
      <c r="Q23" s="47"/>
      <c r="R23" s="47"/>
    </row>
    <row r="24" spans="1:18" hidden="1" x14ac:dyDescent="0.25">
      <c r="J24" s="1214"/>
    </row>
    <row r="25" spans="1:18" hidden="1" x14ac:dyDescent="0.25"/>
    <row r="26" spans="1:18" hidden="1" x14ac:dyDescent="0.25"/>
    <row r="27" spans="1:18" hidden="1" x14ac:dyDescent="0.25"/>
    <row r="28" spans="1:18" hidden="1" x14ac:dyDescent="0.25"/>
    <row r="29" spans="1:18" hidden="1" x14ac:dyDescent="0.25"/>
    <row r="30" spans="1:18" hidden="1" x14ac:dyDescent="0.25"/>
    <row r="31" spans="1:18" hidden="1" x14ac:dyDescent="0.25"/>
    <row r="32" spans="1:18" hidden="1" x14ac:dyDescent="0.25"/>
    <row r="33" spans="1:18" hidden="1" x14ac:dyDescent="0.25"/>
    <row r="34" spans="1:18" hidden="1" x14ac:dyDescent="0.25"/>
    <row r="35" spans="1:18" ht="21" customHeight="1" x14ac:dyDescent="0.3">
      <c r="A35" s="374" t="s">
        <v>246</v>
      </c>
      <c r="B35" s="266"/>
      <c r="C35" s="266"/>
      <c r="D35" s="266"/>
      <c r="E35" s="369"/>
      <c r="F35" s="267"/>
      <c r="G35" s="268"/>
      <c r="H35" s="268"/>
      <c r="I35" s="269"/>
      <c r="K35" s="317" t="s">
        <v>206</v>
      </c>
      <c r="L35" s="16"/>
      <c r="M35" s="16"/>
      <c r="N35" s="45"/>
      <c r="O35" s="46"/>
      <c r="P35" s="34"/>
    </row>
    <row r="36" spans="1:18" ht="15.75" customHeight="1" x14ac:dyDescent="0.25">
      <c r="A36" s="378" t="s">
        <v>67</v>
      </c>
      <c r="B36" s="379" t="s">
        <v>0</v>
      </c>
      <c r="C36" s="380" t="s">
        <v>196</v>
      </c>
      <c r="D36" s="380"/>
      <c r="F36" s="246"/>
      <c r="G36" s="246"/>
      <c r="H36" s="246"/>
      <c r="I36" s="247"/>
      <c r="K36" s="270">
        <v>5</v>
      </c>
    </row>
    <row r="37" spans="1:18" ht="15.75" customHeight="1" x14ac:dyDescent="0.25">
      <c r="A37" s="378" t="s">
        <v>68</v>
      </c>
      <c r="B37" s="379" t="s">
        <v>0</v>
      </c>
      <c r="C37" s="380" t="s">
        <v>196</v>
      </c>
      <c r="D37" s="380"/>
      <c r="F37" s="246"/>
      <c r="G37" s="246"/>
      <c r="H37" s="246"/>
      <c r="I37" s="247"/>
      <c r="K37" s="270">
        <v>5</v>
      </c>
    </row>
    <row r="38" spans="1:18" ht="22.5" customHeight="1" x14ac:dyDescent="0.3">
      <c r="A38" s="367" t="s">
        <v>212</v>
      </c>
      <c r="B38" s="243"/>
      <c r="F38" s="246"/>
      <c r="G38" s="246"/>
      <c r="H38" s="246"/>
      <c r="I38" s="247"/>
      <c r="K38" s="249"/>
    </row>
    <row r="39" spans="1:18" ht="18" customHeight="1" x14ac:dyDescent="0.3">
      <c r="A39" s="315" t="s">
        <v>213</v>
      </c>
      <c r="B39" s="271"/>
      <c r="C39" s="271"/>
      <c r="D39" s="271"/>
      <c r="E39" s="271"/>
      <c r="F39" s="250"/>
      <c r="G39" s="262"/>
      <c r="H39" s="262"/>
      <c r="I39" s="264"/>
      <c r="K39" s="272"/>
      <c r="L39" s="50"/>
      <c r="M39" s="50"/>
      <c r="N39" s="52"/>
      <c r="O39" s="52"/>
      <c r="P39" s="53"/>
      <c r="Q39" s="47"/>
      <c r="R39" s="47"/>
    </row>
    <row r="40" spans="1:18" ht="12.75" customHeight="1" x14ac:dyDescent="0.25">
      <c r="A40" s="1200" t="s">
        <v>53</v>
      </c>
      <c r="B40" s="1188" t="s">
        <v>343</v>
      </c>
      <c r="C40" s="1188"/>
      <c r="D40" s="1188" t="s">
        <v>37</v>
      </c>
      <c r="E40" s="262"/>
      <c r="F40" s="264"/>
      <c r="G40" s="264"/>
      <c r="H40" s="264"/>
      <c r="I40" s="263"/>
      <c r="K40" s="273"/>
      <c r="L40" s="52"/>
      <c r="M40" s="52"/>
      <c r="N40" s="53"/>
      <c r="O40" s="47"/>
      <c r="P40" s="47"/>
    </row>
    <row r="41" spans="1:18" ht="25.5" customHeight="1" x14ac:dyDescent="0.25">
      <c r="A41" s="1200"/>
      <c r="B41" s="1188"/>
      <c r="C41" s="1188"/>
      <c r="D41" s="1188"/>
      <c r="E41" s="262"/>
      <c r="F41" s="264"/>
      <c r="G41" s="264"/>
      <c r="H41" s="264"/>
      <c r="I41" s="263"/>
      <c r="K41" s="318" t="s">
        <v>206</v>
      </c>
      <c r="L41" s="52"/>
      <c r="M41" s="52"/>
      <c r="N41" s="53"/>
      <c r="O41" s="47"/>
      <c r="P41" s="47"/>
    </row>
    <row r="42" spans="1:18" x14ac:dyDescent="0.25">
      <c r="A42" s="1188" t="s">
        <v>138</v>
      </c>
      <c r="B42" s="1189"/>
      <c r="C42" s="1190"/>
      <c r="D42" s="1193" t="s">
        <v>204</v>
      </c>
      <c r="E42" s="262"/>
      <c r="F42" s="264"/>
      <c r="G42" s="264"/>
      <c r="H42" s="264"/>
      <c r="I42" s="263"/>
      <c r="K42" s="1217">
        <v>20</v>
      </c>
      <c r="L42" s="52"/>
      <c r="M42" s="52"/>
      <c r="N42" s="53"/>
      <c r="O42" s="47"/>
      <c r="P42" s="47"/>
    </row>
    <row r="43" spans="1:18" ht="12.75" customHeight="1" x14ac:dyDescent="0.25">
      <c r="A43" s="1188"/>
      <c r="B43" s="1191"/>
      <c r="C43" s="1192"/>
      <c r="D43" s="1193"/>
      <c r="E43" s="262"/>
      <c r="F43" s="264"/>
      <c r="G43" s="264"/>
      <c r="H43" s="264"/>
      <c r="I43" s="263"/>
      <c r="K43" s="1217"/>
      <c r="L43" s="52"/>
      <c r="M43" s="52"/>
      <c r="N43" s="53"/>
      <c r="O43" s="47"/>
      <c r="P43" s="47"/>
    </row>
    <row r="44" spans="1:18" hidden="1" x14ac:dyDescent="0.25">
      <c r="A44" s="250"/>
      <c r="B44" s="263"/>
      <c r="C44" s="263"/>
      <c r="D44" s="263"/>
      <c r="E44" s="263"/>
      <c r="F44" s="263"/>
      <c r="G44" s="262"/>
      <c r="H44" s="262"/>
      <c r="I44" s="264"/>
      <c r="K44" s="275"/>
      <c r="L44" s="50"/>
      <c r="M44" s="50"/>
      <c r="N44" s="52"/>
      <c r="O44" s="52"/>
      <c r="P44" s="53"/>
      <c r="Q44" s="47"/>
      <c r="R44" s="47"/>
    </row>
    <row r="45" spans="1:18" ht="12.75" hidden="1" customHeight="1" x14ac:dyDescent="0.25">
      <c r="A45" s="1184" t="s">
        <v>53</v>
      </c>
      <c r="B45" s="1195" t="s">
        <v>77</v>
      </c>
      <c r="C45" s="1196"/>
      <c r="D45" s="1186" t="s">
        <v>37</v>
      </c>
      <c r="E45" s="262"/>
      <c r="F45" s="264"/>
      <c r="G45" s="264"/>
      <c r="H45" s="264"/>
      <c r="I45" s="263"/>
      <c r="K45" s="274"/>
      <c r="L45" s="52"/>
      <c r="M45" s="52"/>
      <c r="N45" s="53"/>
      <c r="O45" s="47"/>
      <c r="P45" s="47"/>
    </row>
    <row r="46" spans="1:18" ht="12.75" hidden="1" customHeight="1" x14ac:dyDescent="0.25">
      <c r="A46" s="1194"/>
      <c r="B46" s="1197"/>
      <c r="C46" s="1198"/>
      <c r="D46" s="1199"/>
      <c r="E46" s="262"/>
      <c r="F46" s="264"/>
      <c r="G46" s="264"/>
      <c r="H46" s="264"/>
      <c r="I46" s="263"/>
      <c r="K46" s="274"/>
      <c r="L46" s="52"/>
      <c r="M46" s="52"/>
      <c r="N46" s="53"/>
      <c r="O46" s="47"/>
      <c r="P46" s="47"/>
    </row>
    <row r="47" spans="1:18" hidden="1" x14ac:dyDescent="0.25">
      <c r="A47" s="276" t="s">
        <v>54</v>
      </c>
      <c r="B47" s="277">
        <v>9</v>
      </c>
      <c r="C47" s="278"/>
      <c r="D47" s="279" t="s">
        <v>204</v>
      </c>
      <c r="E47" s="262"/>
      <c r="F47" s="264"/>
      <c r="G47" s="264"/>
      <c r="H47" s="264"/>
      <c r="I47" s="263"/>
      <c r="K47" s="274"/>
      <c r="L47" s="52"/>
      <c r="M47" s="52"/>
      <c r="N47" s="53"/>
      <c r="O47" s="47"/>
      <c r="P47" s="47"/>
    </row>
    <row r="48" spans="1:18" hidden="1" x14ac:dyDescent="0.25">
      <c r="A48" s="280"/>
      <c r="B48" s="281"/>
      <c r="C48" s="282"/>
      <c r="D48" s="283"/>
      <c r="E48" s="262"/>
      <c r="F48" s="264"/>
      <c r="G48" s="264"/>
      <c r="H48" s="264"/>
      <c r="I48" s="263"/>
      <c r="K48" s="274"/>
      <c r="L48" s="52"/>
      <c r="M48" s="52"/>
      <c r="N48" s="53"/>
      <c r="O48" s="47"/>
      <c r="P48" s="47"/>
    </row>
    <row r="49" spans="1:18" hidden="1" x14ac:dyDescent="0.25">
      <c r="A49" s="284"/>
      <c r="B49" s="285"/>
      <c r="C49" s="285"/>
      <c r="D49" s="286"/>
      <c r="E49" s="287"/>
      <c r="F49" s="288"/>
      <c r="G49" s="262"/>
      <c r="H49" s="262"/>
      <c r="I49" s="264"/>
      <c r="K49" s="275"/>
      <c r="L49" s="50"/>
      <c r="M49" s="50"/>
      <c r="N49" s="52"/>
      <c r="O49" s="52"/>
      <c r="P49" s="53"/>
      <c r="Q49" s="47"/>
      <c r="R49" s="47"/>
    </row>
    <row r="50" spans="1:18" ht="22.5" customHeight="1" x14ac:dyDescent="0.3">
      <c r="A50" s="1201" t="s">
        <v>214</v>
      </c>
      <c r="B50" s="1201"/>
      <c r="C50" s="1201"/>
      <c r="D50" s="1201"/>
      <c r="E50" s="287"/>
      <c r="F50" s="288"/>
      <c r="G50" s="262"/>
      <c r="H50" s="262"/>
      <c r="I50" s="264"/>
      <c r="K50" s="275"/>
      <c r="L50" s="50"/>
      <c r="M50" s="50"/>
      <c r="N50" s="52"/>
      <c r="O50" s="52"/>
      <c r="P50" s="53"/>
      <c r="Q50" s="47"/>
      <c r="R50" s="47"/>
    </row>
    <row r="51" spans="1:18" ht="12.75" customHeight="1" x14ac:dyDescent="0.25">
      <c r="A51" s="1200" t="s">
        <v>53</v>
      </c>
      <c r="B51" s="1188" t="s">
        <v>139</v>
      </c>
      <c r="C51" s="1188"/>
      <c r="D51" s="1188" t="s">
        <v>37</v>
      </c>
      <c r="E51" s="262"/>
      <c r="F51" s="264"/>
      <c r="G51" s="264"/>
      <c r="H51" s="264"/>
      <c r="I51" s="263"/>
      <c r="K51" s="274"/>
      <c r="L51" s="52"/>
      <c r="M51" s="52"/>
      <c r="N51" s="53"/>
      <c r="O51" s="47"/>
      <c r="P51" s="47"/>
    </row>
    <row r="52" spans="1:18" ht="38.25" customHeight="1" x14ac:dyDescent="0.25">
      <c r="A52" s="1200"/>
      <c r="B52" s="1188"/>
      <c r="C52" s="1188"/>
      <c r="D52" s="1188"/>
      <c r="E52" s="262"/>
      <c r="F52" s="264"/>
      <c r="G52" s="264"/>
      <c r="H52" s="264"/>
      <c r="I52" s="263"/>
      <c r="K52" s="318" t="s">
        <v>206</v>
      </c>
      <c r="L52" s="52"/>
      <c r="M52" s="52"/>
      <c r="N52" s="53"/>
      <c r="O52" s="47"/>
      <c r="P52" s="47"/>
    </row>
    <row r="53" spans="1:18" x14ac:dyDescent="0.25">
      <c r="A53" s="1188" t="s">
        <v>137</v>
      </c>
      <c r="B53" s="1204"/>
      <c r="C53" s="1205"/>
      <c r="D53" s="1193" t="s">
        <v>205</v>
      </c>
      <c r="E53" s="262"/>
      <c r="F53" s="264"/>
      <c r="G53" s="264"/>
      <c r="H53" s="264"/>
      <c r="I53" s="263"/>
      <c r="K53" s="1217">
        <v>20</v>
      </c>
      <c r="L53" s="52"/>
      <c r="M53" s="52"/>
      <c r="N53" s="53"/>
      <c r="O53" s="47"/>
      <c r="P53" s="47"/>
    </row>
    <row r="54" spans="1:18" ht="12.75" customHeight="1" x14ac:dyDescent="0.25">
      <c r="A54" s="1188"/>
      <c r="B54" s="1206"/>
      <c r="C54" s="1207"/>
      <c r="D54" s="1193"/>
      <c r="E54" s="262"/>
      <c r="F54" s="264"/>
      <c r="G54" s="264"/>
      <c r="H54" s="264"/>
      <c r="I54" s="263"/>
      <c r="K54" s="1217"/>
      <c r="L54" s="52"/>
      <c r="M54" s="52"/>
      <c r="N54" s="53"/>
      <c r="O54" s="47"/>
      <c r="P54" s="47"/>
    </row>
    <row r="55" spans="1:18" hidden="1" x14ac:dyDescent="0.25">
      <c r="A55" s="290"/>
      <c r="B55" s="289"/>
      <c r="C55" s="289"/>
      <c r="D55" s="287"/>
      <c r="E55" s="287"/>
      <c r="F55" s="288"/>
      <c r="G55" s="262"/>
      <c r="H55" s="262"/>
      <c r="I55" s="264"/>
      <c r="J55" s="272"/>
      <c r="K55" s="273"/>
      <c r="L55" s="50"/>
      <c r="M55" s="50"/>
      <c r="N55" s="52"/>
      <c r="O55" s="52"/>
      <c r="P55" s="53"/>
      <c r="Q55" s="47"/>
      <c r="R55" s="47"/>
    </row>
    <row r="56" spans="1:18" hidden="1" x14ac:dyDescent="0.25">
      <c r="A56" s="290"/>
      <c r="B56" s="289"/>
      <c r="C56" s="289"/>
      <c r="D56" s="287"/>
      <c r="E56" s="287"/>
      <c r="F56" s="288"/>
      <c r="G56" s="262"/>
      <c r="H56" s="262"/>
      <c r="I56" s="264"/>
      <c r="J56" s="272"/>
      <c r="K56" s="273"/>
      <c r="L56" s="50"/>
      <c r="M56" s="50"/>
      <c r="N56" s="52"/>
      <c r="O56" s="52"/>
      <c r="P56" s="53"/>
      <c r="Q56" s="47"/>
      <c r="R56" s="47"/>
    </row>
    <row r="57" spans="1:18" hidden="1" x14ac:dyDescent="0.25">
      <c r="A57" s="290"/>
      <c r="B57" s="289"/>
      <c r="C57" s="289"/>
      <c r="D57" s="287"/>
      <c r="E57" s="287"/>
      <c r="F57" s="288"/>
      <c r="G57" s="262"/>
      <c r="H57" s="262"/>
      <c r="I57" s="264"/>
      <c r="J57" s="272"/>
      <c r="K57" s="273"/>
      <c r="L57" s="50"/>
      <c r="M57" s="50"/>
      <c r="N57" s="52"/>
      <c r="O57" s="52"/>
      <c r="P57" s="53"/>
      <c r="Q57" s="47"/>
      <c r="R57" s="47"/>
    </row>
    <row r="58" spans="1:18" hidden="1" x14ac:dyDescent="0.25">
      <c r="A58" s="290"/>
      <c r="B58" s="289"/>
      <c r="C58" s="289"/>
      <c r="D58" s="287"/>
      <c r="E58" s="287"/>
      <c r="F58" s="288"/>
      <c r="G58" s="262"/>
      <c r="H58" s="262"/>
      <c r="I58" s="264"/>
      <c r="J58" s="272"/>
      <c r="K58" s="273"/>
      <c r="L58" s="50"/>
      <c r="M58" s="50"/>
      <c r="N58" s="52"/>
      <c r="O58" s="52"/>
      <c r="P58" s="53"/>
      <c r="Q58" s="47"/>
      <c r="R58" s="47"/>
    </row>
    <row r="59" spans="1:18" hidden="1" x14ac:dyDescent="0.25">
      <c r="A59" s="290"/>
      <c r="B59" s="289"/>
      <c r="C59" s="289"/>
      <c r="D59" s="287"/>
      <c r="E59" s="287"/>
      <c r="F59" s="288"/>
      <c r="G59" s="262"/>
      <c r="H59" s="262"/>
      <c r="I59" s="264"/>
      <c r="J59" s="272"/>
      <c r="K59" s="273"/>
      <c r="L59" s="50"/>
      <c r="M59" s="50"/>
      <c r="N59" s="52"/>
      <c r="O59" s="52"/>
      <c r="P59" s="53"/>
      <c r="Q59" s="47"/>
      <c r="R59" s="47"/>
    </row>
    <row r="60" spans="1:18" hidden="1" x14ac:dyDescent="0.25">
      <c r="A60" s="290"/>
      <c r="B60" s="289"/>
      <c r="C60" s="289"/>
      <c r="D60" s="287"/>
      <c r="E60" s="287"/>
      <c r="F60" s="288"/>
      <c r="G60" s="262"/>
      <c r="H60" s="262"/>
      <c r="I60" s="264"/>
      <c r="J60" s="272"/>
      <c r="K60" s="273"/>
      <c r="L60" s="50"/>
      <c r="M60" s="50"/>
      <c r="N60" s="52"/>
      <c r="O60" s="52"/>
      <c r="P60" s="53"/>
      <c r="Q60" s="47"/>
      <c r="R60" s="47"/>
    </row>
    <row r="61" spans="1:18" hidden="1" x14ac:dyDescent="0.25">
      <c r="A61" s="290"/>
      <c r="B61" s="289"/>
      <c r="C61" s="289"/>
      <c r="D61" s="287"/>
      <c r="E61" s="287"/>
      <c r="F61" s="288"/>
      <c r="G61" s="262"/>
      <c r="H61" s="262"/>
      <c r="I61" s="264"/>
      <c r="J61" s="272"/>
      <c r="K61" s="273"/>
      <c r="L61" s="50"/>
      <c r="M61" s="50"/>
      <c r="N61" s="52"/>
      <c r="O61" s="52"/>
      <c r="P61" s="53"/>
      <c r="Q61" s="47"/>
      <c r="R61" s="47"/>
    </row>
    <row r="62" spans="1:18" hidden="1" x14ac:dyDescent="0.25">
      <c r="A62" s="290"/>
      <c r="B62" s="289"/>
      <c r="C62" s="289"/>
      <c r="D62" s="287"/>
      <c r="E62" s="287"/>
      <c r="F62" s="288"/>
      <c r="G62" s="262"/>
      <c r="H62" s="262"/>
      <c r="I62" s="264"/>
      <c r="J62" s="272"/>
      <c r="K62" s="273"/>
      <c r="L62" s="50"/>
      <c r="M62" s="50"/>
      <c r="N62" s="52"/>
      <c r="O62" s="52"/>
      <c r="P62" s="53"/>
      <c r="Q62" s="47"/>
      <c r="R62" s="47"/>
    </row>
    <row r="63" spans="1:18" ht="23.25" customHeight="1" x14ac:dyDescent="0.3">
      <c r="A63" s="316" t="s">
        <v>215</v>
      </c>
      <c r="B63" s="291"/>
      <c r="C63" s="291"/>
      <c r="D63" s="291"/>
      <c r="E63" s="291"/>
      <c r="F63" s="291"/>
      <c r="G63" s="250"/>
      <c r="H63" s="250"/>
      <c r="I63" s="250"/>
      <c r="J63" s="292"/>
      <c r="K63" s="292"/>
      <c r="L63" s="34"/>
      <c r="M63" s="34"/>
      <c r="N63" s="34"/>
      <c r="O63" s="34"/>
      <c r="P63" s="45"/>
      <c r="Q63" s="47"/>
      <c r="R63" s="47"/>
    </row>
    <row r="64" spans="1:18" ht="12.75" customHeight="1" x14ac:dyDescent="0.25">
      <c r="A64" s="1180" t="s">
        <v>52</v>
      </c>
      <c r="B64" s="1208" t="s">
        <v>81</v>
      </c>
      <c r="C64" s="1209"/>
      <c r="D64" s="1209"/>
      <c r="E64" s="1209"/>
      <c r="F64" s="1209"/>
      <c r="G64" s="1210"/>
      <c r="H64" s="1216" t="s">
        <v>185</v>
      </c>
      <c r="J64" s="249"/>
      <c r="K64" s="249"/>
    </row>
    <row r="65" spans="1:18" ht="12.75" customHeight="1" x14ac:dyDescent="0.25">
      <c r="A65" s="1181"/>
      <c r="B65" s="1211"/>
      <c r="C65" s="1212"/>
      <c r="D65" s="1212"/>
      <c r="E65" s="1212"/>
      <c r="F65" s="1212"/>
      <c r="G65" s="1213"/>
      <c r="H65" s="1216"/>
      <c r="I65" s="1218"/>
      <c r="J65" s="1219"/>
      <c r="K65" s="1219"/>
    </row>
    <row r="66" spans="1:18" ht="12.75" hidden="1" customHeight="1" x14ac:dyDescent="0.25">
      <c r="A66" s="449"/>
      <c r="B66" s="446"/>
      <c r="C66" s="447"/>
      <c r="D66" s="447"/>
      <c r="E66" s="447"/>
      <c r="F66" s="447"/>
      <c r="G66" s="448"/>
      <c r="H66" s="1216"/>
      <c r="I66" s="578"/>
      <c r="J66" s="579"/>
      <c r="K66" s="579"/>
    </row>
    <row r="67" spans="1:18" x14ac:dyDescent="0.25">
      <c r="A67" s="452"/>
      <c r="B67" s="381" t="s">
        <v>142</v>
      </c>
      <c r="C67" s="382" t="s">
        <v>143</v>
      </c>
      <c r="D67" s="381" t="s">
        <v>144</v>
      </c>
      <c r="E67" s="382" t="s">
        <v>233</v>
      </c>
      <c r="F67" s="381" t="s">
        <v>234</v>
      </c>
      <c r="G67" s="319" t="s">
        <v>145</v>
      </c>
      <c r="H67" s="1216"/>
      <c r="I67" s="578"/>
      <c r="J67" s="580"/>
      <c r="K67" s="319" t="s">
        <v>206</v>
      </c>
    </row>
    <row r="68" spans="1:18" x14ac:dyDescent="0.25">
      <c r="A68" s="450"/>
      <c r="B68" s="451"/>
      <c r="C68" s="450"/>
      <c r="D68" s="451"/>
      <c r="E68" s="450"/>
      <c r="F68" s="451"/>
      <c r="G68" s="445"/>
      <c r="H68" s="1221" t="s">
        <v>168</v>
      </c>
      <c r="I68" s="581"/>
      <c r="J68" s="582"/>
      <c r="K68" s="1220">
        <v>50</v>
      </c>
    </row>
    <row r="69" spans="1:18" x14ac:dyDescent="0.25">
      <c r="A69" s="450"/>
      <c r="B69" s="451"/>
      <c r="C69" s="450"/>
      <c r="D69" s="451"/>
      <c r="E69" s="450"/>
      <c r="F69" s="451"/>
      <c r="G69" s="445"/>
      <c r="H69" s="1222"/>
      <c r="I69" s="581"/>
      <c r="J69" s="583"/>
      <c r="K69" s="1220"/>
    </row>
    <row r="70" spans="1:18" x14ac:dyDescent="0.25">
      <c r="A70" s="383"/>
      <c r="B70" s="384"/>
      <c r="C70" s="384"/>
      <c r="D70" s="384"/>
      <c r="E70" s="384"/>
      <c r="F70" s="384"/>
      <c r="G70" s="385"/>
      <c r="H70" s="1222"/>
      <c r="I70" s="584"/>
      <c r="J70" s="583"/>
      <c r="K70" s="1220"/>
    </row>
    <row r="71" spans="1:18" x14ac:dyDescent="0.25">
      <c r="A71" s="383"/>
      <c r="B71" s="384"/>
      <c r="C71" s="384"/>
      <c r="D71" s="384"/>
      <c r="E71" s="384"/>
      <c r="F71" s="384"/>
      <c r="G71" s="385"/>
      <c r="H71" s="1222"/>
      <c r="I71" s="584"/>
      <c r="J71" s="583"/>
      <c r="K71" s="1220"/>
    </row>
    <row r="72" spans="1:18" x14ac:dyDescent="0.25">
      <c r="A72" s="383"/>
      <c r="B72" s="384"/>
      <c r="C72" s="384"/>
      <c r="D72" s="384"/>
      <c r="E72" s="384"/>
      <c r="F72" s="384"/>
      <c r="G72" s="385"/>
      <c r="H72" s="1222"/>
      <c r="I72" s="584"/>
      <c r="J72" s="582"/>
      <c r="K72" s="1220"/>
    </row>
    <row r="73" spans="1:18" x14ac:dyDescent="0.25">
      <c r="A73" s="386"/>
      <c r="B73" s="387"/>
      <c r="C73" s="387"/>
      <c r="D73" s="387"/>
      <c r="E73" s="387"/>
      <c r="F73" s="387"/>
      <c r="G73" s="387"/>
      <c r="H73" s="1223"/>
      <c r="I73" s="581"/>
      <c r="J73" s="582"/>
      <c r="K73" s="1220"/>
    </row>
    <row r="74" spans="1:18" hidden="1" x14ac:dyDescent="0.25">
      <c r="A74" s="264"/>
      <c r="B74" s="294"/>
      <c r="C74" s="295"/>
      <c r="D74" s="294"/>
      <c r="E74" s="295"/>
      <c r="F74" s="294"/>
      <c r="G74" s="295"/>
      <c r="H74" s="295"/>
      <c r="I74" s="294"/>
      <c r="J74" s="294"/>
      <c r="K74" s="295"/>
      <c r="L74" s="58"/>
      <c r="M74" s="58"/>
      <c r="N74" s="59"/>
      <c r="O74" s="58"/>
      <c r="P74" s="59"/>
      <c r="Q74" s="1179"/>
      <c r="R74" s="1179"/>
    </row>
    <row r="75" spans="1:18" ht="28.5" customHeight="1" x14ac:dyDescent="0.25">
      <c r="A75" s="265" t="s">
        <v>103</v>
      </c>
      <c r="B75" s="293"/>
      <c r="C75" s="293"/>
      <c r="D75" s="293"/>
      <c r="E75" s="293"/>
      <c r="F75" s="293"/>
      <c r="G75" s="293"/>
      <c r="H75" s="293"/>
      <c r="I75" s="298"/>
      <c r="J75" s="1215"/>
      <c r="K75" s="1215"/>
      <c r="P75" s="59"/>
      <c r="Q75" s="101"/>
      <c r="R75" s="101"/>
    </row>
    <row r="76" spans="1:18" ht="19.5" customHeight="1" x14ac:dyDescent="0.25">
      <c r="A76" s="299" t="s">
        <v>186</v>
      </c>
      <c r="D76" s="300"/>
      <c r="E76" s="300"/>
      <c r="F76" s="300"/>
      <c r="G76" s="300"/>
      <c r="H76" s="300"/>
      <c r="J76" s="301"/>
      <c r="P76" s="59"/>
      <c r="Q76" s="101"/>
      <c r="R76" s="101"/>
    </row>
    <row r="77" spans="1:18" ht="15.75" customHeight="1" x14ac:dyDescent="0.25">
      <c r="A77" s="299"/>
      <c r="D77" s="300"/>
      <c r="E77" s="300"/>
      <c r="F77" s="300"/>
      <c r="G77" s="300"/>
      <c r="H77" s="300"/>
      <c r="J77" s="301"/>
      <c r="P77" s="59"/>
      <c r="Q77" s="101"/>
      <c r="R77" s="101"/>
    </row>
    <row r="78" spans="1:18" ht="17.399999999999999" x14ac:dyDescent="0.25">
      <c r="A78" s="567" t="s">
        <v>245</v>
      </c>
      <c r="B78" s="17"/>
      <c r="C78" s="302"/>
      <c r="D78" s="303"/>
      <c r="E78" s="302"/>
      <c r="F78" s="302"/>
      <c r="G78" s="302"/>
      <c r="H78" s="302"/>
      <c r="J78" s="375"/>
      <c r="P78" s="59"/>
      <c r="Q78" s="101"/>
      <c r="R78" s="101"/>
    </row>
    <row r="79" spans="1:18" x14ac:dyDescent="0.25">
      <c r="A79" s="564" t="s">
        <v>317</v>
      </c>
      <c r="C79" s="302"/>
      <c r="D79" s="304"/>
      <c r="E79" s="304"/>
      <c r="F79" s="304"/>
      <c r="G79" s="304"/>
      <c r="H79" s="304"/>
      <c r="P79" s="59"/>
      <c r="Q79" s="101"/>
      <c r="R79" s="101"/>
    </row>
    <row r="80" spans="1:18" ht="16.5" customHeight="1" x14ac:dyDescent="0.25">
      <c r="A80" s="233" t="s">
        <v>318</v>
      </c>
      <c r="C80" s="302"/>
      <c r="D80" s="304"/>
      <c r="E80" s="304"/>
      <c r="F80" s="304"/>
      <c r="G80" s="304"/>
      <c r="H80" s="304"/>
      <c r="P80" s="59"/>
      <c r="Q80" s="101"/>
      <c r="R80" s="101"/>
    </row>
    <row r="81" spans="1:18" hidden="1" x14ac:dyDescent="0.25">
      <c r="A81" s="564" t="s">
        <v>319</v>
      </c>
      <c r="C81" s="302"/>
      <c r="D81" s="304"/>
      <c r="E81" s="304"/>
      <c r="F81" s="304"/>
      <c r="G81" s="304"/>
      <c r="H81" s="304"/>
      <c r="I81" s="294"/>
      <c r="J81" s="294"/>
      <c r="K81" s="295"/>
      <c r="L81" s="58"/>
      <c r="M81" s="58"/>
      <c r="P81" s="59"/>
      <c r="Q81" s="101"/>
      <c r="R81" s="101"/>
    </row>
    <row r="82" spans="1:18" hidden="1" x14ac:dyDescent="0.25">
      <c r="A82" s="654" t="s">
        <v>336</v>
      </c>
      <c r="C82" s="302"/>
      <c r="D82" s="304"/>
      <c r="E82" s="304"/>
      <c r="F82" s="304"/>
      <c r="G82" s="304"/>
      <c r="H82" s="304"/>
      <c r="I82" s="305"/>
      <c r="J82" s="305"/>
      <c r="K82" s="306"/>
      <c r="L82" s="61"/>
      <c r="M82" s="61"/>
      <c r="P82" s="59"/>
      <c r="Q82" s="101"/>
      <c r="R82" s="101"/>
    </row>
    <row r="83" spans="1:18" hidden="1" x14ac:dyDescent="0.25">
      <c r="A83" s="564" t="s">
        <v>261</v>
      </c>
      <c r="C83" s="302"/>
      <c r="D83" s="304"/>
      <c r="E83" s="304"/>
      <c r="F83" s="304"/>
      <c r="G83" s="304"/>
      <c r="H83" s="304"/>
    </row>
    <row r="84" spans="1:18" hidden="1" x14ac:dyDescent="0.25">
      <c r="A84" s="564" t="s">
        <v>287</v>
      </c>
      <c r="C84" s="302"/>
      <c r="D84" s="304"/>
      <c r="E84" s="304"/>
      <c r="F84" s="304"/>
      <c r="G84" s="304"/>
      <c r="H84" s="304"/>
    </row>
    <row r="85" spans="1:18" hidden="1" x14ac:dyDescent="0.25">
      <c r="A85" s="564" t="s">
        <v>260</v>
      </c>
      <c r="C85" s="302"/>
      <c r="D85" s="304"/>
      <c r="E85" s="304"/>
      <c r="F85" s="304"/>
      <c r="G85" s="304"/>
      <c r="H85" s="304"/>
    </row>
    <row r="86" spans="1:18" hidden="1" x14ac:dyDescent="0.25">
      <c r="A86" s="654" t="s">
        <v>342</v>
      </c>
      <c r="C86" s="302"/>
      <c r="D86" s="304"/>
      <c r="E86" s="304"/>
      <c r="F86" s="304"/>
      <c r="G86" s="304"/>
      <c r="H86" s="304"/>
    </row>
    <row r="87" spans="1:18" x14ac:dyDescent="0.25">
      <c r="A87" s="587" t="s">
        <v>320</v>
      </c>
      <c r="C87" s="302"/>
      <c r="D87" s="302"/>
      <c r="E87" s="302"/>
      <c r="F87" s="302"/>
      <c r="G87" s="302"/>
      <c r="H87" s="302"/>
    </row>
    <row r="88" spans="1:18" x14ac:dyDescent="0.25">
      <c r="A88" s="587" t="s">
        <v>266</v>
      </c>
      <c r="C88" s="302"/>
      <c r="D88" s="302"/>
      <c r="E88" s="302"/>
      <c r="F88" s="302"/>
      <c r="G88" s="302"/>
      <c r="H88" s="302"/>
      <c r="M88" s="683"/>
    </row>
    <row r="89" spans="1:18" x14ac:dyDescent="0.25">
      <c r="A89" s="587" t="s">
        <v>321</v>
      </c>
      <c r="C89" s="302"/>
      <c r="D89" s="302"/>
      <c r="E89" s="302"/>
      <c r="H89" s="302"/>
      <c r="M89" s="683"/>
    </row>
    <row r="90" spans="1:18" x14ac:dyDescent="0.25">
      <c r="A90" s="587" t="s">
        <v>398</v>
      </c>
      <c r="D90" s="307"/>
      <c r="E90" s="308"/>
      <c r="H90" s="309"/>
      <c r="M90" s="683"/>
      <c r="P90" s="65"/>
    </row>
    <row r="91" spans="1:18" x14ac:dyDescent="0.25">
      <c r="A91" s="587" t="s">
        <v>387</v>
      </c>
      <c r="D91" s="310"/>
      <c r="E91" s="310"/>
      <c r="F91" s="311"/>
      <c r="G91" s="309"/>
      <c r="H91" s="309"/>
      <c r="M91" s="683"/>
      <c r="P91" s="65"/>
    </row>
    <row r="92" spans="1:18" x14ac:dyDescent="0.25">
      <c r="A92" s="566" t="s">
        <v>274</v>
      </c>
      <c r="B92" s="312"/>
      <c r="C92" s="221"/>
      <c r="D92" s="313"/>
      <c r="E92" s="314"/>
      <c r="F92" s="309"/>
      <c r="G92" s="309"/>
      <c r="H92" s="309"/>
    </row>
    <row r="93" spans="1:18" x14ac:dyDescent="0.25">
      <c r="A93" s="566" t="s">
        <v>291</v>
      </c>
      <c r="B93" s="312"/>
      <c r="C93" s="221"/>
      <c r="D93" s="313"/>
      <c r="E93" s="314"/>
      <c r="F93" s="309"/>
      <c r="G93" s="309"/>
      <c r="H93" s="309"/>
    </row>
    <row r="94" spans="1:18" x14ac:dyDescent="0.25">
      <c r="A94" s="566" t="s">
        <v>322</v>
      </c>
      <c r="B94" s="312"/>
      <c r="C94" s="221"/>
      <c r="D94" s="313"/>
      <c r="E94" s="314"/>
      <c r="F94" s="309"/>
      <c r="G94" s="309"/>
      <c r="H94" s="309"/>
    </row>
    <row r="95" spans="1:18" x14ac:dyDescent="0.25">
      <c r="A95" s="566"/>
      <c r="B95" s="312"/>
      <c r="C95" s="221"/>
      <c r="D95" s="313"/>
      <c r="E95" s="314"/>
      <c r="F95" s="309"/>
      <c r="G95" s="309"/>
      <c r="H95" s="309"/>
    </row>
    <row r="96" spans="1:18" x14ac:dyDescent="0.25">
      <c r="A96" s="566"/>
      <c r="B96" s="312"/>
      <c r="C96" s="221"/>
      <c r="D96" s="313"/>
      <c r="E96" s="314"/>
      <c r="F96" s="309"/>
      <c r="G96" s="309"/>
      <c r="H96" s="309"/>
    </row>
    <row r="97" spans="1:8" x14ac:dyDescent="0.25">
      <c r="A97" s="566"/>
      <c r="B97" s="312"/>
      <c r="C97" s="221"/>
      <c r="D97" s="313"/>
      <c r="E97" s="314"/>
      <c r="F97" s="309"/>
      <c r="G97" s="309"/>
      <c r="H97" s="309"/>
    </row>
    <row r="98" spans="1:8" x14ac:dyDescent="0.3">
      <c r="A98" s="315" t="s">
        <v>208</v>
      </c>
      <c r="B98" s="296" t="s">
        <v>0</v>
      </c>
      <c r="C98" s="297" t="s">
        <v>230</v>
      </c>
      <c r="H98" s="376"/>
    </row>
    <row r="99" spans="1:8" x14ac:dyDescent="0.25">
      <c r="H99" s="377"/>
    </row>
  </sheetData>
  <mergeCells count="34">
    <mergeCell ref="Q74:R74"/>
    <mergeCell ref="H64:H67"/>
    <mergeCell ref="K42:K43"/>
    <mergeCell ref="K53:K54"/>
    <mergeCell ref="I65:K65"/>
    <mergeCell ref="K68:K73"/>
    <mergeCell ref="H68:H73"/>
    <mergeCell ref="B53:C54"/>
    <mergeCell ref="D53:D54"/>
    <mergeCell ref="B64:G65"/>
    <mergeCell ref="J20:J24"/>
    <mergeCell ref="J75:K75"/>
    <mergeCell ref="A1:K1"/>
    <mergeCell ref="A2:K2"/>
    <mergeCell ref="A3:K3"/>
    <mergeCell ref="A40:A41"/>
    <mergeCell ref="B40:C41"/>
    <mergeCell ref="D40:D41"/>
    <mergeCell ref="A64:A65"/>
    <mergeCell ref="A17:F17"/>
    <mergeCell ref="A18:A19"/>
    <mergeCell ref="B18:B19"/>
    <mergeCell ref="C18:C19"/>
    <mergeCell ref="A42:A43"/>
    <mergeCell ref="B42:C43"/>
    <mergeCell ref="D42:D43"/>
    <mergeCell ref="A45:A46"/>
    <mergeCell ref="B45:C46"/>
    <mergeCell ref="D45:D46"/>
    <mergeCell ref="A51:A52"/>
    <mergeCell ref="B51:C52"/>
    <mergeCell ref="D51:D52"/>
    <mergeCell ref="A50:D50"/>
    <mergeCell ref="A53:A54"/>
  </mergeCells>
  <dataValidations disablePrompts="1" count="3">
    <dataValidation type="list" allowBlank="1" showInputMessage="1" showErrorMessage="1" sqref="K14:K16" xr:uid="{00000000-0002-0000-0400-000000000000}">
      <formula1>$IA$1:$IA$12</formula1>
    </dataValidation>
    <dataValidation type="list" allowBlank="1" showInputMessage="1" showErrorMessage="1" sqref="C38" xr:uid="{00000000-0002-0000-0400-000001000000}">
      <formula1>$V$1:$V$2</formula1>
    </dataValidation>
    <dataValidation type="list" allowBlank="1" showInputMessage="1" showErrorMessage="1" sqref="L7:O7" xr:uid="{00000000-0002-0000-0400-000002000000}">
      <formula1>$BC$4:$BC$15</formula1>
    </dataValidation>
  </dataValidations>
  <printOptions horizontalCentered="1"/>
  <pageMargins left="0.511811023622047" right="0.23622047244094499" top="0.74803149606299202" bottom="0.55118110236220497" header="0.23622047244094499" footer="0.23622047244094499"/>
  <pageSetup paperSize="9" scale="71" orientation="portrait" r:id="rId1"/>
  <headerFooter>
    <oddHeader xml:space="preserve">&amp;R&amp;8T.LK 042-18
</oddHeader>
  </headerFooter>
  <drawing r:id="rId2"/>
  <extLst>
    <ext xmlns:x14="http://schemas.microsoft.com/office/spreadsheetml/2009/9/main" uri="{78C0D931-6437-407d-A8EE-F0AAD7539E65}">
      <x14:conditionalFormattings>
        <x14:conditionalFormatting xmlns:xm="http://schemas.microsoft.com/office/excel/2006/main">
          <x14:cfRule type="iconSet" priority="2" id="{4DE42F6A-6E0C-491A-9BFB-5718132FDBF3}">
            <x14:iconSet custom="1">
              <x14:cfvo type="percent">
                <xm:f>0</xm:f>
              </x14:cfvo>
              <x14:cfvo type="num">
                <xm:f>3</xm:f>
              </x14:cfvo>
              <x14:cfvo type="num" gte="0">
                <xm:f>3</xm:f>
              </x14:cfvo>
              <x14:cfIcon iconSet="3Symbols" iconId="2"/>
              <x14:cfIcon iconSet="3Symbols" iconId="2"/>
              <x14:cfIcon iconSet="3Symbols" iconId="0"/>
            </x14:iconSet>
          </x14:cfRule>
          <xm:sqref>D91:E91</xm:sqref>
        </x14:conditionalFormatting>
      </x14:conditionalFormattings>
    </ext>
    <ext xmlns:x14="http://schemas.microsoft.com/office/spreadsheetml/2009/9/main" uri="{CCE6A557-97BC-4b89-ADB6-D9C93CAAB3DF}">
      <x14:dataValidations xmlns:xm="http://schemas.microsoft.com/office/excel/2006/main" disablePrompts="1" count="4">
        <x14:dataValidation type="list" allowBlank="1" showInputMessage="1" xr:uid="{00000000-0002-0000-0400-000003000000}">
          <x14:formula1>
            <xm:f>KETERANGAN!$F$8:$F$9</xm:f>
          </x14:formula1>
          <xm:sqref>P6 P2:P4</xm:sqref>
        </x14:dataValidation>
        <x14:dataValidation type="list" allowBlank="1" showInputMessage="1" xr:uid="{00000000-0002-0000-0400-000004000000}">
          <x14:formula1>
            <xm:f>KETERANGAN!$G$26:$G$33</xm:f>
          </x14:formula1>
          <xm:sqref>A76:A77</xm:sqref>
        </x14:dataValidation>
        <x14:dataValidation type="list" allowBlank="1" showInputMessage="1" showErrorMessage="1" xr:uid="{00000000-0002-0000-0400-000005000000}">
          <x14:formula1>
            <xm:f>'SERTIFIKAT DPM'!$BN$4:$BN$5</xm:f>
          </x14:formula1>
          <xm:sqref>E7</xm:sqref>
        </x14:dataValidation>
        <x14:dataValidation type="list" allowBlank="1" showInputMessage="1" showErrorMessage="1" xr:uid="{00000000-0002-0000-0400-000006000000}">
          <x14:formula1>
            <xm:f>'SERTIFIKAT THERMOHYGROMETER'!$W$3:$W$12</xm:f>
          </x14:formula1>
          <xm:sqref>E8 L8:O8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4:V237"/>
  <sheetViews>
    <sheetView topLeftCell="I118" zoomScale="90" zoomScaleNormal="90" workbookViewId="0">
      <selection activeCell="L135" sqref="L135"/>
    </sheetView>
  </sheetViews>
  <sheetFormatPr defaultRowHeight="13.2" x14ac:dyDescent="0.25"/>
  <cols>
    <col min="7" max="7" width="10.44140625" customWidth="1"/>
    <col min="10" max="10" width="0" hidden="1" customWidth="1"/>
    <col min="11" max="11" width="69.44140625" customWidth="1"/>
    <col min="12" max="12" width="44.21875" customWidth="1"/>
    <col min="20" max="20" width="0" hidden="1" customWidth="1"/>
    <col min="21" max="21" width="61.21875" customWidth="1"/>
  </cols>
  <sheetData>
    <row r="4" spans="8:22" ht="21" x14ac:dyDescent="0.4">
      <c r="H4" s="1227"/>
      <c r="I4" s="1227"/>
      <c r="J4" s="1227"/>
      <c r="K4" s="1227"/>
    </row>
    <row r="5" spans="8:22" ht="14.4" x14ac:dyDescent="0.3">
      <c r="H5" s="138"/>
      <c r="I5" s="133"/>
      <c r="J5" s="133"/>
      <c r="K5" s="133"/>
    </row>
    <row r="6" spans="8:22" ht="15.6" x14ac:dyDescent="0.25">
      <c r="H6" s="139"/>
      <c r="I6" s="139"/>
      <c r="J6" s="1228"/>
      <c r="K6" s="1228"/>
      <c r="N6" t="s">
        <v>586</v>
      </c>
      <c r="U6" s="564"/>
      <c r="V6" s="33"/>
    </row>
    <row r="7" spans="8:22" ht="15.6" x14ac:dyDescent="0.25">
      <c r="H7" s="147"/>
      <c r="I7" s="139"/>
      <c r="J7" s="1228"/>
      <c r="K7" s="1228"/>
      <c r="N7" t="s">
        <v>587</v>
      </c>
      <c r="U7" s="233"/>
      <c r="V7" s="58"/>
    </row>
    <row r="8" spans="8:22" ht="15.6" x14ac:dyDescent="0.25">
      <c r="H8" s="148"/>
      <c r="I8" s="140"/>
      <c r="J8" s="140"/>
      <c r="K8" s="140"/>
      <c r="N8" t="s">
        <v>588</v>
      </c>
      <c r="U8" s="564"/>
      <c r="V8" s="58"/>
    </row>
    <row r="9" spans="8:22" ht="15.6" x14ac:dyDescent="0.25">
      <c r="H9" s="148"/>
      <c r="I9" s="140"/>
      <c r="J9" s="140"/>
      <c r="K9" s="140"/>
      <c r="N9" t="s">
        <v>589</v>
      </c>
      <c r="U9" s="564"/>
      <c r="V9" s="33"/>
    </row>
    <row r="10" spans="8:22" ht="15.6" x14ac:dyDescent="0.25">
      <c r="H10" s="148"/>
      <c r="I10" s="140"/>
      <c r="J10" s="140"/>
      <c r="K10" s="140"/>
      <c r="N10" t="s">
        <v>590</v>
      </c>
      <c r="U10" s="564"/>
      <c r="V10" s="33"/>
    </row>
    <row r="11" spans="8:22" ht="15.6" x14ac:dyDescent="0.25">
      <c r="H11" s="149"/>
      <c r="I11" s="141"/>
      <c r="J11" s="140"/>
      <c r="K11" s="142"/>
      <c r="N11" t="s">
        <v>591</v>
      </c>
      <c r="U11" s="564"/>
      <c r="V11" s="33"/>
    </row>
    <row r="12" spans="8:22" ht="15.6" x14ac:dyDescent="0.25">
      <c r="H12" s="133"/>
      <c r="I12" s="133"/>
      <c r="J12" s="133"/>
      <c r="K12" s="133"/>
      <c r="N12" t="s">
        <v>592</v>
      </c>
      <c r="U12" s="565"/>
      <c r="V12" s="33"/>
    </row>
    <row r="13" spans="8:22" ht="15.6" x14ac:dyDescent="0.3">
      <c r="H13" s="143"/>
      <c r="I13" s="133"/>
      <c r="J13" s="133"/>
      <c r="K13" s="133"/>
      <c r="N13" t="s">
        <v>593</v>
      </c>
      <c r="U13" s="565"/>
      <c r="V13" s="33"/>
    </row>
    <row r="14" spans="8:22" ht="15.6" x14ac:dyDescent="0.25">
      <c r="H14" s="139"/>
      <c r="I14" s="139"/>
      <c r="J14" s="1228"/>
      <c r="K14" s="1228"/>
      <c r="N14" t="s">
        <v>594</v>
      </c>
      <c r="U14" s="565"/>
      <c r="V14" s="33"/>
    </row>
    <row r="15" spans="8:22" ht="15.6" x14ac:dyDescent="0.25">
      <c r="H15" s="147"/>
      <c r="I15" s="139"/>
      <c r="J15" s="1228"/>
      <c r="K15" s="1228"/>
      <c r="N15" t="s">
        <v>595</v>
      </c>
      <c r="U15" s="565"/>
      <c r="V15" s="65"/>
    </row>
    <row r="16" spans="8:22" ht="15.6" x14ac:dyDescent="0.25">
      <c r="H16" s="148"/>
      <c r="I16" s="144"/>
      <c r="J16" s="144"/>
      <c r="K16" s="144"/>
      <c r="N16" t="s">
        <v>596</v>
      </c>
      <c r="V16" s="65"/>
    </row>
    <row r="17" spans="8:22" ht="15.6" x14ac:dyDescent="0.25">
      <c r="H17" s="148"/>
      <c r="I17" s="144"/>
      <c r="J17" s="144"/>
      <c r="K17" s="144"/>
      <c r="N17" t="s">
        <v>597</v>
      </c>
      <c r="V17" s="33"/>
    </row>
    <row r="18" spans="8:22" ht="15.6" x14ac:dyDescent="0.25">
      <c r="H18" s="148"/>
      <c r="I18" s="144"/>
      <c r="J18" s="144"/>
      <c r="K18" s="144"/>
      <c r="N18" t="s">
        <v>598</v>
      </c>
      <c r="V18" s="33"/>
    </row>
    <row r="19" spans="8:22" x14ac:dyDescent="0.25">
      <c r="H19" s="149"/>
      <c r="I19" s="145"/>
      <c r="J19" s="146"/>
      <c r="K19" s="146"/>
      <c r="N19" t="s">
        <v>599</v>
      </c>
    </row>
    <row r="20" spans="8:22" x14ac:dyDescent="0.25">
      <c r="H20" s="133"/>
      <c r="I20" s="133"/>
      <c r="J20" s="133"/>
      <c r="K20" s="133"/>
      <c r="N20" t="s">
        <v>600</v>
      </c>
    </row>
    <row r="21" spans="8:22" ht="13.8" x14ac:dyDescent="0.3">
      <c r="H21" s="143"/>
      <c r="I21" s="133"/>
      <c r="J21" s="133"/>
      <c r="K21" s="133"/>
      <c r="N21" t="s">
        <v>601</v>
      </c>
    </row>
    <row r="22" spans="8:22" x14ac:dyDescent="0.25">
      <c r="H22" s="139"/>
      <c r="I22" s="139"/>
      <c r="J22" s="1228"/>
      <c r="K22" s="1228"/>
      <c r="N22" s="152"/>
    </row>
    <row r="23" spans="8:22" x14ac:dyDescent="0.25">
      <c r="H23" s="147"/>
      <c r="I23" s="139"/>
      <c r="J23" s="1228"/>
      <c r="K23" s="1228"/>
    </row>
    <row r="24" spans="8:22" x14ac:dyDescent="0.25">
      <c r="H24" s="148"/>
      <c r="I24" s="145"/>
      <c r="J24" s="145"/>
      <c r="K24" s="145"/>
      <c r="O24" s="152"/>
    </row>
    <row r="25" spans="8:22" x14ac:dyDescent="0.25">
      <c r="H25" s="148"/>
      <c r="I25" s="145"/>
      <c r="J25" s="145"/>
      <c r="K25" s="145"/>
      <c r="O25" s="152"/>
    </row>
    <row r="26" spans="8:22" x14ac:dyDescent="0.25">
      <c r="H26" s="148"/>
      <c r="I26" s="145"/>
      <c r="J26" s="145"/>
      <c r="K26" s="145"/>
      <c r="O26" s="152"/>
    </row>
    <row r="27" spans="8:22" x14ac:dyDescent="0.25">
      <c r="H27" s="149"/>
      <c r="I27" s="145"/>
      <c r="J27" s="146"/>
      <c r="K27" s="146"/>
    </row>
    <row r="28" spans="8:22" x14ac:dyDescent="0.25">
      <c r="U28" s="150" t="s">
        <v>137</v>
      </c>
    </row>
    <row r="29" spans="8:22" x14ac:dyDescent="0.25">
      <c r="U29" s="885">
        <f>FORECAST(ID!B54,'SERTIFIKAT STOPWATCH'!S37:S39,'SERTIFIKAT STOPWATCH'!R37:R39)</f>
        <v>-4.9471428571428583E-3</v>
      </c>
    </row>
    <row r="31" spans="8:22" x14ac:dyDescent="0.25">
      <c r="K31" s="223"/>
    </row>
    <row r="33" spans="1:21" ht="21" x14ac:dyDescent="0.4">
      <c r="A33" s="1229" t="s">
        <v>149</v>
      </c>
      <c r="B33" s="1229"/>
      <c r="C33" s="1229"/>
      <c r="D33" s="1229"/>
      <c r="E33" s="1229"/>
      <c r="F33" s="1229"/>
      <c r="G33" s="1229"/>
      <c r="H33" s="1229"/>
      <c r="I33" s="1229"/>
      <c r="J33" s="1229"/>
      <c r="K33" s="1229"/>
      <c r="L33" s="1229"/>
      <c r="M33" s="1229"/>
      <c r="N33" s="1229"/>
      <c r="O33" s="1229"/>
    </row>
    <row r="34" spans="1:21" x14ac:dyDescent="0.25">
      <c r="I34" s="133"/>
      <c r="J34" s="133"/>
      <c r="K34" s="133"/>
    </row>
    <row r="35" spans="1:21" x14ac:dyDescent="0.25">
      <c r="B35" s="150"/>
      <c r="C35" s="150"/>
      <c r="D35" s="150"/>
      <c r="E35" s="150"/>
      <c r="F35" s="1224" t="s">
        <v>169</v>
      </c>
      <c r="G35" s="1224"/>
      <c r="H35" s="137"/>
      <c r="I35" s="901" t="s">
        <v>169</v>
      </c>
      <c r="J35" s="137"/>
      <c r="K35" s="137"/>
    </row>
    <row r="36" spans="1:21" ht="30.6" x14ac:dyDescent="0.25">
      <c r="A36" s="215"/>
      <c r="B36" s="139"/>
      <c r="C36" s="216"/>
      <c r="D36" s="139"/>
      <c r="E36" s="139"/>
      <c r="F36" s="1225" t="s">
        <v>179</v>
      </c>
      <c r="G36" s="1226"/>
      <c r="H36" s="158" t="s">
        <v>147</v>
      </c>
      <c r="I36" s="214" t="s">
        <v>180</v>
      </c>
      <c r="J36" s="136" t="s">
        <v>146</v>
      </c>
      <c r="K36" s="213" t="s">
        <v>102</v>
      </c>
      <c r="L36" s="901" t="s">
        <v>148</v>
      </c>
      <c r="M36" s="151" t="s">
        <v>98</v>
      </c>
      <c r="N36" s="6" t="s">
        <v>99</v>
      </c>
      <c r="O36" s="6" t="s">
        <v>100</v>
      </c>
      <c r="R36" s="158" t="s">
        <v>147</v>
      </c>
      <c r="S36" s="214" t="s">
        <v>180</v>
      </c>
      <c r="T36" s="136" t="s">
        <v>146</v>
      </c>
      <c r="U36" s="213" t="s">
        <v>102</v>
      </c>
    </row>
    <row r="37" spans="1:21" s="664" customFormat="1" x14ac:dyDescent="0.25">
      <c r="A37" s="660"/>
      <c r="B37" s="661"/>
      <c r="C37" s="660"/>
      <c r="D37" s="661"/>
      <c r="E37" s="661"/>
      <c r="F37" s="929"/>
      <c r="G37" s="1033" t="s">
        <v>526</v>
      </c>
      <c r="H37" s="1034">
        <v>0</v>
      </c>
      <c r="I37" s="1035">
        <v>0</v>
      </c>
      <c r="J37" s="154">
        <f>0.5*(MAX(I37:I37)-(MIN(I37:I37)))</f>
        <v>0</v>
      </c>
      <c r="K37" s="1032" t="s">
        <v>585</v>
      </c>
      <c r="L37" s="935" t="s">
        <v>586</v>
      </c>
      <c r="M37" s="960">
        <f>ROWS(L$37:$L37)</f>
        <v>1</v>
      </c>
      <c r="N37" s="960" t="str">
        <f>IF(ID!$A$85=L37,M37,"")</f>
        <v/>
      </c>
      <c r="O37" s="960">
        <f>IFERROR(SMALL($N$37:$N$237,ROWS($N$37:N37)),"")</f>
        <v>88</v>
      </c>
      <c r="P37" s="961"/>
      <c r="Q37" s="961"/>
      <c r="R37" s="962">
        <f>IFERROR(INDEX($H$37:$K$237,$O37,COLUMNS(Q$37:$Q37)),"")</f>
        <v>0</v>
      </c>
      <c r="S37" s="962">
        <f>IFERROR(INDEX($H$37:$K$237,$O37,COLUMNS($Q$37:R37)),"")</f>
        <v>0</v>
      </c>
      <c r="T37" s="962">
        <f>IFERROR(INDEX($H$37:$K$237,$O37,COLUMNS($Q$37:S37)),"")</f>
        <v>0</v>
      </c>
      <c r="U37" s="962" t="str">
        <f>IFERROR(INDEX($H$37:$K$237,$O37,COLUMNS($Q$37:T37)),"")</f>
        <v>Hasil laju buang cepat tertelusur ke satuan SI melalui PT. KALIMAN</v>
      </c>
    </row>
    <row r="38" spans="1:21" s="664" customFormat="1" x14ac:dyDescent="0.25">
      <c r="A38" s="660"/>
      <c r="B38" s="661"/>
      <c r="C38" s="660"/>
      <c r="D38" s="661"/>
      <c r="E38" s="661"/>
      <c r="F38" s="929"/>
      <c r="G38" s="154"/>
      <c r="H38" s="1034">
        <v>10</v>
      </c>
      <c r="I38" s="1035">
        <v>0.01</v>
      </c>
      <c r="J38" s="154">
        <f>0.5*(MAX(I38:I38)-(MIN(I38:I38)))</f>
        <v>0</v>
      </c>
      <c r="K38" s="1032"/>
      <c r="L38" s="935" t="s">
        <v>586</v>
      </c>
      <c r="M38" s="960">
        <f>ROWS(L$37:$L38)</f>
        <v>2</v>
      </c>
      <c r="N38" s="960" t="str">
        <f>IF(ID!$A$85=L38,M38,"")</f>
        <v/>
      </c>
      <c r="O38" s="960">
        <f>IFERROR(SMALL($N$37:$N$237,ROWS($N$37:N38)),"")</f>
        <v>89</v>
      </c>
      <c r="P38" s="961"/>
      <c r="Q38" s="961"/>
      <c r="R38" s="962">
        <f>IFERROR(INDEX($H$37:$K$237,$O38,COLUMNS(Q$37:$Q38)),"")</f>
        <v>10</v>
      </c>
      <c r="S38" s="962">
        <f>IFERROR(INDEX($H$37:$K$237,$O38,COLUMNS($Q$37:R38)),"")</f>
        <v>-0.01</v>
      </c>
      <c r="T38" s="962">
        <f>IFERROR(INDEX($H$37:$K$237,$O38,COLUMNS($Q$37:S38)),"")</f>
        <v>0</v>
      </c>
      <c r="U38" s="962"/>
    </row>
    <row r="39" spans="1:21" s="664" customFormat="1" x14ac:dyDescent="0.25">
      <c r="A39" s="660"/>
      <c r="B39" s="661"/>
      <c r="C39" s="660"/>
      <c r="D39" s="661"/>
      <c r="E39" s="661"/>
      <c r="F39" s="929"/>
      <c r="G39" s="154"/>
      <c r="H39" s="1034">
        <v>30</v>
      </c>
      <c r="I39" s="1035">
        <v>0</v>
      </c>
      <c r="J39" s="154">
        <f>0.5*(MAX(I39:I39)-(MIN(I39:I39)))</f>
        <v>0</v>
      </c>
      <c r="K39" s="1032"/>
      <c r="L39" s="935" t="s">
        <v>586</v>
      </c>
      <c r="M39" s="960">
        <f>ROWS(L$37:$L39)</f>
        <v>3</v>
      </c>
      <c r="N39" s="960" t="str">
        <f>IF(ID!$A$85=L39,M39,"")</f>
        <v/>
      </c>
      <c r="O39" s="960">
        <f>IFERROR(SMALL($N$37:$N$237,ROWS($N$37:N39)),"")</f>
        <v>90</v>
      </c>
      <c r="P39" s="961"/>
      <c r="Q39" s="961"/>
      <c r="R39" s="962">
        <f>IFERROR(INDEX($H$37:$K$237,$O39,COLUMNS(Q$37:$Q39)),"")</f>
        <v>30</v>
      </c>
      <c r="S39" s="962">
        <f>IFERROR(INDEX($H$37:$K$237,$O39,COLUMNS($Q$37:R39)),"")</f>
        <v>0.01</v>
      </c>
      <c r="T39" s="962">
        <f>IFERROR(INDEX($H$37:$K$237,$O39,COLUMNS($Q$37:S39)),"")</f>
        <v>0</v>
      </c>
      <c r="U39" s="962"/>
    </row>
    <row r="40" spans="1:21" s="664" customFormat="1" x14ac:dyDescent="0.25">
      <c r="A40" s="660"/>
      <c r="B40" s="666"/>
      <c r="C40" s="660"/>
      <c r="D40" s="666"/>
      <c r="E40" s="666"/>
      <c r="F40" s="929"/>
      <c r="G40" s="930"/>
      <c r="H40" s="931"/>
      <c r="I40" s="930"/>
      <c r="J40" s="930">
        <f>0.5*(MAX(I40:I40)-(MIN(I40:I40)))</f>
        <v>0</v>
      </c>
      <c r="K40" s="932"/>
      <c r="L40" s="667"/>
      <c r="M40" s="960">
        <f>ROWS(L$37:$L40)</f>
        <v>4</v>
      </c>
      <c r="N40" s="960" t="str">
        <f>IF(ID!$A$85=L40,M40,"")</f>
        <v/>
      </c>
      <c r="O40" s="960" t="str">
        <f>IFERROR(SMALL($N$37:$N$237,ROWS($N$37:N40)),"")</f>
        <v/>
      </c>
      <c r="P40" s="961"/>
      <c r="Q40" s="961"/>
      <c r="R40" s="962" t="str">
        <f>IFERROR(INDEX($H$37:$K$237,$O40,COLUMNS(Q$37:$Q40)),"")</f>
        <v/>
      </c>
      <c r="S40" s="962" t="str">
        <f>IFERROR(INDEX($H$37:$K$237,$O40,COLUMNS($Q$37:R40)),"")</f>
        <v/>
      </c>
      <c r="T40" s="962" t="str">
        <f>IFERROR(INDEX($H$37:$K$237,$O40,COLUMNS($Q$37:S40)),"")</f>
        <v/>
      </c>
      <c r="U40" s="962"/>
    </row>
    <row r="41" spans="1:21" x14ac:dyDescent="0.25">
      <c r="A41" s="139"/>
      <c r="B41" s="145"/>
      <c r="C41" s="139"/>
      <c r="D41" s="145"/>
      <c r="E41" s="145"/>
      <c r="F41" s="135"/>
      <c r="G41" s="135"/>
      <c r="H41" s="556"/>
      <c r="I41" s="135"/>
      <c r="J41" s="134"/>
      <c r="K41" s="557"/>
      <c r="L41" s="152"/>
      <c r="M41" s="1">
        <f>ROWS(L$37:$L41)</f>
        <v>5</v>
      </c>
      <c r="N41" s="663" t="str">
        <f>IF(ID!$A$85=L41,M41,"")</f>
        <v/>
      </c>
      <c r="O41" s="663" t="str">
        <f>IFERROR(SMALL($N$37:$N$237,ROWS($N$37:N41)),"")</f>
        <v/>
      </c>
      <c r="R41" s="665" t="str">
        <f>IFERROR(INDEX($H$37:$K$237,$O41,COLUMNS(Q$37:$Q41)),"")</f>
        <v/>
      </c>
      <c r="S41" s="665" t="str">
        <f>IFERROR(INDEX($H$37:$K$237,$O41,COLUMNS($Q$37:R41)),"")</f>
        <v/>
      </c>
      <c r="T41" s="665" t="str">
        <f>IFERROR(INDEX($H$37:$K$237,$O41,COLUMNS($Q$37:S41)),"")</f>
        <v/>
      </c>
      <c r="U41" s="665"/>
    </row>
    <row r="42" spans="1:21" x14ac:dyDescent="0.25">
      <c r="A42" s="139"/>
      <c r="B42" s="145"/>
      <c r="C42" s="139"/>
      <c r="D42" s="145"/>
      <c r="E42" s="145"/>
      <c r="F42" s="135"/>
      <c r="G42" s="135"/>
      <c r="H42" s="556"/>
      <c r="I42" s="135"/>
      <c r="J42" s="134"/>
      <c r="K42" s="557"/>
      <c r="L42" s="152"/>
      <c r="M42" s="1">
        <f>ROWS(L$37:$L42)</f>
        <v>6</v>
      </c>
      <c r="N42" s="663" t="str">
        <f>IF(ID!$A$85=L42,M42,"")</f>
        <v/>
      </c>
      <c r="O42" s="663" t="str">
        <f>IFERROR(SMALL($N$37:$N$237,ROWS($N$37:N42)),"")</f>
        <v/>
      </c>
      <c r="R42" s="665" t="str">
        <f>IFERROR(INDEX($H$37:$K$237,$O42,COLUMNS(Q$37:$Q42)),"")</f>
        <v/>
      </c>
      <c r="S42" s="665" t="str">
        <f>IFERROR(INDEX($H$37:$K$237,$O42,COLUMNS($Q$37:R42)),"")</f>
        <v/>
      </c>
      <c r="T42" s="665" t="str">
        <f>IFERROR(INDEX($H$37:$K$237,$O42,COLUMNS($Q$37:S42)),"")</f>
        <v/>
      </c>
      <c r="U42" s="665"/>
    </row>
    <row r="43" spans="1:21" s="156" customFormat="1" x14ac:dyDescent="0.25">
      <c r="A43" s="217"/>
      <c r="B43" s="218"/>
      <c r="C43" s="217"/>
      <c r="D43" s="218"/>
      <c r="E43" s="218"/>
      <c r="F43" s="153"/>
      <c r="G43" s="153"/>
      <c r="H43" s="558"/>
      <c r="I43" s="153"/>
      <c r="J43" s="154"/>
      <c r="K43" s="559"/>
      <c r="L43" s="155"/>
      <c r="M43" s="1">
        <f>ROWS(L$37:$L43)</f>
        <v>7</v>
      </c>
      <c r="N43" s="663" t="str">
        <f>IF(ID!$A$85=L43,M43,"")</f>
        <v/>
      </c>
      <c r="O43" s="663" t="str">
        <f>IFERROR(SMALL($N$37:$N$237,ROWS($N$37:N43)),"")</f>
        <v/>
      </c>
      <c r="R43" s="665" t="str">
        <f>IFERROR(INDEX($H$37:$K$237,$O43,COLUMNS(Q$37:$Q43)),"")</f>
        <v/>
      </c>
      <c r="S43" s="665" t="str">
        <f>IFERROR(INDEX($H$37:$K$237,$O43,COLUMNS($Q$37:R43)),"")</f>
        <v/>
      </c>
      <c r="T43" s="665" t="str">
        <f>IFERROR(INDEX($H$37:$K$237,$O43,COLUMNS($Q$37:S43)),"")</f>
        <v/>
      </c>
      <c r="U43" s="665"/>
    </row>
    <row r="44" spans="1:21" s="664" customFormat="1" x14ac:dyDescent="0.25">
      <c r="A44" s="660"/>
      <c r="B44" s="661"/>
      <c r="C44" s="660"/>
      <c r="D44" s="661"/>
      <c r="E44" s="661"/>
      <c r="F44" s="930"/>
      <c r="G44" s="1033" t="s">
        <v>526</v>
      </c>
      <c r="H44" s="1034">
        <v>0</v>
      </c>
      <c r="I44" s="154">
        <v>0</v>
      </c>
      <c r="J44" s="154">
        <f>0.5*(MAX(I44:I44)-(MIN(I44:I44)))</f>
        <v>0</v>
      </c>
      <c r="K44" s="1032" t="s">
        <v>585</v>
      </c>
      <c r="L44" s="935" t="s">
        <v>588</v>
      </c>
      <c r="M44" s="662">
        <f>ROWS(L$37:$L44)</f>
        <v>8</v>
      </c>
      <c r="N44" s="663" t="str">
        <f>IF(ID!$A$85=L44,M44,"")</f>
        <v/>
      </c>
      <c r="O44" s="663" t="str">
        <f>IFERROR(SMALL($N$37:$N$237,ROWS($N$37:N44)),"")</f>
        <v/>
      </c>
      <c r="R44" s="665" t="str">
        <f>IFERROR(INDEX($H$37:$K$237,$O44,COLUMNS(Q$37:$Q44)),"")</f>
        <v/>
      </c>
      <c r="S44" s="665" t="str">
        <f>IFERROR(INDEX($H$37:$K$237,$O44,COLUMNS($Q$37:R44)),"")</f>
        <v/>
      </c>
      <c r="T44" s="665" t="str">
        <f>IFERROR(INDEX($H$37:$K$237,$O44,COLUMNS($Q$37:S44)),"")</f>
        <v/>
      </c>
      <c r="U44" s="665"/>
    </row>
    <row r="45" spans="1:21" s="664" customFormat="1" x14ac:dyDescent="0.25">
      <c r="A45" s="660"/>
      <c r="B45" s="661"/>
      <c r="C45" s="660"/>
      <c r="D45" s="661"/>
      <c r="E45" s="661"/>
      <c r="F45" s="930"/>
      <c r="G45" s="154"/>
      <c r="H45" s="1034">
        <v>10</v>
      </c>
      <c r="I45" s="154">
        <v>0</v>
      </c>
      <c r="J45" s="154">
        <f>0.5*(MAX(I45:I45)-(MIN(I45:I45)))</f>
        <v>0</v>
      </c>
      <c r="K45" s="1032"/>
      <c r="L45" s="935" t="s">
        <v>588</v>
      </c>
      <c r="M45" s="662">
        <f>ROWS(L$37:$L45)</f>
        <v>9</v>
      </c>
      <c r="N45" s="663" t="str">
        <f>IF(ID!$A$85=L45,M45,"")</f>
        <v/>
      </c>
      <c r="O45" s="663" t="str">
        <f>IFERROR(SMALL($N$37:$N$237,ROWS($N$37:N45)),"")</f>
        <v/>
      </c>
      <c r="R45" s="665" t="str">
        <f>IFERROR(INDEX($H$37:$K$237,$O45,COLUMNS(Q$37:$Q45)),"")</f>
        <v/>
      </c>
      <c r="S45" s="665" t="str">
        <f>IFERROR(INDEX($H$37:$K$237,$O45,COLUMNS($Q$37:R45)),"")</f>
        <v/>
      </c>
      <c r="T45" s="665" t="str">
        <f>IFERROR(INDEX($H$37:$K$237,$O45,COLUMNS($Q$37:S45)),"")</f>
        <v/>
      </c>
      <c r="U45" s="665"/>
    </row>
    <row r="46" spans="1:21" s="664" customFormat="1" x14ac:dyDescent="0.25">
      <c r="A46" s="660"/>
      <c r="B46" s="661"/>
      <c r="C46" s="660"/>
      <c r="D46" s="661"/>
      <c r="E46" s="661"/>
      <c r="F46" s="930"/>
      <c r="G46" s="154"/>
      <c r="H46" s="1034">
        <v>30</v>
      </c>
      <c r="I46" s="154">
        <v>0</v>
      </c>
      <c r="J46" s="154">
        <f>0.5*(MAX(I46:I46)-(MIN(I46:I46)))</f>
        <v>0</v>
      </c>
      <c r="K46" s="1032"/>
      <c r="L46" s="935" t="s">
        <v>588</v>
      </c>
      <c r="M46" s="662">
        <f>ROWS(L$37:$L46)</f>
        <v>10</v>
      </c>
      <c r="N46" s="663" t="str">
        <f>IF(ID!$A$85=L46,M46,"")</f>
        <v/>
      </c>
      <c r="O46" s="663" t="str">
        <f>IFERROR(SMALL($N$37:$N$237,ROWS($N$37:N46)),"")</f>
        <v/>
      </c>
      <c r="R46" s="665" t="str">
        <f>IFERROR(INDEX($H$37:$K$237,$O46,COLUMNS(Q$37:$Q46)),"")</f>
        <v/>
      </c>
      <c r="S46" s="665" t="str">
        <f>IFERROR(INDEX($H$37:$K$237,$O46,COLUMNS($Q$37:R46)),"")</f>
        <v/>
      </c>
      <c r="T46" s="665" t="str">
        <f>IFERROR(INDEX($H$37:$K$237,$O46,COLUMNS($Q$37:S46)),"")</f>
        <v/>
      </c>
      <c r="U46" s="665"/>
    </row>
    <row r="47" spans="1:21" s="664" customFormat="1" x14ac:dyDescent="0.25">
      <c r="A47" s="660"/>
      <c r="B47" s="666"/>
      <c r="C47" s="660"/>
      <c r="D47" s="666"/>
      <c r="E47" s="666"/>
      <c r="F47" s="930"/>
      <c r="G47" s="933"/>
      <c r="H47" s="934"/>
      <c r="I47" s="930"/>
      <c r="J47" s="930">
        <f>0.5*(MAX(I47:I47)-(MIN(I47:I47)))</f>
        <v>0</v>
      </c>
      <c r="K47" s="932"/>
      <c r="L47" s="667"/>
      <c r="M47" s="662">
        <f>ROWS(L$37:$L47)</f>
        <v>11</v>
      </c>
      <c r="N47" s="663" t="str">
        <f>IF(ID!$A$85=L47,M47,"")</f>
        <v/>
      </c>
      <c r="O47" s="663" t="str">
        <f>IFERROR(SMALL($N$37:$N$237,ROWS($N$37:N47)),"")</f>
        <v/>
      </c>
      <c r="R47" s="665" t="str">
        <f>IFERROR(INDEX($H$37:$K$237,$O47,COLUMNS(Q$37:$Q47)),"")</f>
        <v/>
      </c>
      <c r="S47" s="665" t="str">
        <f>IFERROR(INDEX($H$37:$K$237,$O47,COLUMNS($Q$37:R47)),"")</f>
        <v/>
      </c>
      <c r="T47" s="665" t="str">
        <f>IFERROR(INDEX($H$37:$K$237,$O47,COLUMNS($Q$37:S47)),"")</f>
        <v/>
      </c>
      <c r="U47" s="665"/>
    </row>
    <row r="48" spans="1:21" x14ac:dyDescent="0.25">
      <c r="A48" s="139"/>
      <c r="B48" s="145"/>
      <c r="C48" s="139"/>
      <c r="D48" s="145"/>
      <c r="E48" s="145"/>
      <c r="F48" s="135"/>
      <c r="G48" s="135"/>
      <c r="H48" s="556"/>
      <c r="I48" s="135"/>
      <c r="J48" s="134"/>
      <c r="K48" s="557"/>
      <c r="L48" s="152"/>
      <c r="M48" s="1">
        <f>ROWS(L$37:$L48)</f>
        <v>12</v>
      </c>
      <c r="N48" s="663" t="str">
        <f>IF(ID!$A$85=L48,M48,"")</f>
        <v/>
      </c>
      <c r="O48" s="663" t="str">
        <f>IFERROR(SMALL($N$37:$N$237,ROWS($N$37:N48)),"")</f>
        <v/>
      </c>
      <c r="R48" t="str">
        <f>IFERROR(INDEX($H$37:$L$54,$N48,COLUMNS(Q$37:$Q48)),"")</f>
        <v/>
      </c>
      <c r="S48" t="str">
        <f>IFERROR(INDEX($H$37:$L$54,$N48,COLUMNS($Q$37:R48)),"")</f>
        <v/>
      </c>
      <c r="T48" t="str">
        <f>IFERROR(INDEX($H$37:$L$54,$N48,COLUMNS($Q$37:S48)),"")</f>
        <v/>
      </c>
    </row>
    <row r="49" spans="1:15" x14ac:dyDescent="0.25">
      <c r="A49" s="139"/>
      <c r="B49" s="145"/>
      <c r="C49" s="139"/>
      <c r="D49" s="145"/>
      <c r="E49" s="145"/>
      <c r="F49" s="135"/>
      <c r="G49" s="135"/>
      <c r="H49" s="556"/>
      <c r="I49" s="135"/>
      <c r="J49" s="134"/>
      <c r="K49" s="557"/>
      <c r="L49" s="152"/>
      <c r="M49" s="1">
        <f>ROWS(L$37:$L49)</f>
        <v>13</v>
      </c>
      <c r="N49" s="663" t="str">
        <f>IF(ID!$A$85=L49,M49,"")</f>
        <v/>
      </c>
      <c r="O49" s="663" t="str">
        <f>IFERROR(SMALL($N$37:$N$237,ROWS($N$37:N49)),"")</f>
        <v/>
      </c>
    </row>
    <row r="50" spans="1:15" s="156" customFormat="1" x14ac:dyDescent="0.25">
      <c r="A50" s="217"/>
      <c r="B50" s="218"/>
      <c r="C50" s="217"/>
      <c r="D50" s="218"/>
      <c r="E50" s="218"/>
      <c r="F50" s="153"/>
      <c r="G50" s="153"/>
      <c r="H50" s="558"/>
      <c r="I50" s="153"/>
      <c r="J50" s="154"/>
      <c r="K50" s="559"/>
      <c r="L50" s="155"/>
      <c r="M50" s="1">
        <f>ROWS(L$37:$L50)</f>
        <v>14</v>
      </c>
      <c r="N50" s="663" t="str">
        <f>IF(ID!$A$85=L50,M50,"")</f>
        <v/>
      </c>
      <c r="O50" s="663" t="str">
        <f>IFERROR(SMALL($N$37:$N$237,ROWS($N$37:N50)),"")</f>
        <v/>
      </c>
    </row>
    <row r="51" spans="1:15" x14ac:dyDescent="0.25">
      <c r="A51" s="139"/>
      <c r="B51" s="145"/>
      <c r="C51" s="139"/>
      <c r="D51" s="145"/>
      <c r="E51" s="145"/>
      <c r="F51" s="212"/>
      <c r="G51" s="212"/>
      <c r="H51" s="668"/>
      <c r="I51" s="219"/>
      <c r="J51" s="212"/>
      <c r="K51" s="669"/>
      <c r="L51" s="670"/>
      <c r="M51" s="1">
        <f>ROWS(L$37:$L51)</f>
        <v>15</v>
      </c>
      <c r="N51" s="663" t="str">
        <f>IF(ID!$A$85=L51,M51,"")</f>
        <v/>
      </c>
      <c r="O51" s="663" t="str">
        <f>IFERROR(SMALL($N$37:$N$237,ROWS($N$37:N51)),"")</f>
        <v/>
      </c>
    </row>
    <row r="52" spans="1:15" x14ac:dyDescent="0.25">
      <c r="A52" s="139"/>
      <c r="B52" s="145"/>
      <c r="C52" s="139"/>
      <c r="D52" s="145"/>
      <c r="E52" s="145"/>
      <c r="F52" s="212"/>
      <c r="G52" s="212"/>
      <c r="H52" s="668"/>
      <c r="I52" s="219"/>
      <c r="J52" s="212"/>
      <c r="K52" s="669"/>
      <c r="L52" s="670"/>
      <c r="M52" s="1">
        <f>ROWS(L$37:$L52)</f>
        <v>16</v>
      </c>
      <c r="N52" s="663" t="str">
        <f>IF(ID!$A$85=L52,M52,"")</f>
        <v/>
      </c>
      <c r="O52" s="663" t="str">
        <f>IFERROR(SMALL($N$37:$N$237,ROWS($N$37:N52)),"")</f>
        <v/>
      </c>
    </row>
    <row r="53" spans="1:15" x14ac:dyDescent="0.25">
      <c r="A53" s="139"/>
      <c r="B53" s="145"/>
      <c r="C53" s="139"/>
      <c r="D53" s="145"/>
      <c r="E53" s="145"/>
      <c r="F53" s="212"/>
      <c r="G53" s="212"/>
      <c r="H53" s="668"/>
      <c r="I53" s="219"/>
      <c r="J53" s="212"/>
      <c r="K53" s="669"/>
      <c r="L53" s="670"/>
      <c r="M53" s="1">
        <f>ROWS(L$37:$L53)</f>
        <v>17</v>
      </c>
      <c r="N53" s="663" t="str">
        <f>IF(ID!$A$85=L53,M53,"")</f>
        <v/>
      </c>
      <c r="O53" s="663" t="str">
        <f>IFERROR(SMALL($N$37:$N$237,ROWS($N$37:N53)),"")</f>
        <v/>
      </c>
    </row>
    <row r="54" spans="1:15" x14ac:dyDescent="0.25">
      <c r="A54" s="139"/>
      <c r="B54" s="145"/>
      <c r="C54" s="139"/>
      <c r="D54" s="145"/>
      <c r="E54" s="145"/>
      <c r="F54" s="212"/>
      <c r="G54" s="219"/>
      <c r="H54" s="671"/>
      <c r="I54" s="219"/>
      <c r="J54" s="212"/>
      <c r="K54" s="669"/>
      <c r="L54" s="670"/>
      <c r="M54" s="1">
        <f>ROWS(L$37:$L54)</f>
        <v>18</v>
      </c>
      <c r="N54" s="663" t="str">
        <f>IF(ID!$A$85=L54,M54,"")</f>
        <v/>
      </c>
      <c r="O54" s="663" t="str">
        <f>IFERROR(SMALL($N$37:$N$237,ROWS($N$37:N54)),"")</f>
        <v/>
      </c>
    </row>
    <row r="55" spans="1:15" x14ac:dyDescent="0.25">
      <c r="F55" s="555"/>
      <c r="G55" s="555"/>
      <c r="H55" s="555"/>
      <c r="I55" s="555"/>
      <c r="J55" s="555"/>
      <c r="K55" s="555"/>
      <c r="L55" s="555"/>
      <c r="M55" s="1">
        <f>ROWS(L$37:$L55)</f>
        <v>19</v>
      </c>
      <c r="N55" s="663" t="str">
        <f>IF(ID!$A$85=L55,M55,"")</f>
        <v/>
      </c>
      <c r="O55" s="663" t="str">
        <f>IFERROR(SMALL($N$37:$N$237,ROWS($N$37:N55)),"")</f>
        <v/>
      </c>
    </row>
    <row r="56" spans="1:15" x14ac:dyDescent="0.25">
      <c r="F56" s="555"/>
      <c r="G56" s="555"/>
      <c r="H56" s="555"/>
      <c r="I56" s="555"/>
      <c r="J56" s="555"/>
      <c r="K56" s="555"/>
      <c r="L56" s="555"/>
      <c r="M56" s="1">
        <f>ROWS(L$37:$L56)</f>
        <v>20</v>
      </c>
      <c r="N56" s="663" t="str">
        <f>IF(ID!$A$85=L56,M56,"")</f>
        <v/>
      </c>
      <c r="O56" s="663" t="str">
        <f>IFERROR(SMALL($N$37:$N$237,ROWS($N$37:N56)),"")</f>
        <v/>
      </c>
    </row>
    <row r="57" spans="1:15" x14ac:dyDescent="0.25">
      <c r="F57" s="555"/>
      <c r="G57" s="555"/>
      <c r="H57" s="555"/>
      <c r="I57" s="555"/>
      <c r="J57" s="555"/>
      <c r="K57" s="555"/>
      <c r="L57" s="555"/>
      <c r="M57" s="1">
        <f>ROWS(L$37:$L57)</f>
        <v>21</v>
      </c>
      <c r="N57" s="663" t="str">
        <f>IF(ID!$A$85=L57,M57,"")</f>
        <v/>
      </c>
      <c r="O57" s="663" t="str">
        <f>IFERROR(SMALL($N$37:$N$237,ROWS($N$37:N57)),"")</f>
        <v/>
      </c>
    </row>
    <row r="58" spans="1:15" x14ac:dyDescent="0.25">
      <c r="F58" s="555"/>
      <c r="G58" s="555"/>
      <c r="H58" s="555"/>
      <c r="I58" s="555"/>
      <c r="J58" s="555"/>
      <c r="K58" s="555"/>
      <c r="L58" s="555"/>
      <c r="M58" s="1">
        <f>ROWS(L$37:$L58)</f>
        <v>22</v>
      </c>
      <c r="N58" s="663" t="str">
        <f>IF(ID!$A$85=L58,M58,"")</f>
        <v/>
      </c>
      <c r="O58" s="663" t="str">
        <f>IFERROR(SMALL($N$37:$N$237,ROWS($N$37:N58)),"")</f>
        <v/>
      </c>
    </row>
    <row r="59" spans="1:15" x14ac:dyDescent="0.25">
      <c r="F59" s="555"/>
      <c r="G59" s="555"/>
      <c r="H59" s="555"/>
      <c r="I59" s="555"/>
      <c r="J59" s="555"/>
      <c r="K59" s="555"/>
      <c r="L59" s="555"/>
      <c r="M59" s="1">
        <f>ROWS(L$37:$L59)</f>
        <v>23</v>
      </c>
      <c r="N59" s="663" t="str">
        <f>IF(ID!$A$85=L59,M59,"")</f>
        <v/>
      </c>
      <c r="O59" s="663" t="str">
        <f>IFERROR(SMALL($N$37:$N$237,ROWS($N$37:N59)),"")</f>
        <v/>
      </c>
    </row>
    <row r="60" spans="1:15" x14ac:dyDescent="0.25">
      <c r="F60" s="555"/>
      <c r="G60" s="555"/>
      <c r="H60" s="555"/>
      <c r="I60" s="555"/>
      <c r="J60" s="555"/>
      <c r="K60" s="555"/>
      <c r="L60" s="555"/>
      <c r="M60" s="1">
        <f>ROWS(L$37:$L60)</f>
        <v>24</v>
      </c>
      <c r="N60" s="663" t="str">
        <f>IF(ID!$A$85=L60,M60,"")</f>
        <v/>
      </c>
      <c r="O60" s="663" t="str">
        <f>IFERROR(SMALL($N$37:$N$237,ROWS($N$37:N60)),"")</f>
        <v/>
      </c>
    </row>
    <row r="61" spans="1:15" x14ac:dyDescent="0.25">
      <c r="F61" s="555"/>
      <c r="G61" s="555"/>
      <c r="H61" s="555"/>
      <c r="I61" s="555"/>
      <c r="J61" s="555"/>
      <c r="K61" s="555"/>
      <c r="L61" s="555"/>
      <c r="M61" s="1">
        <f>ROWS(L$37:$L61)</f>
        <v>25</v>
      </c>
      <c r="N61" s="663" t="str">
        <f>IF(ID!$A$85=L61,M61,"")</f>
        <v/>
      </c>
      <c r="O61" s="663" t="str">
        <f>IFERROR(SMALL($N$37:$N$237,ROWS($N$37:N61)),"")</f>
        <v/>
      </c>
    </row>
    <row r="62" spans="1:15" x14ac:dyDescent="0.25">
      <c r="F62" s="560"/>
      <c r="G62" s="560"/>
      <c r="H62" s="560"/>
      <c r="I62" s="560"/>
      <c r="J62" s="560"/>
      <c r="K62" s="560"/>
      <c r="L62" s="560"/>
      <c r="M62" s="1">
        <f>ROWS(L$37:$L62)</f>
        <v>26</v>
      </c>
      <c r="N62" s="663" t="str">
        <f>IF(ID!$A$85=L62,M62,"")</f>
        <v/>
      </c>
      <c r="O62" s="663" t="str">
        <f>IFERROR(SMALL($N$37:$N$237,ROWS($N$37:N62)),"")</f>
        <v/>
      </c>
    </row>
    <row r="63" spans="1:15" x14ac:dyDescent="0.25">
      <c r="F63" s="561"/>
      <c r="G63" s="561"/>
      <c r="H63" s="561"/>
      <c r="I63" s="561"/>
      <c r="J63" s="561"/>
      <c r="K63" s="561"/>
      <c r="L63" s="561"/>
      <c r="M63" s="1">
        <f>ROWS(L$37:$L63)</f>
        <v>27</v>
      </c>
      <c r="N63" s="663" t="str">
        <f>IF(ID!$A$85=L63,M63,"")</f>
        <v/>
      </c>
      <c r="O63" s="663" t="str">
        <f>IFERROR(SMALL($N$37:$N$237,ROWS($N$37:N63)),"")</f>
        <v/>
      </c>
    </row>
    <row r="64" spans="1:15" s="664" customFormat="1" x14ac:dyDescent="0.25">
      <c r="F64" s="561"/>
      <c r="G64" s="827" t="s">
        <v>450</v>
      </c>
      <c r="H64" s="693">
        <v>0</v>
      </c>
      <c r="I64" s="1031">
        <v>0</v>
      </c>
      <c r="J64" s="693"/>
      <c r="K64" s="1032" t="s">
        <v>585</v>
      </c>
      <c r="L64" s="155" t="s">
        <v>280</v>
      </c>
      <c r="M64" s="662">
        <f>ROWS(L$37:$L64)</f>
        <v>28</v>
      </c>
      <c r="N64" s="663" t="str">
        <f>IF(ID!$A$85=L64,M64,"")</f>
        <v/>
      </c>
      <c r="O64" s="663" t="str">
        <f>IFERROR(SMALL($N$37:$N$237,ROWS($N$37:N64)),"")</f>
        <v/>
      </c>
    </row>
    <row r="65" spans="6:15" s="664" customFormat="1" x14ac:dyDescent="0.25">
      <c r="F65" s="561"/>
      <c r="G65" s="693"/>
      <c r="H65" s="693">
        <v>10</v>
      </c>
      <c r="I65" s="1031">
        <v>0.01</v>
      </c>
      <c r="J65" s="693"/>
      <c r="K65" s="693"/>
      <c r="L65" s="155" t="s">
        <v>280</v>
      </c>
      <c r="M65" s="662">
        <f>ROWS(L$37:$L65)</f>
        <v>29</v>
      </c>
      <c r="N65" s="663" t="str">
        <f>IF(ID!$A$85=L65,M65,"")</f>
        <v/>
      </c>
      <c r="O65" s="663" t="str">
        <f>IFERROR(SMALL($N$37:$N$237,ROWS($N$37:N65)),"")</f>
        <v/>
      </c>
    </row>
    <row r="66" spans="6:15" s="664" customFormat="1" x14ac:dyDescent="0.25">
      <c r="F66" s="561"/>
      <c r="G66" s="693"/>
      <c r="H66" s="693">
        <v>30</v>
      </c>
      <c r="I66" s="693">
        <v>0.01</v>
      </c>
      <c r="J66" s="693"/>
      <c r="K66" s="693"/>
      <c r="L66" s="155" t="s">
        <v>280</v>
      </c>
      <c r="M66" s="662">
        <f>ROWS(L$37:$L66)</f>
        <v>30</v>
      </c>
      <c r="N66" s="663" t="str">
        <f>IF(ID!$A$85=L66,M66,"")</f>
        <v/>
      </c>
      <c r="O66" s="663" t="str">
        <f>IFERROR(SMALL($N$37:$N$237,ROWS($N$37:N66)),"")</f>
        <v/>
      </c>
    </row>
    <row r="67" spans="6:15" x14ac:dyDescent="0.25">
      <c r="F67" s="555"/>
      <c r="G67" s="555"/>
      <c r="H67" s="555"/>
      <c r="I67" s="555"/>
      <c r="J67" s="555"/>
      <c r="K67" s="555"/>
      <c r="L67" s="555"/>
      <c r="M67" s="1">
        <f>ROWS(L$37:$L67)</f>
        <v>31</v>
      </c>
      <c r="N67" s="663" t="str">
        <f>IF(ID!$A$85=L67,M67,"")</f>
        <v/>
      </c>
      <c r="O67" s="663" t="str">
        <f>IFERROR(SMALL($N$37:$N$237,ROWS($N$37:N67)),"")</f>
        <v/>
      </c>
    </row>
    <row r="68" spans="6:15" x14ac:dyDescent="0.25">
      <c r="F68" s="555"/>
      <c r="G68" s="555"/>
      <c r="H68" s="555"/>
      <c r="I68" s="555"/>
      <c r="J68" s="555"/>
      <c r="K68" s="555"/>
      <c r="L68" s="555"/>
      <c r="M68" s="1">
        <f>ROWS(L$37:$L68)</f>
        <v>32</v>
      </c>
      <c r="N68" s="663" t="str">
        <f>IF(ID!$A$85=L68,M68,"")</f>
        <v/>
      </c>
      <c r="O68" s="663" t="str">
        <f>IFERROR(SMALL($N$37:$N$237,ROWS($N$37:N68)),"")</f>
        <v/>
      </c>
    </row>
    <row r="69" spans="6:15" x14ac:dyDescent="0.25">
      <c r="F69" s="555"/>
      <c r="G69" s="555"/>
      <c r="H69" s="555"/>
      <c r="I69" s="555"/>
      <c r="J69" s="555"/>
      <c r="K69" s="555"/>
      <c r="L69" s="555"/>
      <c r="M69" s="1">
        <f>ROWS(L$37:$L69)</f>
        <v>33</v>
      </c>
      <c r="N69" s="663" t="str">
        <f>IF(ID!$A$85=L69,M69,"")</f>
        <v/>
      </c>
      <c r="O69" s="663" t="str">
        <f>IFERROR(SMALL($N$37:$N$237,ROWS($N$37:N69)),"")</f>
        <v/>
      </c>
    </row>
    <row r="70" spans="6:15" x14ac:dyDescent="0.25">
      <c r="F70" s="555"/>
      <c r="G70" s="555"/>
      <c r="H70" s="555"/>
      <c r="I70" s="555"/>
      <c r="J70" s="555"/>
      <c r="K70" s="555"/>
      <c r="L70" s="555"/>
      <c r="M70" s="1">
        <f>ROWS(L$37:$L70)</f>
        <v>34</v>
      </c>
      <c r="N70" s="663" t="str">
        <f>IF(ID!$A$85=L70,M70,"")</f>
        <v/>
      </c>
      <c r="O70" s="663" t="str">
        <f>IFERROR(SMALL($N$37:$N$237,ROWS($N$37:N70)),"")</f>
        <v/>
      </c>
    </row>
    <row r="71" spans="6:15" x14ac:dyDescent="0.25">
      <c r="F71" s="555"/>
      <c r="G71" s="555"/>
      <c r="H71" s="555"/>
      <c r="I71" s="555"/>
      <c r="J71" s="555"/>
      <c r="K71" s="555"/>
      <c r="L71" s="555"/>
      <c r="M71" s="1">
        <f>ROWS(L$37:$L71)</f>
        <v>35</v>
      </c>
      <c r="N71" s="663" t="str">
        <f>IF(ID!$A$85=L71,M71,"")</f>
        <v/>
      </c>
      <c r="O71" s="663" t="str">
        <f>IFERROR(SMALL($N$37:$N$237,ROWS($N$37:N71)),"")</f>
        <v/>
      </c>
    </row>
    <row r="72" spans="6:15" x14ac:dyDescent="0.25">
      <c r="F72" s="555"/>
      <c r="G72" s="555"/>
      <c r="H72" s="555"/>
      <c r="I72" s="555"/>
      <c r="J72" s="555"/>
      <c r="K72" s="555"/>
      <c r="L72" s="555"/>
      <c r="M72" s="1">
        <f>ROWS(L$37:$L72)</f>
        <v>36</v>
      </c>
      <c r="N72" s="663" t="str">
        <f>IF(ID!$A$85=L72,M72,"")</f>
        <v/>
      </c>
      <c r="O72" s="663" t="str">
        <f>IFERROR(SMALL($N$37:$N$237,ROWS($N$37:N72)),"")</f>
        <v/>
      </c>
    </row>
    <row r="73" spans="6:15" x14ac:dyDescent="0.25">
      <c r="F73" s="560"/>
      <c r="G73" s="560"/>
      <c r="H73" s="560"/>
      <c r="I73" s="560"/>
      <c r="J73" s="560"/>
      <c r="K73" s="560"/>
      <c r="L73" s="560"/>
      <c r="M73" s="1">
        <f>ROWS(L$37:$L73)</f>
        <v>37</v>
      </c>
      <c r="N73" s="663" t="str">
        <f>IF(ID!$A$85=L73,M73,"")</f>
        <v/>
      </c>
      <c r="O73" s="663" t="str">
        <f>IFERROR(SMALL($N$37:$N$237,ROWS($N$37:N73)),"")</f>
        <v/>
      </c>
    </row>
    <row r="74" spans="6:15" x14ac:dyDescent="0.25">
      <c r="F74" s="555"/>
      <c r="G74" s="555"/>
      <c r="H74" s="555"/>
      <c r="I74" s="555"/>
      <c r="J74" s="555"/>
      <c r="K74" s="555"/>
      <c r="L74" s="561"/>
      <c r="M74" s="1">
        <f>ROWS(L$37:$L74)</f>
        <v>38</v>
      </c>
      <c r="N74" s="663" t="str">
        <f>IF(ID!$A$85=L74,M74,"")</f>
        <v/>
      </c>
      <c r="O74" s="663" t="str">
        <f>IFERROR(SMALL($N$37:$N$237,ROWS($N$37:N74)),"")</f>
        <v/>
      </c>
    </row>
    <row r="75" spans="6:15" x14ac:dyDescent="0.25">
      <c r="F75" s="555"/>
      <c r="G75" s="827" t="s">
        <v>526</v>
      </c>
      <c r="H75" s="693">
        <v>0</v>
      </c>
      <c r="I75" s="1031">
        <v>0</v>
      </c>
      <c r="J75" s="693"/>
      <c r="K75" s="1032" t="s">
        <v>585</v>
      </c>
      <c r="L75" s="155" t="s">
        <v>279</v>
      </c>
      <c r="M75" s="1">
        <f>ROWS(L$37:$L75)</f>
        <v>39</v>
      </c>
      <c r="N75" s="663" t="str">
        <f>IF(ID!$A$85=L75,M75,"")</f>
        <v/>
      </c>
      <c r="O75" s="663" t="str">
        <f>IFERROR(SMALL($N$37:$N$237,ROWS($N$37:N75)),"")</f>
        <v/>
      </c>
    </row>
    <row r="76" spans="6:15" x14ac:dyDescent="0.25">
      <c r="F76" s="555"/>
      <c r="G76" s="693"/>
      <c r="H76" s="693">
        <v>10</v>
      </c>
      <c r="I76" s="1031">
        <v>0</v>
      </c>
      <c r="J76" s="693"/>
      <c r="K76" s="693"/>
      <c r="L76" s="155" t="s">
        <v>279</v>
      </c>
      <c r="M76" s="1">
        <f>ROWS(L$37:$L76)</f>
        <v>40</v>
      </c>
      <c r="N76" s="663" t="str">
        <f>IF(ID!$A$85=L76,M76,"")</f>
        <v/>
      </c>
      <c r="O76" s="663" t="str">
        <f>IFERROR(SMALL($N$37:$N$237,ROWS($N$37:N76)),"")</f>
        <v/>
      </c>
    </row>
    <row r="77" spans="6:15" x14ac:dyDescent="0.25">
      <c r="F77" s="555"/>
      <c r="G77" s="693"/>
      <c r="H77" s="693">
        <v>30</v>
      </c>
      <c r="I77" s="693">
        <v>0.01</v>
      </c>
      <c r="J77" s="693"/>
      <c r="K77" s="693"/>
      <c r="L77" s="155" t="s">
        <v>279</v>
      </c>
      <c r="M77" s="1">
        <f>ROWS(L$37:$L77)</f>
        <v>41</v>
      </c>
      <c r="N77" s="663" t="str">
        <f>IF(ID!$A$85=L77,M77,"")</f>
        <v/>
      </c>
      <c r="O77" s="663" t="str">
        <f>IFERROR(SMALL($N$37:$N$237,ROWS($N$37:N77)),"")</f>
        <v/>
      </c>
    </row>
    <row r="78" spans="6:15" x14ac:dyDescent="0.25">
      <c r="F78" s="555"/>
      <c r="G78" s="555"/>
      <c r="H78" s="555"/>
      <c r="I78" s="555"/>
      <c r="J78" s="555"/>
      <c r="K78" s="555"/>
      <c r="L78" s="555"/>
      <c r="M78" s="1">
        <f>ROWS(L$37:$L78)</f>
        <v>42</v>
      </c>
      <c r="N78" s="663" t="str">
        <f>IF(ID!$A$85=L78,M78,"")</f>
        <v/>
      </c>
      <c r="O78" s="663" t="str">
        <f>IFERROR(SMALL($N$37:$N$237,ROWS($N$37:N78)),"")</f>
        <v/>
      </c>
    </row>
    <row r="79" spans="6:15" x14ac:dyDescent="0.25">
      <c r="F79" s="555"/>
      <c r="G79" s="555"/>
      <c r="H79" s="555"/>
      <c r="I79" s="555"/>
      <c r="J79" s="555"/>
      <c r="K79" s="555"/>
      <c r="L79" s="555"/>
      <c r="M79" s="1">
        <f>ROWS(L$37:$L79)</f>
        <v>43</v>
      </c>
      <c r="N79" s="663" t="str">
        <f>IF(ID!$A$85=L79,M79,"")</f>
        <v/>
      </c>
      <c r="O79" s="663" t="str">
        <f>IFERROR(SMALL($N$37:$N$237,ROWS($N$37:N79)),"")</f>
        <v/>
      </c>
    </row>
    <row r="80" spans="6:15" x14ac:dyDescent="0.25">
      <c r="F80" s="555"/>
      <c r="G80" s="555"/>
      <c r="H80" s="555"/>
      <c r="I80" s="555"/>
      <c r="J80" s="555"/>
      <c r="K80" s="555"/>
      <c r="L80" s="555"/>
      <c r="M80" s="1">
        <f>ROWS(L$37:$L80)</f>
        <v>44</v>
      </c>
      <c r="N80" s="663" t="str">
        <f>IF(ID!$A$85=L80,M80,"")</f>
        <v/>
      </c>
      <c r="O80" s="663" t="str">
        <f>IFERROR(SMALL($N$37:$N$237,ROWS($N$37:N80)),"")</f>
        <v/>
      </c>
    </row>
    <row r="81" spans="6:15" x14ac:dyDescent="0.25">
      <c r="F81" s="555"/>
      <c r="G81" s="555"/>
      <c r="H81" s="555"/>
      <c r="I81" s="555"/>
      <c r="J81" s="555"/>
      <c r="K81" s="555"/>
      <c r="L81" s="555"/>
      <c r="M81" s="1">
        <f>ROWS(L$37:$L81)</f>
        <v>45</v>
      </c>
      <c r="N81" s="663" t="str">
        <f>IF(ID!$A$85=L81,M81,"")</f>
        <v/>
      </c>
      <c r="O81" s="663" t="str">
        <f>IFERROR(SMALL($N$37:$N$237,ROWS($N$37:N81)),"")</f>
        <v/>
      </c>
    </row>
    <row r="82" spans="6:15" x14ac:dyDescent="0.25">
      <c r="F82" s="555"/>
      <c r="G82" s="555"/>
      <c r="H82" s="555"/>
      <c r="I82" s="555"/>
      <c r="J82" s="555"/>
      <c r="K82" s="555"/>
      <c r="L82" s="555"/>
      <c r="M82" s="1">
        <f>ROWS(L$37:$L82)</f>
        <v>46</v>
      </c>
      <c r="N82" s="663" t="str">
        <f>IF(ID!$A$85=L82,M82,"")</f>
        <v/>
      </c>
      <c r="O82" s="663" t="str">
        <f>IFERROR(SMALL($N$37:$N$237,ROWS($N$37:N82)),"")</f>
        <v/>
      </c>
    </row>
    <row r="83" spans="6:15" x14ac:dyDescent="0.25">
      <c r="F83" s="555"/>
      <c r="G83" s="555"/>
      <c r="H83" s="555"/>
      <c r="I83" s="555"/>
      <c r="J83" s="555"/>
      <c r="K83" s="555"/>
      <c r="L83" s="555"/>
      <c r="M83" s="1">
        <f>ROWS(L$37:$L83)</f>
        <v>47</v>
      </c>
      <c r="N83" s="663" t="str">
        <f>IF(ID!$A$85=L83,M83,"")</f>
        <v/>
      </c>
      <c r="O83" s="663" t="str">
        <f>IFERROR(SMALL($N$37:$N$237,ROWS($N$37:N83)),"")</f>
        <v/>
      </c>
    </row>
    <row r="84" spans="6:15" x14ac:dyDescent="0.25">
      <c r="F84" s="560"/>
      <c r="G84" s="560"/>
      <c r="H84" s="560"/>
      <c r="I84" s="560"/>
      <c r="J84" s="560"/>
      <c r="K84" s="560"/>
      <c r="L84" s="560"/>
      <c r="M84" s="1">
        <f>ROWS(L$37:$L84)</f>
        <v>48</v>
      </c>
      <c r="N84" s="663" t="str">
        <f>IF(ID!$A$85=L84,M84,"")</f>
        <v/>
      </c>
      <c r="O84" s="663" t="str">
        <f>IFERROR(SMALL($N$37:$N$237,ROWS($N$37:N84)),"")</f>
        <v/>
      </c>
    </row>
    <row r="85" spans="6:15" x14ac:dyDescent="0.25">
      <c r="F85" s="555"/>
      <c r="G85" s="555"/>
      <c r="H85" s="555"/>
      <c r="I85" s="555"/>
      <c r="J85" s="555"/>
      <c r="K85" s="555"/>
      <c r="L85" s="555"/>
      <c r="M85" s="1">
        <f>ROWS(L$37:$L85)</f>
        <v>49</v>
      </c>
      <c r="N85" s="663" t="str">
        <f>IF(ID!$A$85=L85,M85,"")</f>
        <v/>
      </c>
      <c r="O85" s="663" t="str">
        <f>IFERROR(SMALL($N$37:$N$237,ROWS($N$37:N85)),"")</f>
        <v/>
      </c>
    </row>
    <row r="86" spans="6:15" x14ac:dyDescent="0.25">
      <c r="F86" s="555"/>
      <c r="G86" s="827" t="s">
        <v>450</v>
      </c>
      <c r="H86" s="693">
        <v>0</v>
      </c>
      <c r="I86" s="1031">
        <v>0</v>
      </c>
      <c r="J86" s="693"/>
      <c r="K86" s="1032" t="s">
        <v>585</v>
      </c>
      <c r="L86" s="155" t="s">
        <v>281</v>
      </c>
      <c r="M86" s="1">
        <f>ROWS(L$37:$L86)</f>
        <v>50</v>
      </c>
      <c r="N86" s="663" t="str">
        <f>IF(ID!$A$85=L86,M86,"")</f>
        <v/>
      </c>
      <c r="O86" s="663" t="str">
        <f>IFERROR(SMALL($N$37:$N$237,ROWS($N$37:N86)),"")</f>
        <v/>
      </c>
    </row>
    <row r="87" spans="6:15" x14ac:dyDescent="0.25">
      <c r="F87" s="555"/>
      <c r="G87" s="693"/>
      <c r="H87" s="693">
        <v>10</v>
      </c>
      <c r="I87" s="1031">
        <v>0</v>
      </c>
      <c r="J87" s="693"/>
      <c r="K87" s="693"/>
      <c r="L87" s="155" t="s">
        <v>281</v>
      </c>
      <c r="M87" s="1">
        <f>ROWS(L$37:$L87)</f>
        <v>51</v>
      </c>
      <c r="N87" s="663" t="str">
        <f>IF(ID!$A$85=L87,M87,"")</f>
        <v/>
      </c>
      <c r="O87" s="663" t="str">
        <f>IFERROR(SMALL($N$37:$N$237,ROWS($N$37:N87)),"")</f>
        <v/>
      </c>
    </row>
    <row r="88" spans="6:15" x14ac:dyDescent="0.25">
      <c r="F88" s="555"/>
      <c r="G88" s="693"/>
      <c r="H88" s="693">
        <v>30</v>
      </c>
      <c r="I88" s="1031">
        <v>0</v>
      </c>
      <c r="J88" s="693"/>
      <c r="K88" s="693"/>
      <c r="L88" s="155" t="s">
        <v>281</v>
      </c>
      <c r="M88" s="1">
        <f>ROWS(L$37:$L88)</f>
        <v>52</v>
      </c>
      <c r="N88" s="663" t="str">
        <f>IF(ID!$A$85=L88,M88,"")</f>
        <v/>
      </c>
      <c r="O88" s="663" t="str">
        <f>IFERROR(SMALL($N$37:$N$237,ROWS($N$37:N88)),"")</f>
        <v/>
      </c>
    </row>
    <row r="89" spans="6:15" x14ac:dyDescent="0.25">
      <c r="F89" s="555"/>
      <c r="G89" s="555"/>
      <c r="H89" s="555"/>
      <c r="I89" s="555"/>
      <c r="J89" s="555"/>
      <c r="K89" s="555"/>
      <c r="L89" s="561"/>
      <c r="M89" s="1">
        <f>ROWS(L$37:$L89)</f>
        <v>53</v>
      </c>
      <c r="N89" s="663" t="str">
        <f>IF(ID!$A$85=L89,M89,"")</f>
        <v/>
      </c>
      <c r="O89" s="663" t="str">
        <f>IFERROR(SMALL($N$37:$N$237,ROWS($N$37:N89)),"")</f>
        <v/>
      </c>
    </row>
    <row r="90" spans="6:15" x14ac:dyDescent="0.25">
      <c r="F90" s="555"/>
      <c r="G90" s="555"/>
      <c r="H90" s="555"/>
      <c r="I90" s="555"/>
      <c r="J90" s="555"/>
      <c r="K90" s="555"/>
      <c r="L90" s="555"/>
      <c r="M90" s="1">
        <f>ROWS(L$37:$L90)</f>
        <v>54</v>
      </c>
      <c r="N90" s="663" t="str">
        <f>IF(ID!$A$85=L90,M90,"")</f>
        <v/>
      </c>
      <c r="O90" s="663" t="str">
        <f>IFERROR(SMALL($N$37:$N$237,ROWS($N$37:N90)),"")</f>
        <v/>
      </c>
    </row>
    <row r="91" spans="6:15" x14ac:dyDescent="0.25">
      <c r="F91" s="555"/>
      <c r="G91" s="555"/>
      <c r="H91" s="555"/>
      <c r="I91" s="555"/>
      <c r="J91" s="555"/>
      <c r="K91" s="555"/>
      <c r="L91" s="555"/>
      <c r="M91" s="1">
        <f>ROWS(L$37:$L91)</f>
        <v>55</v>
      </c>
      <c r="N91" s="663" t="str">
        <f>IF(ID!$A$85=L91,M91,"")</f>
        <v/>
      </c>
      <c r="O91" s="663" t="str">
        <f>IFERROR(SMALL($N$37:$N$237,ROWS($N$37:N91)),"")</f>
        <v/>
      </c>
    </row>
    <row r="92" spans="6:15" x14ac:dyDescent="0.25">
      <c r="F92" s="555"/>
      <c r="G92" s="555"/>
      <c r="H92" s="555"/>
      <c r="I92" s="555"/>
      <c r="J92" s="555"/>
      <c r="K92" s="555"/>
      <c r="L92" s="555"/>
      <c r="M92" s="1">
        <f>ROWS(L$37:$L92)</f>
        <v>56</v>
      </c>
      <c r="N92" s="663" t="str">
        <f>IF(ID!$A$85=L92,M92,"")</f>
        <v/>
      </c>
      <c r="O92" s="663" t="str">
        <f>IFERROR(SMALL($N$37:$N$237,ROWS($N$37:N92)),"")</f>
        <v/>
      </c>
    </row>
    <row r="93" spans="6:15" x14ac:dyDescent="0.25">
      <c r="F93" s="555"/>
      <c r="G93" s="555"/>
      <c r="H93" s="555"/>
      <c r="I93" s="555"/>
      <c r="J93" s="555"/>
      <c r="K93" s="555"/>
      <c r="L93" s="555"/>
      <c r="M93" s="1">
        <f>ROWS(L$37:$L93)</f>
        <v>57</v>
      </c>
      <c r="N93" s="663" t="str">
        <f>IF(ID!$A$85=L93,M93,"")</f>
        <v/>
      </c>
      <c r="O93" s="663" t="str">
        <f>IFERROR(SMALL($N$37:$N$237,ROWS($N$37:N93)),"")</f>
        <v/>
      </c>
    </row>
    <row r="94" spans="6:15" x14ac:dyDescent="0.25">
      <c r="F94" s="555"/>
      <c r="G94" s="555"/>
      <c r="H94" s="555"/>
      <c r="I94" s="555"/>
      <c r="J94" s="555"/>
      <c r="K94" s="555"/>
      <c r="L94" s="555"/>
      <c r="M94" s="1">
        <f>ROWS(L$37:$L94)</f>
        <v>58</v>
      </c>
      <c r="N94" s="663" t="str">
        <f>IF(ID!$A$85=L94,M94,"")</f>
        <v/>
      </c>
      <c r="O94" s="663" t="str">
        <f>IFERROR(SMALL($N$37:$N$237,ROWS($N$37:N94)),"")</f>
        <v/>
      </c>
    </row>
    <row r="95" spans="6:15" x14ac:dyDescent="0.25">
      <c r="F95" s="555"/>
      <c r="G95" s="555"/>
      <c r="H95" s="555"/>
      <c r="I95" s="555"/>
      <c r="J95" s="555"/>
      <c r="K95" s="555"/>
      <c r="L95" s="555"/>
      <c r="M95" s="1">
        <f>ROWS(L$37:$L95)</f>
        <v>59</v>
      </c>
      <c r="N95" s="663" t="str">
        <f>IF(ID!$A$85=L95,M95,"")</f>
        <v/>
      </c>
      <c r="O95" s="663" t="str">
        <f>IFERROR(SMALL($N$37:$N$237,ROWS($N$37:N95)),"")</f>
        <v/>
      </c>
    </row>
    <row r="96" spans="6:15" x14ac:dyDescent="0.25">
      <c r="F96" s="555"/>
      <c r="G96" s="555"/>
      <c r="H96" s="555"/>
      <c r="I96" s="555"/>
      <c r="J96" s="555"/>
      <c r="K96" s="555"/>
      <c r="L96" s="555"/>
      <c r="M96" s="1">
        <f>ROWS(L$37:$L96)</f>
        <v>60</v>
      </c>
      <c r="N96" s="663" t="str">
        <f>IF(ID!$A$85=L96,M96,"")</f>
        <v/>
      </c>
      <c r="O96" s="663" t="str">
        <f>IFERROR(SMALL($N$37:$N$237,ROWS($N$37:N96)),"")</f>
        <v/>
      </c>
    </row>
    <row r="97" spans="6:15" x14ac:dyDescent="0.25">
      <c r="F97" s="560"/>
      <c r="G97" s="560"/>
      <c r="H97" s="560"/>
      <c r="I97" s="560"/>
      <c r="J97" s="560"/>
      <c r="K97" s="560"/>
      <c r="L97" s="560"/>
      <c r="M97" s="1">
        <f>ROWS(L$37:$L97)</f>
        <v>61</v>
      </c>
      <c r="N97" s="663" t="str">
        <f>IF(ID!$A$85=L97,M97,"")</f>
        <v/>
      </c>
      <c r="O97" s="663" t="str">
        <f>IFERROR(SMALL($N$37:$N$237,ROWS($N$37:N97)),"")</f>
        <v/>
      </c>
    </row>
    <row r="98" spans="6:15" x14ac:dyDescent="0.25">
      <c r="F98" s="555"/>
      <c r="G98" s="555"/>
      <c r="H98" s="555"/>
      <c r="I98" s="555"/>
      <c r="J98" s="555"/>
      <c r="K98" s="555"/>
      <c r="L98" s="555"/>
      <c r="M98" s="1">
        <f>ROWS(L$37:$L98)</f>
        <v>62</v>
      </c>
      <c r="N98" s="663" t="str">
        <f>IF(ID!$A$85=L98,M98,"")</f>
        <v/>
      </c>
      <c r="O98" s="663" t="str">
        <f>IFERROR(SMALL($N$37:$N$237,ROWS($N$37:N98)),"")</f>
        <v/>
      </c>
    </row>
    <row r="99" spans="6:15" x14ac:dyDescent="0.25">
      <c r="F99" s="555"/>
      <c r="G99" s="827" t="s">
        <v>526</v>
      </c>
      <c r="H99" s="693">
        <v>0</v>
      </c>
      <c r="I99" s="1031">
        <v>0</v>
      </c>
      <c r="J99" s="693"/>
      <c r="K99" s="1032" t="s">
        <v>585</v>
      </c>
      <c r="L99" s="155" t="s">
        <v>282</v>
      </c>
      <c r="M99" s="1">
        <f>ROWS(L$37:$L99)</f>
        <v>63</v>
      </c>
      <c r="N99" s="663" t="str">
        <f>IF(ID!$A$85=L99,M99,"")</f>
        <v/>
      </c>
      <c r="O99" s="663" t="str">
        <f>IFERROR(SMALL($N$37:$N$237,ROWS($N$37:N99)),"")</f>
        <v/>
      </c>
    </row>
    <row r="100" spans="6:15" x14ac:dyDescent="0.25">
      <c r="F100" s="555"/>
      <c r="G100" s="693"/>
      <c r="H100" s="693">
        <v>10</v>
      </c>
      <c r="I100" s="693">
        <v>0.01</v>
      </c>
      <c r="J100" s="693"/>
      <c r="K100" s="693"/>
      <c r="L100" s="155" t="s">
        <v>282</v>
      </c>
      <c r="M100" s="1">
        <f>ROWS(L$37:$L100)</f>
        <v>64</v>
      </c>
      <c r="N100" s="663" t="str">
        <f>IF(ID!$A$85=L100,M100,"")</f>
        <v/>
      </c>
      <c r="O100" s="663" t="str">
        <f>IFERROR(SMALL($N$37:$N$237,ROWS($N$37:N100)),"")</f>
        <v/>
      </c>
    </row>
    <row r="101" spans="6:15" x14ac:dyDescent="0.25">
      <c r="F101" s="555"/>
      <c r="G101" s="693"/>
      <c r="H101" s="693">
        <v>30</v>
      </c>
      <c r="I101" s="1031">
        <v>0</v>
      </c>
      <c r="J101" s="693"/>
      <c r="K101" s="693"/>
      <c r="L101" s="155" t="s">
        <v>282</v>
      </c>
      <c r="M101" s="1">
        <f>ROWS(L$37:$L101)</f>
        <v>65</v>
      </c>
      <c r="N101" s="663" t="str">
        <f>IF(ID!$A$85=L101,M101,"")</f>
        <v/>
      </c>
      <c r="O101" s="663" t="str">
        <f>IFERROR(SMALL($N$37:$N$237,ROWS($N$37:N101)),"")</f>
        <v/>
      </c>
    </row>
    <row r="102" spans="6:15" x14ac:dyDescent="0.25">
      <c r="F102" s="555"/>
      <c r="G102" s="555"/>
      <c r="H102" s="555"/>
      <c r="I102" s="555"/>
      <c r="J102" s="555"/>
      <c r="K102" s="555"/>
      <c r="L102" s="555"/>
      <c r="M102" s="1">
        <f>ROWS(L$37:$L102)</f>
        <v>66</v>
      </c>
      <c r="N102" s="663" t="str">
        <f>IF(ID!$A$85=L102,M102,"")</f>
        <v/>
      </c>
      <c r="O102" s="663" t="str">
        <f>IFERROR(SMALL($N$37:$N$237,ROWS($N$37:N102)),"")</f>
        <v/>
      </c>
    </row>
    <row r="103" spans="6:15" x14ac:dyDescent="0.25">
      <c r="F103" s="555"/>
      <c r="G103" s="555"/>
      <c r="H103" s="555"/>
      <c r="I103" s="555"/>
      <c r="J103" s="555"/>
      <c r="K103" s="555"/>
      <c r="L103" s="555"/>
      <c r="M103" s="1">
        <f>ROWS(L$37:$L103)</f>
        <v>67</v>
      </c>
      <c r="N103" s="663" t="str">
        <f>IF(ID!$A$85=L103,M103,"")</f>
        <v/>
      </c>
      <c r="O103" s="663" t="str">
        <f>IFERROR(SMALL($N$37:$N$237,ROWS($N$37:N103)),"")</f>
        <v/>
      </c>
    </row>
    <row r="104" spans="6:15" x14ac:dyDescent="0.25">
      <c r="F104" s="555"/>
      <c r="G104" s="555"/>
      <c r="H104" s="555"/>
      <c r="I104" s="555"/>
      <c r="J104" s="555"/>
      <c r="K104" s="555"/>
      <c r="L104" s="555"/>
      <c r="M104" s="1">
        <f>ROWS(L$37:$L104)</f>
        <v>68</v>
      </c>
      <c r="N104" s="663" t="str">
        <f>IF(ID!$A$85=L104,M104,"")</f>
        <v/>
      </c>
      <c r="O104" s="663" t="str">
        <f>IFERROR(SMALL($N$37:$N$237,ROWS($N$37:N104)),"")</f>
        <v/>
      </c>
    </row>
    <row r="105" spans="6:15" x14ac:dyDescent="0.25">
      <c r="F105" s="555"/>
      <c r="G105" s="555"/>
      <c r="H105" s="555"/>
      <c r="I105" s="555"/>
      <c r="J105" s="555"/>
      <c r="K105" s="555"/>
      <c r="L105" s="555"/>
      <c r="M105" s="1">
        <f>ROWS(L$37:$L105)</f>
        <v>69</v>
      </c>
      <c r="N105" s="663" t="str">
        <f>IF(ID!$A$85=L105,M105,"")</f>
        <v/>
      </c>
      <c r="O105" s="663" t="str">
        <f>IFERROR(SMALL($N$37:$N$237,ROWS($N$37:N105)),"")</f>
        <v/>
      </c>
    </row>
    <row r="106" spans="6:15" x14ac:dyDescent="0.25">
      <c r="F106" s="555"/>
      <c r="G106" s="555"/>
      <c r="H106" s="555"/>
      <c r="I106" s="555"/>
      <c r="J106" s="555"/>
      <c r="K106" s="555"/>
      <c r="L106" s="555"/>
      <c r="M106" s="1">
        <f>ROWS(L$37:$L106)</f>
        <v>70</v>
      </c>
      <c r="N106" s="663" t="str">
        <f>IF(ID!$A$85=L106,M106,"")</f>
        <v/>
      </c>
      <c r="O106" s="663" t="str">
        <f>IFERROR(SMALL($N$37:$N$237,ROWS($N$37:N106)),"")</f>
        <v/>
      </c>
    </row>
    <row r="107" spans="6:15" x14ac:dyDescent="0.25">
      <c r="F107" s="555"/>
      <c r="G107" s="555"/>
      <c r="H107" s="555"/>
      <c r="I107" s="555"/>
      <c r="J107" s="555"/>
      <c r="K107" s="555"/>
      <c r="L107" s="555"/>
      <c r="M107" s="1">
        <f>ROWS(L$37:$L107)</f>
        <v>71</v>
      </c>
      <c r="N107" s="663" t="str">
        <f>IF(ID!$A$85=L107,M107,"")</f>
        <v/>
      </c>
      <c r="O107" s="663" t="str">
        <f>IFERROR(SMALL($N$37:$N$237,ROWS($N$37:N107)),"")</f>
        <v/>
      </c>
    </row>
    <row r="108" spans="6:15" x14ac:dyDescent="0.25">
      <c r="F108" s="555"/>
      <c r="G108" s="555"/>
      <c r="H108" s="555"/>
      <c r="I108" s="555"/>
      <c r="J108" s="555"/>
      <c r="K108" s="555"/>
      <c r="L108" s="555"/>
      <c r="M108" s="1">
        <f>ROWS(L$37:$L108)</f>
        <v>72</v>
      </c>
      <c r="N108" s="663" t="str">
        <f>IF(ID!$A$85=L108,M108,"")</f>
        <v/>
      </c>
      <c r="O108" s="663" t="str">
        <f>IFERROR(SMALL($N$37:$N$237,ROWS($N$37:N108)),"")</f>
        <v/>
      </c>
    </row>
    <row r="109" spans="6:15" x14ac:dyDescent="0.25">
      <c r="F109" s="555"/>
      <c r="G109" s="555"/>
      <c r="H109" s="555"/>
      <c r="I109" s="555"/>
      <c r="J109" s="555"/>
      <c r="K109" s="555"/>
      <c r="L109" s="555"/>
      <c r="M109" s="1">
        <f>ROWS(L$37:$L109)</f>
        <v>73</v>
      </c>
      <c r="N109" s="663" t="str">
        <f>IF(ID!$A$85=L109,M109,"")</f>
        <v/>
      </c>
      <c r="O109" s="663" t="str">
        <f>IFERROR(SMALL($N$37:$N$237,ROWS($N$37:N109)),"")</f>
        <v/>
      </c>
    </row>
    <row r="110" spans="6:15" x14ac:dyDescent="0.25">
      <c r="F110" s="560"/>
      <c r="G110" s="560"/>
      <c r="H110" s="560"/>
      <c r="I110" s="560"/>
      <c r="J110" s="560"/>
      <c r="K110" s="560"/>
      <c r="L110" s="560"/>
      <c r="M110" s="1">
        <f>ROWS(L$37:$L110)</f>
        <v>74</v>
      </c>
      <c r="N110" s="663" t="str">
        <f>IF(ID!$A$85=L110,M110,"")</f>
        <v/>
      </c>
      <c r="O110" s="663" t="str">
        <f>IFERROR(SMALL($N$37:$N$237,ROWS($N$37:N110)),"")</f>
        <v/>
      </c>
    </row>
    <row r="111" spans="6:15" x14ac:dyDescent="0.25">
      <c r="F111" s="555"/>
      <c r="G111" s="555"/>
      <c r="H111" s="555"/>
      <c r="I111" s="555"/>
      <c r="J111" s="555"/>
      <c r="K111" s="555"/>
      <c r="L111" s="555"/>
      <c r="M111" s="1">
        <f>ROWS(L$37:$L111)</f>
        <v>75</v>
      </c>
      <c r="N111" s="663" t="str">
        <f>IF(ID!$A$85=L111,M111,"")</f>
        <v/>
      </c>
      <c r="O111" s="663" t="str">
        <f>IFERROR(SMALL($N$37:$N$237,ROWS($N$37:N111)),"")</f>
        <v/>
      </c>
    </row>
    <row r="112" spans="6:15" x14ac:dyDescent="0.25">
      <c r="F112" s="693"/>
      <c r="G112" s="827" t="s">
        <v>425</v>
      </c>
      <c r="H112" s="693">
        <v>0</v>
      </c>
      <c r="I112" s="1031">
        <v>0</v>
      </c>
      <c r="J112" s="693"/>
      <c r="K112" s="1032" t="s">
        <v>585</v>
      </c>
      <c r="L112" s="155" t="s">
        <v>276</v>
      </c>
      <c r="M112" s="1">
        <f>ROWS(L$37:$L112)</f>
        <v>76</v>
      </c>
      <c r="N112" s="663" t="str">
        <f>IF(ID!$A$85=L112,M112,"")</f>
        <v/>
      </c>
      <c r="O112" s="663" t="str">
        <f>IFERROR(SMALL($N$37:$N$237,ROWS($N$37:N112)),"")</f>
        <v/>
      </c>
    </row>
    <row r="113" spans="6:15" x14ac:dyDescent="0.25">
      <c r="F113" s="693"/>
      <c r="G113" s="693"/>
      <c r="H113" s="693">
        <v>10</v>
      </c>
      <c r="I113" s="1031">
        <v>0</v>
      </c>
      <c r="J113" s="693"/>
      <c r="K113" s="693"/>
      <c r="L113" s="155" t="s">
        <v>276</v>
      </c>
      <c r="M113" s="1">
        <f>ROWS(L$37:$L113)</f>
        <v>77</v>
      </c>
      <c r="N113" s="663" t="str">
        <f>IF(ID!$A$85=L113,M113,"")</f>
        <v/>
      </c>
      <c r="O113" s="663" t="str">
        <f>IFERROR(SMALL($N$37:$N$237,ROWS($N$37:N113)),"")</f>
        <v/>
      </c>
    </row>
    <row r="114" spans="6:15" x14ac:dyDescent="0.25">
      <c r="F114" s="693"/>
      <c r="G114" s="693"/>
      <c r="H114" s="693">
        <v>30</v>
      </c>
      <c r="I114" s="1031">
        <v>0</v>
      </c>
      <c r="J114" s="693"/>
      <c r="K114" s="693"/>
      <c r="L114" s="155" t="s">
        <v>276</v>
      </c>
      <c r="M114" s="1">
        <f>ROWS(L$37:$L114)</f>
        <v>78</v>
      </c>
      <c r="N114" s="663" t="str">
        <f>IF(ID!$A$85=L114,M114,"")</f>
        <v/>
      </c>
      <c r="O114" s="663" t="str">
        <f>IFERROR(SMALL($N$37:$N$237,ROWS($N$37:N114)),"")</f>
        <v/>
      </c>
    </row>
    <row r="115" spans="6:15" x14ac:dyDescent="0.25">
      <c r="F115" s="555"/>
      <c r="G115" s="555"/>
      <c r="H115" s="555"/>
      <c r="I115" s="555"/>
      <c r="J115" s="555"/>
      <c r="K115" s="555"/>
      <c r="L115" s="555"/>
      <c r="M115" s="1">
        <f>ROWS(L$37:$L115)</f>
        <v>79</v>
      </c>
      <c r="N115" s="663" t="str">
        <f>IF(ID!$A$85=L115,M115,"")</f>
        <v/>
      </c>
      <c r="O115" s="663" t="str">
        <f>IFERROR(SMALL($N$37:$N$237,ROWS($N$37:N115)),"")</f>
        <v/>
      </c>
    </row>
    <row r="116" spans="6:15" x14ac:dyDescent="0.25">
      <c r="F116" s="555"/>
      <c r="G116" s="555"/>
      <c r="H116" s="555"/>
      <c r="I116" s="555"/>
      <c r="J116" s="555"/>
      <c r="K116" s="555"/>
      <c r="L116" s="555"/>
      <c r="M116" s="1">
        <f>ROWS(L$37:$L116)</f>
        <v>80</v>
      </c>
      <c r="N116" s="663" t="str">
        <f>IF(ID!$A$85=L116,M116,"")</f>
        <v/>
      </c>
      <c r="O116" s="663" t="str">
        <f>IFERROR(SMALL($N$37:$N$237,ROWS($N$37:N116)),"")</f>
        <v/>
      </c>
    </row>
    <row r="117" spans="6:15" x14ac:dyDescent="0.25">
      <c r="F117" s="555"/>
      <c r="G117" s="555"/>
      <c r="H117" s="555"/>
      <c r="I117" s="555"/>
      <c r="J117" s="555"/>
      <c r="K117" s="555"/>
      <c r="L117" s="555"/>
      <c r="M117" s="1">
        <f>ROWS(L$37:$L117)</f>
        <v>81</v>
      </c>
      <c r="N117" s="663" t="str">
        <f>IF(ID!$A$85=L117,M117,"")</f>
        <v/>
      </c>
      <c r="O117" s="663" t="str">
        <f>IFERROR(SMALL($N$37:$N$237,ROWS($N$37:N117)),"")</f>
        <v/>
      </c>
    </row>
    <row r="118" spans="6:15" x14ac:dyDescent="0.25">
      <c r="F118" s="555"/>
      <c r="G118" s="555"/>
      <c r="H118" s="555"/>
      <c r="I118" s="555"/>
      <c r="J118" s="555"/>
      <c r="K118" s="555"/>
      <c r="L118" s="555"/>
      <c r="M118" s="1">
        <f>ROWS(L$37:$L118)</f>
        <v>82</v>
      </c>
      <c r="N118" s="663" t="str">
        <f>IF(ID!$A$85=L118,M118,"")</f>
        <v/>
      </c>
      <c r="O118" s="663" t="str">
        <f>IFERROR(SMALL($N$37:$N$237,ROWS($N$37:N118)),"")</f>
        <v/>
      </c>
    </row>
    <row r="119" spans="6:15" x14ac:dyDescent="0.25">
      <c r="F119" s="555"/>
      <c r="G119" s="555"/>
      <c r="H119" s="555"/>
      <c r="I119" s="555"/>
      <c r="J119" s="555"/>
      <c r="K119" s="555"/>
      <c r="L119" s="555"/>
      <c r="M119" s="1">
        <f>ROWS(L$37:$L119)</f>
        <v>83</v>
      </c>
      <c r="N119" s="663" t="str">
        <f>IF(ID!$A$85=L119,M119,"")</f>
        <v/>
      </c>
      <c r="O119" s="663" t="str">
        <f>IFERROR(SMALL($N$37:$N$237,ROWS($N$37:N119)),"")</f>
        <v/>
      </c>
    </row>
    <row r="120" spans="6:15" x14ac:dyDescent="0.25">
      <c r="F120" s="555"/>
      <c r="G120" s="555"/>
      <c r="H120" s="555"/>
      <c r="I120" s="555"/>
      <c r="J120" s="555"/>
      <c r="K120" s="555"/>
      <c r="L120" s="555"/>
      <c r="M120" s="1">
        <f>ROWS(L$37:$L120)</f>
        <v>84</v>
      </c>
      <c r="N120" s="663" t="str">
        <f>IF(ID!$A$85=L120,M120,"")</f>
        <v/>
      </c>
      <c r="O120" s="663" t="str">
        <f>IFERROR(SMALL($N$37:$N$237,ROWS($N$37:N120)),"")</f>
        <v/>
      </c>
    </row>
    <row r="121" spans="6:15" x14ac:dyDescent="0.25">
      <c r="F121" s="555"/>
      <c r="G121" s="555"/>
      <c r="H121" s="555"/>
      <c r="I121" s="555"/>
      <c r="J121" s="555"/>
      <c r="K121" s="555"/>
      <c r="L121" s="555"/>
      <c r="M121" s="1">
        <f>ROWS(L$37:$L121)</f>
        <v>85</v>
      </c>
      <c r="N121" s="663" t="str">
        <f>IF(ID!$A$85=L121,M121,"")</f>
        <v/>
      </c>
      <c r="O121" s="663" t="str">
        <f>IFERROR(SMALL($N$37:$N$237,ROWS($N$37:N121)),"")</f>
        <v/>
      </c>
    </row>
    <row r="122" spans="6:15" x14ac:dyDescent="0.25">
      <c r="F122" s="560"/>
      <c r="G122" s="560"/>
      <c r="H122" s="560"/>
      <c r="I122" s="560"/>
      <c r="J122" s="560"/>
      <c r="K122" s="560"/>
      <c r="L122" s="560"/>
      <c r="M122" s="1">
        <f>ROWS(L$37:$L122)</f>
        <v>86</v>
      </c>
      <c r="N122" s="663" t="str">
        <f>IF(ID!$A$85=L122,M122,"")</f>
        <v/>
      </c>
      <c r="O122" s="663" t="str">
        <f>IFERROR(SMALL($N$37:$N$237,ROWS($N$37:N122)),"")</f>
        <v/>
      </c>
    </row>
    <row r="123" spans="6:15" x14ac:dyDescent="0.25">
      <c r="F123" s="555"/>
      <c r="G123" s="555"/>
      <c r="H123" s="555"/>
      <c r="I123" s="555"/>
      <c r="J123" s="555"/>
      <c r="K123" s="555"/>
      <c r="L123" s="555"/>
      <c r="M123" s="1">
        <f>ROWS(L$37:$L123)</f>
        <v>87</v>
      </c>
      <c r="N123" s="663" t="str">
        <f>IF(ID!$A$85=L123,M123,"")</f>
        <v/>
      </c>
      <c r="O123" s="663" t="str">
        <f>IFERROR(SMALL($N$37:$N$237,ROWS($N$37:N123)),"")</f>
        <v/>
      </c>
    </row>
    <row r="124" spans="6:15" x14ac:dyDescent="0.25">
      <c r="F124" s="693"/>
      <c r="G124" s="827" t="s">
        <v>526</v>
      </c>
      <c r="H124" s="693">
        <v>0</v>
      </c>
      <c r="I124" s="1031">
        <v>0</v>
      </c>
      <c r="J124" s="693"/>
      <c r="K124" s="1032" t="s">
        <v>585</v>
      </c>
      <c r="L124" s="155" t="s">
        <v>277</v>
      </c>
      <c r="M124" s="1">
        <f>ROWS(L$37:$L124)</f>
        <v>88</v>
      </c>
      <c r="N124" s="663">
        <f>IF(ID!$A$85=L124,M124,"")</f>
        <v>88</v>
      </c>
      <c r="O124" s="663" t="str">
        <f>IFERROR(SMALL($N$37:$N$237,ROWS($N$37:N124)),"")</f>
        <v/>
      </c>
    </row>
    <row r="125" spans="6:15" x14ac:dyDescent="0.25">
      <c r="F125" s="693"/>
      <c r="G125" s="693"/>
      <c r="H125" s="693">
        <v>10</v>
      </c>
      <c r="I125" s="693">
        <v>-0.01</v>
      </c>
      <c r="J125" s="693"/>
      <c r="K125" s="693"/>
      <c r="L125" s="155" t="s">
        <v>277</v>
      </c>
      <c r="M125" s="1">
        <f>ROWS(L$37:$L125)</f>
        <v>89</v>
      </c>
      <c r="N125" s="663">
        <f>IF(ID!$A$85=L125,M125,"")</f>
        <v>89</v>
      </c>
      <c r="O125" s="663" t="str">
        <f>IFERROR(SMALL($N$37:$N$237,ROWS($N$37:N125)),"")</f>
        <v/>
      </c>
    </row>
    <row r="126" spans="6:15" x14ac:dyDescent="0.25">
      <c r="F126" s="693"/>
      <c r="G126" s="693"/>
      <c r="H126" s="693">
        <v>30</v>
      </c>
      <c r="I126" s="693">
        <v>0.01</v>
      </c>
      <c r="J126" s="693"/>
      <c r="K126" s="693"/>
      <c r="L126" s="155" t="s">
        <v>277</v>
      </c>
      <c r="M126" s="1">
        <f>ROWS(L$37:$L126)</f>
        <v>90</v>
      </c>
      <c r="N126" s="663">
        <f>IF(ID!$A$85=L126,M126,"")</f>
        <v>90</v>
      </c>
      <c r="O126" s="663" t="str">
        <f>IFERROR(SMALL($N$37:$N$237,ROWS($N$37:N126)),"")</f>
        <v/>
      </c>
    </row>
    <row r="127" spans="6:15" x14ac:dyDescent="0.25">
      <c r="F127" s="555"/>
      <c r="G127" s="555"/>
      <c r="H127" s="555"/>
      <c r="I127" s="555"/>
      <c r="J127" s="555"/>
      <c r="K127" s="555"/>
      <c r="L127" s="555"/>
      <c r="M127" s="1">
        <f>ROWS(L$37:$L127)</f>
        <v>91</v>
      </c>
      <c r="N127" s="663" t="str">
        <f>IF(ID!$A$85=L127,M127,"")</f>
        <v/>
      </c>
      <c r="O127" s="663" t="str">
        <f>IFERROR(SMALL($N$37:$N$237,ROWS($N$37:N127)),"")</f>
        <v/>
      </c>
    </row>
    <row r="128" spans="6:15" x14ac:dyDescent="0.25">
      <c r="F128" s="555"/>
      <c r="G128" s="555"/>
      <c r="H128" s="555"/>
      <c r="I128" s="555"/>
      <c r="J128" s="555"/>
      <c r="K128" s="555"/>
      <c r="L128" s="555"/>
      <c r="M128" s="1">
        <f>ROWS(L$37:$L128)</f>
        <v>92</v>
      </c>
      <c r="N128" s="663" t="str">
        <f>IF(ID!$A$85=L128,M128,"")</f>
        <v/>
      </c>
      <c r="O128" s="663" t="str">
        <f>IFERROR(SMALL($N$37:$N$237,ROWS($N$37:N128)),"")</f>
        <v/>
      </c>
    </row>
    <row r="129" spans="6:15" x14ac:dyDescent="0.25">
      <c r="F129" s="555"/>
      <c r="G129" s="555"/>
      <c r="H129" s="555"/>
      <c r="I129" s="555"/>
      <c r="J129" s="555"/>
      <c r="K129" s="555"/>
      <c r="L129" s="555"/>
      <c r="M129" s="1">
        <f>ROWS(L$37:$L129)</f>
        <v>93</v>
      </c>
      <c r="N129" s="663" t="str">
        <f>IF(ID!$A$85=L129,M129,"")</f>
        <v/>
      </c>
      <c r="O129" s="663" t="str">
        <f>IFERROR(SMALL($N$37:$N$237,ROWS($N$37:N129)),"")</f>
        <v/>
      </c>
    </row>
    <row r="130" spans="6:15" x14ac:dyDescent="0.25">
      <c r="F130" s="555"/>
      <c r="G130" s="555"/>
      <c r="H130" s="555"/>
      <c r="I130" s="555"/>
      <c r="J130" s="555"/>
      <c r="K130" s="555"/>
      <c r="L130" s="555"/>
      <c r="M130" s="1">
        <f>ROWS(L$37:$L130)</f>
        <v>94</v>
      </c>
      <c r="N130" s="663" t="str">
        <f>IF(ID!$A$85=L130,M130,"")</f>
        <v/>
      </c>
      <c r="O130" s="663" t="str">
        <f>IFERROR(SMALL($N$37:$N$237,ROWS($N$37:N130)),"")</f>
        <v/>
      </c>
    </row>
    <row r="131" spans="6:15" x14ac:dyDescent="0.25">
      <c r="F131" s="555"/>
      <c r="G131" s="555"/>
      <c r="H131" s="555"/>
      <c r="I131" s="555"/>
      <c r="J131" s="555"/>
      <c r="K131" s="555"/>
      <c r="L131" s="555"/>
      <c r="M131" s="1">
        <f>ROWS(L$37:$L131)</f>
        <v>95</v>
      </c>
      <c r="N131" s="663" t="str">
        <f>IF(ID!$A$85=L131,M131,"")</f>
        <v/>
      </c>
      <c r="O131" s="663" t="str">
        <f>IFERROR(SMALL($N$37:$N$237,ROWS($N$37:N131)),"")</f>
        <v/>
      </c>
    </row>
    <row r="132" spans="6:15" x14ac:dyDescent="0.25">
      <c r="F132" s="555"/>
      <c r="G132" s="555"/>
      <c r="H132" s="555"/>
      <c r="I132" s="555"/>
      <c r="J132" s="555"/>
      <c r="K132" s="555"/>
      <c r="L132" s="555"/>
      <c r="M132" s="1">
        <f>ROWS(L$37:$L132)</f>
        <v>96</v>
      </c>
      <c r="N132" s="663" t="str">
        <f>IF(ID!$A$85=L132,M132,"")</f>
        <v/>
      </c>
      <c r="O132" s="663" t="str">
        <f>IFERROR(SMALL($N$37:$N$237,ROWS($N$37:N132)),"")</f>
        <v/>
      </c>
    </row>
    <row r="133" spans="6:15" x14ac:dyDescent="0.25">
      <c r="F133" s="560"/>
      <c r="G133" s="560"/>
      <c r="H133" s="560"/>
      <c r="I133" s="560"/>
      <c r="J133" s="560"/>
      <c r="K133" s="560"/>
      <c r="L133" s="560"/>
      <c r="M133" s="1">
        <f>ROWS(L$37:$L133)</f>
        <v>97</v>
      </c>
      <c r="N133" s="663" t="str">
        <f>IF(ID!$A$85=L133,M133,"")</f>
        <v/>
      </c>
      <c r="O133" s="663" t="str">
        <f>IFERROR(SMALL($N$37:$N$237,ROWS($N$37:N133)),"")</f>
        <v/>
      </c>
    </row>
    <row r="134" spans="6:15" x14ac:dyDescent="0.25">
      <c r="F134" s="555"/>
      <c r="G134" s="555"/>
      <c r="H134" s="555"/>
      <c r="I134" s="555"/>
      <c r="J134" s="555"/>
      <c r="K134" s="555"/>
      <c r="L134" s="555"/>
      <c r="M134" s="1">
        <f>ROWS(L$37:$L134)</f>
        <v>98</v>
      </c>
      <c r="N134" s="663" t="str">
        <f>IF(ID!$A$85=L134,M134,"")</f>
        <v/>
      </c>
      <c r="O134" s="663" t="str">
        <f>IFERROR(SMALL($N$37:$N$237,ROWS($N$37:N134)),"")</f>
        <v/>
      </c>
    </row>
    <row r="135" spans="6:15" x14ac:dyDescent="0.25">
      <c r="F135" s="693"/>
      <c r="G135" s="827" t="s">
        <v>526</v>
      </c>
      <c r="H135" s="693">
        <v>0</v>
      </c>
      <c r="I135" s="1031">
        <v>0</v>
      </c>
      <c r="J135" s="693"/>
      <c r="K135" s="1032" t="s">
        <v>585</v>
      </c>
      <c r="L135" s="155" t="s">
        <v>275</v>
      </c>
      <c r="M135" s="1">
        <f>ROWS(L$37:$L135)</f>
        <v>99</v>
      </c>
      <c r="N135" s="663" t="str">
        <f>IF(ID!$A$85=L135,M135,"")</f>
        <v/>
      </c>
      <c r="O135" s="663" t="str">
        <f>IFERROR(SMALL($N$37:$N$237,ROWS($N$37:N135)),"")</f>
        <v/>
      </c>
    </row>
    <row r="136" spans="6:15" x14ac:dyDescent="0.25">
      <c r="F136" s="693"/>
      <c r="G136" s="693"/>
      <c r="H136" s="693">
        <v>10</v>
      </c>
      <c r="I136" s="693">
        <v>0.01</v>
      </c>
      <c r="J136" s="693"/>
      <c r="K136" s="693"/>
      <c r="L136" s="155" t="s">
        <v>275</v>
      </c>
      <c r="M136" s="1">
        <f>ROWS(L$37:$L136)</f>
        <v>100</v>
      </c>
      <c r="N136" s="663" t="str">
        <f>IF(ID!$A$85=L136,M136,"")</f>
        <v/>
      </c>
      <c r="O136" s="663" t="str">
        <f>IFERROR(SMALL($N$37:$N$237,ROWS($N$37:N136)),"")</f>
        <v/>
      </c>
    </row>
    <row r="137" spans="6:15" x14ac:dyDescent="0.25">
      <c r="F137" s="693"/>
      <c r="G137" s="693"/>
      <c r="H137" s="693">
        <v>30</v>
      </c>
      <c r="I137" s="693">
        <v>0.01</v>
      </c>
      <c r="J137" s="693"/>
      <c r="K137" s="693"/>
      <c r="L137" s="155" t="s">
        <v>275</v>
      </c>
      <c r="M137" s="1">
        <f>ROWS(L$37:$L137)</f>
        <v>101</v>
      </c>
      <c r="N137" s="663" t="str">
        <f>IF(ID!$A$85=L137,M137,"")</f>
        <v/>
      </c>
      <c r="O137" s="663" t="str">
        <f>IFERROR(SMALL($N$37:$N$237,ROWS($N$37:N137)),"")</f>
        <v/>
      </c>
    </row>
    <row r="138" spans="6:15" x14ac:dyDescent="0.25">
      <c r="F138" s="555"/>
      <c r="G138" s="555"/>
      <c r="H138" s="555"/>
      <c r="I138" s="555"/>
      <c r="J138" s="555"/>
      <c r="K138" s="555"/>
      <c r="L138" s="555"/>
      <c r="M138" s="1">
        <f>ROWS(L$37:$L138)</f>
        <v>102</v>
      </c>
      <c r="N138" s="663" t="str">
        <f>IF(ID!$A$85=L138,M138,"")</f>
        <v/>
      </c>
      <c r="O138" s="663" t="str">
        <f>IFERROR(SMALL($N$37:$N$237,ROWS($N$37:N138)),"")</f>
        <v/>
      </c>
    </row>
    <row r="139" spans="6:15" x14ac:dyDescent="0.25">
      <c r="F139" s="555"/>
      <c r="G139" s="555"/>
      <c r="H139" s="555"/>
      <c r="I139" s="555"/>
      <c r="J139" s="555"/>
      <c r="K139" s="555"/>
      <c r="L139" s="555"/>
      <c r="M139" s="1">
        <f>ROWS(L$37:$L139)</f>
        <v>103</v>
      </c>
      <c r="N139" s="663" t="str">
        <f>IF(ID!$A$85=L139,M139,"")</f>
        <v/>
      </c>
      <c r="O139" s="663" t="str">
        <f>IFERROR(SMALL($N$37:$N$237,ROWS($N$37:N139)),"")</f>
        <v/>
      </c>
    </row>
    <row r="140" spans="6:15" x14ac:dyDescent="0.25">
      <c r="F140" s="555"/>
      <c r="G140" s="555"/>
      <c r="H140" s="555"/>
      <c r="I140" s="555"/>
      <c r="J140" s="555"/>
      <c r="K140" s="555"/>
      <c r="L140" s="555"/>
      <c r="M140" s="1">
        <f>ROWS(L$37:$L140)</f>
        <v>104</v>
      </c>
      <c r="N140" s="663" t="str">
        <f>IF(ID!$A$85=L140,M140,"")</f>
        <v/>
      </c>
      <c r="O140" s="663" t="str">
        <f>IFERROR(SMALL($N$37:$N$237,ROWS($N$37:N140)),"")</f>
        <v/>
      </c>
    </row>
    <row r="141" spans="6:15" x14ac:dyDescent="0.25">
      <c r="F141" s="555"/>
      <c r="G141" s="555"/>
      <c r="H141" s="555"/>
      <c r="I141" s="555"/>
      <c r="J141" s="555"/>
      <c r="K141" s="555"/>
      <c r="L141" s="555"/>
      <c r="M141" s="1">
        <f>ROWS(L$37:$L141)</f>
        <v>105</v>
      </c>
      <c r="N141" s="663" t="str">
        <f>IF(ID!$A$85=L141,M141,"")</f>
        <v/>
      </c>
      <c r="O141" s="663" t="str">
        <f>IFERROR(SMALL($N$37:$N$237,ROWS($N$37:N141)),"")</f>
        <v/>
      </c>
    </row>
    <row r="142" spans="6:15" x14ac:dyDescent="0.25">
      <c r="F142" s="555"/>
      <c r="G142" s="555"/>
      <c r="H142" s="555"/>
      <c r="I142" s="555"/>
      <c r="J142" s="555"/>
      <c r="K142" s="555"/>
      <c r="L142" s="555"/>
      <c r="M142" s="1">
        <f>ROWS(L$37:$L142)</f>
        <v>106</v>
      </c>
      <c r="N142" s="663" t="str">
        <f>IF(ID!$A$85=L142,M142,"")</f>
        <v/>
      </c>
      <c r="O142" s="663" t="str">
        <f>IFERROR(SMALL($N$37:$N$237,ROWS($N$37:N142)),"")</f>
        <v/>
      </c>
    </row>
    <row r="143" spans="6:15" x14ac:dyDescent="0.25">
      <c r="F143" s="555"/>
      <c r="G143" s="555"/>
      <c r="H143" s="555"/>
      <c r="I143" s="555"/>
      <c r="J143" s="555"/>
      <c r="K143" s="555"/>
      <c r="L143" s="555"/>
      <c r="M143" s="1">
        <f>ROWS(L$37:$L143)</f>
        <v>107</v>
      </c>
      <c r="N143" s="663" t="str">
        <f>IF(ID!$A$85=L143,M143,"")</f>
        <v/>
      </c>
      <c r="O143" s="663" t="str">
        <f>IFERROR(SMALL($N$37:$N$237,ROWS($N$37:N143)),"")</f>
        <v/>
      </c>
    </row>
    <row r="144" spans="6:15" x14ac:dyDescent="0.25">
      <c r="F144" s="560"/>
      <c r="G144" s="560"/>
      <c r="H144" s="560"/>
      <c r="I144" s="560"/>
      <c r="J144" s="560"/>
      <c r="K144" s="560"/>
      <c r="L144" s="560"/>
      <c r="M144" s="1">
        <f>ROWS(L$37:$L144)</f>
        <v>108</v>
      </c>
      <c r="N144" s="663" t="str">
        <f>IF(ID!$A$85=L144,M144,"")</f>
        <v/>
      </c>
      <c r="O144" s="663" t="str">
        <f>IFERROR(SMALL($N$37:$N$237,ROWS($N$37:N144)),"")</f>
        <v/>
      </c>
    </row>
    <row r="145" spans="6:15" x14ac:dyDescent="0.25">
      <c r="F145" s="555"/>
      <c r="G145" s="555"/>
      <c r="H145" s="555"/>
      <c r="I145" s="555"/>
      <c r="J145" s="555"/>
      <c r="K145" s="555"/>
      <c r="L145" s="555"/>
      <c r="M145" s="1">
        <f>ROWS(L$37:$L145)</f>
        <v>109</v>
      </c>
      <c r="N145" s="663" t="str">
        <f>IF(ID!$A$85=L145,M145,"")</f>
        <v/>
      </c>
      <c r="O145" s="663" t="str">
        <f>IFERROR(SMALL($N$37:$N$237,ROWS($N$37:N145)),"")</f>
        <v/>
      </c>
    </row>
    <row r="146" spans="6:15" x14ac:dyDescent="0.25">
      <c r="F146" s="693"/>
      <c r="G146" s="827" t="s">
        <v>526</v>
      </c>
      <c r="H146" s="693">
        <v>0</v>
      </c>
      <c r="I146" s="1031">
        <v>0</v>
      </c>
      <c r="J146" s="693"/>
      <c r="K146" s="1032" t="s">
        <v>585</v>
      </c>
      <c r="L146" s="155" t="s">
        <v>278</v>
      </c>
      <c r="M146" s="1">
        <f>ROWS(L$37:$L146)</f>
        <v>110</v>
      </c>
      <c r="N146" s="663" t="str">
        <f>IF(ID!$A$85=L146,M146,"")</f>
        <v/>
      </c>
      <c r="O146" s="663" t="str">
        <f>IFERROR(SMALL($N$37:$N$237,ROWS($N$37:N146)),"")</f>
        <v/>
      </c>
    </row>
    <row r="147" spans="6:15" x14ac:dyDescent="0.25">
      <c r="F147" s="693"/>
      <c r="G147" s="693"/>
      <c r="H147" s="693">
        <v>10</v>
      </c>
      <c r="I147" s="693">
        <v>0.01</v>
      </c>
      <c r="J147" s="693"/>
      <c r="K147" s="693"/>
      <c r="L147" s="155" t="s">
        <v>278</v>
      </c>
      <c r="M147" s="1">
        <f>ROWS(L$37:$L147)</f>
        <v>111</v>
      </c>
      <c r="N147" s="663" t="str">
        <f>IF(ID!$A$85=L147,M147,"")</f>
        <v/>
      </c>
      <c r="O147" s="663" t="str">
        <f>IFERROR(SMALL($N$37:$N$237,ROWS($N$37:N147)),"")</f>
        <v/>
      </c>
    </row>
    <row r="148" spans="6:15" x14ac:dyDescent="0.25">
      <c r="F148" s="693"/>
      <c r="G148" s="693"/>
      <c r="H148" s="693">
        <v>30</v>
      </c>
      <c r="I148" s="693">
        <v>0.01</v>
      </c>
      <c r="J148" s="693"/>
      <c r="K148" s="693"/>
      <c r="L148" s="155" t="s">
        <v>278</v>
      </c>
      <c r="M148" s="1">
        <f>ROWS(L$37:$L148)</f>
        <v>112</v>
      </c>
      <c r="N148" s="663" t="str">
        <f>IF(ID!$A$85=L148,M148,"")</f>
        <v/>
      </c>
      <c r="O148" s="663" t="str">
        <f>IFERROR(SMALL($N$37:$N$237,ROWS($N$37:N148)),"")</f>
        <v/>
      </c>
    </row>
    <row r="149" spans="6:15" x14ac:dyDescent="0.25">
      <c r="F149" s="555"/>
      <c r="G149" s="555"/>
      <c r="H149" s="555"/>
      <c r="I149" s="555"/>
      <c r="J149" s="555"/>
      <c r="K149" s="555"/>
      <c r="L149" s="555"/>
      <c r="M149" s="1">
        <f>ROWS(L$37:$L149)</f>
        <v>113</v>
      </c>
      <c r="N149" s="663" t="str">
        <f>IF(ID!$A$85=L149,M149,"")</f>
        <v/>
      </c>
      <c r="O149" s="663" t="str">
        <f>IFERROR(SMALL($N$37:$N$237,ROWS($N$37:N149)),"")</f>
        <v/>
      </c>
    </row>
    <row r="150" spans="6:15" x14ac:dyDescent="0.25">
      <c r="F150" s="555"/>
      <c r="G150" s="555"/>
      <c r="H150" s="555"/>
      <c r="I150" s="555"/>
      <c r="J150" s="555"/>
      <c r="K150" s="555"/>
      <c r="L150" s="555"/>
      <c r="M150" s="1">
        <f>ROWS(L$37:$L150)</f>
        <v>114</v>
      </c>
      <c r="N150" s="663" t="str">
        <f>IF(ID!$A$85=L150,M150,"")</f>
        <v/>
      </c>
      <c r="O150" s="663" t="str">
        <f>IFERROR(SMALL($N$37:$N$237,ROWS($N$37:N150)),"")</f>
        <v/>
      </c>
    </row>
    <row r="151" spans="6:15" x14ac:dyDescent="0.25">
      <c r="F151" s="555"/>
      <c r="G151" s="555"/>
      <c r="H151" s="555"/>
      <c r="I151" s="555"/>
      <c r="J151" s="555"/>
      <c r="K151" s="555"/>
      <c r="L151" s="555"/>
      <c r="M151" s="1">
        <f>ROWS(L$37:$L151)</f>
        <v>115</v>
      </c>
      <c r="N151" s="663" t="str">
        <f>IF(ID!$A$85=L151,M151,"")</f>
        <v/>
      </c>
      <c r="O151" s="663" t="str">
        <f>IFERROR(SMALL($N$37:$N$237,ROWS($N$37:N151)),"")</f>
        <v/>
      </c>
    </row>
    <row r="152" spans="6:15" x14ac:dyDescent="0.25">
      <c r="F152" s="555"/>
      <c r="G152" s="555"/>
      <c r="H152" s="555"/>
      <c r="I152" s="555"/>
      <c r="J152" s="555"/>
      <c r="K152" s="555"/>
      <c r="L152" s="555"/>
      <c r="M152" s="1">
        <f>ROWS(L$37:$L152)</f>
        <v>116</v>
      </c>
      <c r="N152" s="663" t="str">
        <f>IF(ID!$A$85=L152,M152,"")</f>
        <v/>
      </c>
      <c r="O152" s="663" t="str">
        <f>IFERROR(SMALL($N$37:$N$237,ROWS($N$37:N152)),"")</f>
        <v/>
      </c>
    </row>
    <row r="153" spans="6:15" x14ac:dyDescent="0.25">
      <c r="F153" s="555"/>
      <c r="G153" s="555"/>
      <c r="H153" s="555"/>
      <c r="I153" s="555"/>
      <c r="J153" s="555"/>
      <c r="K153" s="555"/>
      <c r="L153" s="555"/>
      <c r="M153" s="1">
        <f>ROWS(L$37:$L153)</f>
        <v>117</v>
      </c>
      <c r="N153" s="663" t="str">
        <f>IF(ID!$A$85=L153,M153,"")</f>
        <v/>
      </c>
      <c r="O153" s="663" t="str">
        <f>IFERROR(SMALL($N$37:$N$237,ROWS($N$37:N153)),"")</f>
        <v/>
      </c>
    </row>
    <row r="154" spans="6:15" x14ac:dyDescent="0.25">
      <c r="F154" s="555"/>
      <c r="G154" s="555"/>
      <c r="H154" s="555"/>
      <c r="I154" s="555"/>
      <c r="J154" s="555"/>
      <c r="K154" s="555"/>
      <c r="L154" s="555"/>
      <c r="M154" s="1">
        <f>ROWS(L$37:$L154)</f>
        <v>118</v>
      </c>
      <c r="N154" s="663" t="str">
        <f>IF(ID!$A$85=L154,M154,"")</f>
        <v/>
      </c>
      <c r="O154" s="663" t="str">
        <f>IFERROR(SMALL($N$37:$N$237,ROWS($N$37:N154)),"")</f>
        <v/>
      </c>
    </row>
    <row r="155" spans="6:15" x14ac:dyDescent="0.25">
      <c r="F155" s="555"/>
      <c r="G155" s="555"/>
      <c r="H155" s="555"/>
      <c r="I155" s="555"/>
      <c r="J155" s="555"/>
      <c r="K155" s="555"/>
      <c r="L155" s="555"/>
      <c r="M155" s="1">
        <f>ROWS(L$37:$L155)</f>
        <v>119</v>
      </c>
      <c r="N155" s="663" t="str">
        <f>IF(ID!$A$85=L155,M155,"")</f>
        <v/>
      </c>
      <c r="O155" s="663" t="str">
        <f>IFERROR(SMALL($N$37:$N$237,ROWS($N$37:N155)),"")</f>
        <v/>
      </c>
    </row>
    <row r="156" spans="6:15" x14ac:dyDescent="0.25">
      <c r="F156" s="560"/>
      <c r="G156" s="560"/>
      <c r="H156" s="560"/>
      <c r="I156" s="560"/>
      <c r="J156" s="560"/>
      <c r="K156" s="560"/>
      <c r="L156" s="560"/>
      <c r="M156" s="1">
        <f>ROWS(L$37:$L156)</f>
        <v>120</v>
      </c>
      <c r="N156" s="663" t="str">
        <f>IF(ID!$A$85=L156,M156,"")</f>
        <v/>
      </c>
      <c r="O156" s="663" t="str">
        <f>IFERROR(SMALL($N$37:$N$237,ROWS($N$37:N156)),"")</f>
        <v/>
      </c>
    </row>
    <row r="157" spans="6:15" x14ac:dyDescent="0.25">
      <c r="F157" s="555"/>
      <c r="G157" s="555"/>
      <c r="H157" s="555"/>
      <c r="I157" s="555"/>
      <c r="J157" s="555"/>
      <c r="K157" s="555"/>
      <c r="L157" s="555"/>
      <c r="M157" s="1">
        <f>ROWS(L$37:$L157)</f>
        <v>121</v>
      </c>
      <c r="N157" s="663" t="str">
        <f>IF(ID!$A$85=L157,M157,"")</f>
        <v/>
      </c>
      <c r="O157" s="663" t="str">
        <f>IFERROR(SMALL($N$37:$N$237,ROWS($N$37:N157)),"")</f>
        <v/>
      </c>
    </row>
    <row r="158" spans="6:15" x14ac:dyDescent="0.25">
      <c r="F158" s="693"/>
      <c r="G158" s="827" t="s">
        <v>526</v>
      </c>
      <c r="H158" s="693">
        <v>0</v>
      </c>
      <c r="I158" s="1031">
        <v>0</v>
      </c>
      <c r="J158" s="693"/>
      <c r="K158" s="1032" t="s">
        <v>585</v>
      </c>
      <c r="L158" s="155" t="s">
        <v>283</v>
      </c>
      <c r="M158" s="1">
        <f>ROWS(L$37:$L158)</f>
        <v>122</v>
      </c>
      <c r="N158" s="663" t="str">
        <f>IF(ID!$A$85=L158,M158,"")</f>
        <v/>
      </c>
      <c r="O158" s="663" t="str">
        <f>IFERROR(SMALL($N$37:$N$237,ROWS($N$37:N158)),"")</f>
        <v/>
      </c>
    </row>
    <row r="159" spans="6:15" x14ac:dyDescent="0.25">
      <c r="F159" s="693"/>
      <c r="G159" s="693"/>
      <c r="H159" s="693">
        <v>10</v>
      </c>
      <c r="I159" s="1031">
        <v>0</v>
      </c>
      <c r="J159" s="693"/>
      <c r="K159" s="693"/>
      <c r="L159" s="155" t="s">
        <v>283</v>
      </c>
      <c r="M159" s="1">
        <f>ROWS(L$37:$L159)</f>
        <v>123</v>
      </c>
      <c r="N159" s="663" t="str">
        <f>IF(ID!$A$85=L159,M159,"")</f>
        <v/>
      </c>
      <c r="O159" s="663" t="str">
        <f>IFERROR(SMALL($N$37:$N$237,ROWS($N$37:N159)),"")</f>
        <v/>
      </c>
    </row>
    <row r="160" spans="6:15" x14ac:dyDescent="0.25">
      <c r="F160" s="693"/>
      <c r="G160" s="693"/>
      <c r="H160" s="693">
        <v>30</v>
      </c>
      <c r="I160" s="1031">
        <v>0.01</v>
      </c>
      <c r="J160" s="693"/>
      <c r="K160" s="693"/>
      <c r="L160" s="155" t="s">
        <v>283</v>
      </c>
      <c r="M160" s="1">
        <f>ROWS(L$37:$L160)</f>
        <v>124</v>
      </c>
      <c r="N160" s="663" t="str">
        <f>IF(ID!$A$85=L160,M160,"")</f>
        <v/>
      </c>
      <c r="O160" s="663" t="str">
        <f>IFERROR(SMALL($N$37:$N$237,ROWS($N$37:N160)),"")</f>
        <v/>
      </c>
    </row>
    <row r="161" spans="6:15" x14ac:dyDescent="0.25">
      <c r="F161" s="555"/>
      <c r="G161" s="555"/>
      <c r="H161" s="555"/>
      <c r="I161" s="555"/>
      <c r="J161" s="555"/>
      <c r="K161" s="555"/>
      <c r="L161" s="555"/>
      <c r="M161" s="1">
        <f>ROWS(L$37:$L161)</f>
        <v>125</v>
      </c>
      <c r="N161" s="663" t="str">
        <f>IF(ID!$A$85=L161,M161,"")</f>
        <v/>
      </c>
      <c r="O161" s="663" t="str">
        <f>IFERROR(SMALL($N$37:$N$237,ROWS($N$37:N161)),"")</f>
        <v/>
      </c>
    </row>
    <row r="162" spans="6:15" x14ac:dyDescent="0.25">
      <c r="F162" s="555"/>
      <c r="G162" s="555"/>
      <c r="H162" s="555"/>
      <c r="I162" s="555"/>
      <c r="J162" s="555"/>
      <c r="K162" s="555"/>
      <c r="L162" s="555"/>
      <c r="M162" s="1">
        <f>ROWS(L$37:$L162)</f>
        <v>126</v>
      </c>
      <c r="N162" s="663" t="str">
        <f>IF(ID!$A$85=L162,M162,"")</f>
        <v/>
      </c>
      <c r="O162" s="663" t="str">
        <f>IFERROR(SMALL($N$37:$N$237,ROWS($N$37:N162)),"")</f>
        <v/>
      </c>
    </row>
    <row r="163" spans="6:15" x14ac:dyDescent="0.25">
      <c r="F163" s="555"/>
      <c r="G163" s="555"/>
      <c r="H163" s="555"/>
      <c r="I163" s="555"/>
      <c r="J163" s="555"/>
      <c r="K163" s="555"/>
      <c r="L163" s="555"/>
      <c r="M163" s="1">
        <f>ROWS(L$37:$L163)</f>
        <v>127</v>
      </c>
      <c r="N163" s="663" t="str">
        <f>IF(ID!$A$85=L163,M163,"")</f>
        <v/>
      </c>
      <c r="O163" s="663" t="str">
        <f>IFERROR(SMALL($N$37:$N$237,ROWS($N$37:N163)),"")</f>
        <v/>
      </c>
    </row>
    <row r="164" spans="6:15" x14ac:dyDescent="0.25">
      <c r="F164" s="555"/>
      <c r="G164" s="555"/>
      <c r="H164" s="555"/>
      <c r="I164" s="555"/>
      <c r="J164" s="555"/>
      <c r="K164" s="555"/>
      <c r="L164" s="555"/>
      <c r="M164" s="1">
        <f>ROWS(L$37:$L164)</f>
        <v>128</v>
      </c>
      <c r="N164" s="663" t="str">
        <f>IF(ID!$A$85=L164,M164,"")</f>
        <v/>
      </c>
      <c r="O164" s="663" t="str">
        <f>IFERROR(SMALL($N$37:$N$237,ROWS($N$37:N164)),"")</f>
        <v/>
      </c>
    </row>
    <row r="165" spans="6:15" x14ac:dyDescent="0.25">
      <c r="F165" s="555"/>
      <c r="G165" s="555"/>
      <c r="H165" s="555"/>
      <c r="I165" s="555"/>
      <c r="J165" s="555"/>
      <c r="K165" s="555"/>
      <c r="L165" s="555"/>
      <c r="M165" s="1">
        <f>ROWS(L$37:$L165)</f>
        <v>129</v>
      </c>
      <c r="N165" s="663" t="str">
        <f>IF(ID!$A$85=L165,M165,"")</f>
        <v/>
      </c>
      <c r="O165" s="663" t="str">
        <f>IFERROR(SMALL($N$37:$N$237,ROWS($N$37:N165)),"")</f>
        <v/>
      </c>
    </row>
    <row r="166" spans="6:15" x14ac:dyDescent="0.25">
      <c r="F166" s="555"/>
      <c r="G166" s="555"/>
      <c r="H166" s="555"/>
      <c r="I166" s="555"/>
      <c r="J166" s="555"/>
      <c r="K166" s="555"/>
      <c r="L166" s="555"/>
      <c r="M166" s="1">
        <f>ROWS(L$37:$L166)</f>
        <v>130</v>
      </c>
      <c r="N166" s="663" t="str">
        <f>IF(ID!$A$85=L166,M166,"")</f>
        <v/>
      </c>
      <c r="O166" s="663" t="str">
        <f>IFERROR(SMALL($N$37:$N$237,ROWS($N$37:N166)),"")</f>
        <v/>
      </c>
    </row>
    <row r="167" spans="6:15" x14ac:dyDescent="0.25">
      <c r="F167" s="555"/>
      <c r="G167" s="555"/>
      <c r="H167" s="555"/>
      <c r="I167" s="555"/>
      <c r="J167" s="555"/>
      <c r="K167" s="555"/>
      <c r="L167" s="555"/>
      <c r="M167" s="1">
        <f>ROWS(L$37:$L167)</f>
        <v>131</v>
      </c>
      <c r="N167" s="663" t="str">
        <f>IF(ID!$A$85=L167,M167,"")</f>
        <v/>
      </c>
      <c r="O167" s="663" t="str">
        <f>IFERROR(SMALL($N$37:$N$237,ROWS($N$37:N167)),"")</f>
        <v/>
      </c>
    </row>
    <row r="168" spans="6:15" x14ac:dyDescent="0.25">
      <c r="F168" s="555"/>
      <c r="G168" s="555"/>
      <c r="H168" s="555"/>
      <c r="I168" s="555"/>
      <c r="J168" s="555"/>
      <c r="K168" s="555"/>
      <c r="L168" s="555"/>
      <c r="M168" s="1">
        <f>ROWS(L$37:$L168)</f>
        <v>132</v>
      </c>
      <c r="N168" s="663" t="str">
        <f>IF(ID!$A$85=L168,M168,"")</f>
        <v/>
      </c>
      <c r="O168" s="663" t="str">
        <f>IFERROR(SMALL($N$37:$N$237,ROWS($N$37:N168)),"")</f>
        <v/>
      </c>
    </row>
    <row r="169" spans="6:15" x14ac:dyDescent="0.25">
      <c r="F169" s="560"/>
      <c r="G169" s="560"/>
      <c r="H169" s="560"/>
      <c r="I169" s="560"/>
      <c r="J169" s="560"/>
      <c r="K169" s="560"/>
      <c r="L169" s="560"/>
      <c r="M169" s="1">
        <f>ROWS(L$37:$L169)</f>
        <v>133</v>
      </c>
      <c r="N169" s="663" t="str">
        <f>IF(ID!$A$85=L169,M169,"")</f>
        <v/>
      </c>
      <c r="O169" s="663" t="str">
        <f>IFERROR(SMALL($N$37:$N$237,ROWS($N$37:N169)),"")</f>
        <v/>
      </c>
    </row>
    <row r="170" spans="6:15" x14ac:dyDescent="0.25">
      <c r="F170" s="555"/>
      <c r="G170" s="555"/>
      <c r="H170" s="555"/>
      <c r="I170" s="555"/>
      <c r="J170" s="555"/>
      <c r="K170" s="555"/>
      <c r="L170" s="555"/>
      <c r="M170" s="1">
        <f>ROWS(L$37:$L170)</f>
        <v>134</v>
      </c>
      <c r="N170" s="663" t="str">
        <f>IF(ID!$A$85=L170,M170,"")</f>
        <v/>
      </c>
      <c r="O170" s="663" t="str">
        <f>IFERROR(SMALL($N$37:$N$237,ROWS($N$37:N170)),"")</f>
        <v/>
      </c>
    </row>
    <row r="171" spans="6:15" x14ac:dyDescent="0.25">
      <c r="F171" s="555"/>
      <c r="G171" s="807" t="s">
        <v>377</v>
      </c>
      <c r="H171" s="807">
        <v>0</v>
      </c>
      <c r="I171" s="807">
        <v>0</v>
      </c>
      <c r="J171" s="807"/>
      <c r="K171" s="669" t="s">
        <v>585</v>
      </c>
      <c r="L171" s="935" t="s">
        <v>587</v>
      </c>
      <c r="M171" s="1">
        <f>ROWS(L$37:$L171)</f>
        <v>135</v>
      </c>
      <c r="N171" s="663" t="str">
        <f>IF(ID!$A$85=L171,M171,"")</f>
        <v/>
      </c>
      <c r="O171" s="663" t="str">
        <f>IFERROR(SMALL($N$37:$N$237,ROWS($N$37:N171)),"")</f>
        <v/>
      </c>
    </row>
    <row r="172" spans="6:15" x14ac:dyDescent="0.25">
      <c r="F172" s="555"/>
      <c r="G172" s="807"/>
      <c r="H172" s="807">
        <v>60</v>
      </c>
      <c r="I172" s="807">
        <f>59.99-60</f>
        <v>-9.9999999999980105E-3</v>
      </c>
      <c r="J172" s="807"/>
      <c r="K172" s="807"/>
      <c r="L172" s="935" t="s">
        <v>587</v>
      </c>
      <c r="M172" s="1">
        <f>ROWS(L$37:$L172)</f>
        <v>136</v>
      </c>
      <c r="N172" s="663" t="str">
        <f>IF(ID!$A$85=L172,M172,"")</f>
        <v/>
      </c>
      <c r="O172" s="663" t="str">
        <f>IFERROR(SMALL($N$37:$N$237,ROWS($N$37:N172)),"")</f>
        <v/>
      </c>
    </row>
    <row r="173" spans="6:15" x14ac:dyDescent="0.25">
      <c r="F173" s="555"/>
      <c r="G173" s="807"/>
      <c r="H173" s="807">
        <v>300</v>
      </c>
      <c r="I173" s="807">
        <f>((4*60)+59.99)-300</f>
        <v>-9.9999999999909051E-3</v>
      </c>
      <c r="J173" s="807"/>
      <c r="K173" s="807"/>
      <c r="L173" s="935" t="s">
        <v>587</v>
      </c>
      <c r="M173" s="1">
        <f>ROWS(L$37:$L173)</f>
        <v>137</v>
      </c>
      <c r="N173" s="663" t="str">
        <f>IF(ID!$A$85=L173,M173,"")</f>
        <v/>
      </c>
      <c r="O173" s="663" t="str">
        <f>IFERROR(SMALL($N$37:$N$237,ROWS($N$37:N173)),"")</f>
        <v/>
      </c>
    </row>
    <row r="174" spans="6:15" x14ac:dyDescent="0.25">
      <c r="F174" s="555"/>
      <c r="G174" s="555"/>
      <c r="H174" s="555"/>
      <c r="I174" s="555"/>
      <c r="J174" s="555"/>
      <c r="K174" s="555"/>
      <c r="L174" s="555"/>
      <c r="M174" s="1">
        <f>ROWS(L$37:$L174)</f>
        <v>138</v>
      </c>
      <c r="N174" s="663" t="str">
        <f>IF(ID!$A$85=L174,M174,"")</f>
        <v/>
      </c>
      <c r="O174" s="663" t="str">
        <f>IFERROR(SMALL($N$37:$N$237,ROWS($N$37:N174)),"")</f>
        <v/>
      </c>
    </row>
    <row r="175" spans="6:15" x14ac:dyDescent="0.25">
      <c r="F175" s="555"/>
      <c r="G175" s="555"/>
      <c r="H175" s="555"/>
      <c r="I175" s="555"/>
      <c r="J175" s="555"/>
      <c r="K175" s="555"/>
      <c r="L175" s="555"/>
      <c r="M175" s="1">
        <f>ROWS(L$37:$L175)</f>
        <v>139</v>
      </c>
      <c r="N175" s="663" t="str">
        <f>IF(ID!$A$85=L175,M175,"")</f>
        <v/>
      </c>
      <c r="O175" s="663" t="str">
        <f>IFERROR(SMALL($N$37:$N$237,ROWS($N$37:N175)),"")</f>
        <v/>
      </c>
    </row>
    <row r="176" spans="6:15" x14ac:dyDescent="0.25">
      <c r="F176" s="555"/>
      <c r="G176" s="555"/>
      <c r="H176" s="555"/>
      <c r="I176" s="555"/>
      <c r="J176" s="555"/>
      <c r="K176" s="555"/>
      <c r="L176" s="555"/>
      <c r="M176" s="1">
        <f>ROWS(L$37:$L176)</f>
        <v>140</v>
      </c>
      <c r="N176" s="663" t="str">
        <f>IF(ID!$A$85=L176,M176,"")</f>
        <v/>
      </c>
      <c r="O176" s="663" t="str">
        <f>IFERROR(SMALL($N$37:$N$237,ROWS($N$37:N176)),"")</f>
        <v/>
      </c>
    </row>
    <row r="177" spans="6:15" x14ac:dyDescent="0.25">
      <c r="F177" s="555"/>
      <c r="G177" s="555"/>
      <c r="H177" s="555"/>
      <c r="I177" s="555"/>
      <c r="J177" s="555"/>
      <c r="K177" s="555"/>
      <c r="L177" s="555"/>
      <c r="M177" s="1">
        <f>ROWS(L$37:$L177)</f>
        <v>141</v>
      </c>
      <c r="N177" s="663" t="str">
        <f>IF(ID!$A$85=L177,M177,"")</f>
        <v/>
      </c>
      <c r="O177" s="663" t="str">
        <f>IFERROR(SMALL($N$37:$N$237,ROWS($N$37:N177)),"")</f>
        <v/>
      </c>
    </row>
    <row r="178" spans="6:15" x14ac:dyDescent="0.25">
      <c r="F178" s="555"/>
      <c r="G178" s="555"/>
      <c r="H178" s="555"/>
      <c r="I178" s="555"/>
      <c r="J178" s="555"/>
      <c r="K178" s="555"/>
      <c r="L178" s="555"/>
      <c r="M178" s="1">
        <f>ROWS(L$37:$L178)</f>
        <v>142</v>
      </c>
      <c r="N178" s="663" t="str">
        <f>IF(ID!$A$85=L178,M178,"")</f>
        <v/>
      </c>
      <c r="O178" s="663" t="str">
        <f>IFERROR(SMALL($N$37:$N$237,ROWS($N$37:N178)),"")</f>
        <v/>
      </c>
    </row>
    <row r="179" spans="6:15" x14ac:dyDescent="0.25">
      <c r="F179" s="555"/>
      <c r="G179" s="555"/>
      <c r="H179" s="555"/>
      <c r="I179" s="555"/>
      <c r="J179" s="555"/>
      <c r="K179" s="555"/>
      <c r="L179" s="555"/>
      <c r="M179" s="1">
        <f>ROWS(L$37:$L179)</f>
        <v>143</v>
      </c>
      <c r="N179" s="663" t="str">
        <f>IF(ID!$A$85=L179,M179,"")</f>
        <v/>
      </c>
      <c r="O179" s="663" t="str">
        <f>IFERROR(SMALL($N$37:$N$237,ROWS($N$37:N179)),"")</f>
        <v/>
      </c>
    </row>
    <row r="180" spans="6:15" x14ac:dyDescent="0.25">
      <c r="F180" s="555"/>
      <c r="G180" s="555"/>
      <c r="H180" s="555"/>
      <c r="I180" s="555"/>
      <c r="J180" s="555"/>
      <c r="K180" s="555"/>
      <c r="L180" s="555"/>
      <c r="M180" s="1">
        <f>ROWS(L$37:$L180)</f>
        <v>144</v>
      </c>
      <c r="N180" s="663" t="str">
        <f>IF(ID!$A$85=L180,M180,"")</f>
        <v/>
      </c>
      <c r="O180" s="663" t="str">
        <f>IFERROR(SMALL($N$37:$N$237,ROWS($N$37:N180)),"")</f>
        <v/>
      </c>
    </row>
    <row r="181" spans="6:15" x14ac:dyDescent="0.25">
      <c r="F181" s="555"/>
      <c r="G181" s="555"/>
      <c r="H181" s="555"/>
      <c r="I181" s="555"/>
      <c r="J181" s="555"/>
      <c r="K181" s="555"/>
      <c r="L181" s="555"/>
      <c r="M181" s="1">
        <f>ROWS(L$37:$L181)</f>
        <v>145</v>
      </c>
      <c r="N181" s="663" t="str">
        <f>IF(ID!$A$85=L181,M181,"")</f>
        <v/>
      </c>
      <c r="O181" s="663" t="str">
        <f>IFERROR(SMALL($N$37:$N$237,ROWS($N$37:N181)),"")</f>
        <v/>
      </c>
    </row>
    <row r="182" spans="6:15" x14ac:dyDescent="0.25">
      <c r="F182" s="560"/>
      <c r="G182" s="560"/>
      <c r="H182" s="560"/>
      <c r="I182" s="560"/>
      <c r="J182" s="560"/>
      <c r="K182" s="560"/>
      <c r="L182" s="560"/>
      <c r="M182" s="1">
        <f>ROWS(L$37:$L182)</f>
        <v>146</v>
      </c>
      <c r="N182" s="663" t="str">
        <f>IF(ID!$A$85=L182,M182,"")</f>
        <v/>
      </c>
      <c r="O182" s="663" t="str">
        <f>IFERROR(SMALL($N$37:$N$237,ROWS($N$37:N182)),"")</f>
        <v/>
      </c>
    </row>
    <row r="183" spans="6:15" x14ac:dyDescent="0.25">
      <c r="F183" s="555"/>
      <c r="G183" s="555"/>
      <c r="H183" s="555"/>
      <c r="I183" s="555"/>
      <c r="J183" s="555"/>
      <c r="K183" s="555"/>
      <c r="L183" s="555"/>
      <c r="M183" s="1">
        <f>ROWS(L$37:$L183)</f>
        <v>147</v>
      </c>
      <c r="N183" s="663" t="str">
        <f>IF(ID!$A$85=L183,M183,"")</f>
        <v/>
      </c>
      <c r="O183" s="663" t="str">
        <f>IFERROR(SMALL($N$37:$N$237,ROWS($N$37:N183)),"")</f>
        <v/>
      </c>
    </row>
    <row r="184" spans="6:15" x14ac:dyDescent="0.25">
      <c r="F184" s="555"/>
      <c r="G184" s="827" t="s">
        <v>450</v>
      </c>
      <c r="H184" s="693">
        <v>0</v>
      </c>
      <c r="I184" s="693">
        <v>0</v>
      </c>
      <c r="J184" s="693"/>
      <c r="K184" s="1032" t="s">
        <v>585</v>
      </c>
      <c r="L184" s="155" t="s">
        <v>284</v>
      </c>
      <c r="M184" s="1">
        <f>ROWS(L$37:$L184)</f>
        <v>148</v>
      </c>
      <c r="N184" s="663" t="str">
        <f>IF(ID!$A$85=L184,M184,"")</f>
        <v/>
      </c>
      <c r="O184" s="663" t="str">
        <f>IFERROR(SMALL($N$37:$N$237,ROWS($N$37:N184)),"")</f>
        <v/>
      </c>
    </row>
    <row r="185" spans="6:15" x14ac:dyDescent="0.25">
      <c r="F185" s="555"/>
      <c r="G185" s="693"/>
      <c r="H185" s="693">
        <v>10</v>
      </c>
      <c r="I185" s="693">
        <v>0.01</v>
      </c>
      <c r="J185" s="693"/>
      <c r="K185" s="693"/>
      <c r="L185" s="155" t="s">
        <v>284</v>
      </c>
      <c r="M185" s="1">
        <f>ROWS(L$37:$L185)</f>
        <v>149</v>
      </c>
      <c r="N185" s="663" t="str">
        <f>IF(ID!$A$85=L185,M185,"")</f>
        <v/>
      </c>
      <c r="O185" s="663" t="str">
        <f>IFERROR(SMALL($N$37:$N$237,ROWS($N$37:N185)),"")</f>
        <v/>
      </c>
    </row>
    <row r="186" spans="6:15" x14ac:dyDescent="0.25">
      <c r="F186" s="555"/>
      <c r="G186" s="693"/>
      <c r="H186" s="693">
        <v>30</v>
      </c>
      <c r="I186" s="693">
        <v>0.01</v>
      </c>
      <c r="J186" s="693"/>
      <c r="K186" s="693"/>
      <c r="L186" s="155" t="s">
        <v>284</v>
      </c>
      <c r="M186" s="1">
        <f>ROWS(L$37:$L186)</f>
        <v>150</v>
      </c>
      <c r="N186" s="663" t="str">
        <f>IF(ID!$A$85=L186,M186,"")</f>
        <v/>
      </c>
      <c r="O186" s="663" t="str">
        <f>IFERROR(SMALL($N$37:$N$237,ROWS($N$37:N186)),"")</f>
        <v/>
      </c>
    </row>
    <row r="187" spans="6:15" x14ac:dyDescent="0.25">
      <c r="F187" s="555"/>
      <c r="G187" s="555"/>
      <c r="H187" s="555"/>
      <c r="I187" s="555"/>
      <c r="J187" s="555"/>
      <c r="K187" s="555"/>
      <c r="L187" s="555"/>
      <c r="M187" s="1">
        <f>ROWS(L$37:$L187)</f>
        <v>151</v>
      </c>
      <c r="N187" s="663" t="str">
        <f>IF(ID!$A$85=L187,M187,"")</f>
        <v/>
      </c>
      <c r="O187" s="663" t="str">
        <f>IFERROR(SMALL($N$37:$N$237,ROWS($N$37:N187)),"")</f>
        <v/>
      </c>
    </row>
    <row r="188" spans="6:15" x14ac:dyDescent="0.25">
      <c r="F188" s="555"/>
      <c r="G188" s="555"/>
      <c r="H188" s="555"/>
      <c r="I188" s="555"/>
      <c r="J188" s="555"/>
      <c r="K188" s="555"/>
      <c r="L188" s="555"/>
      <c r="M188" s="1">
        <f>ROWS(L$37:$L188)</f>
        <v>152</v>
      </c>
      <c r="N188" s="663" t="str">
        <f>IF(ID!$A$85=L188,M188,"")</f>
        <v/>
      </c>
      <c r="O188" s="663" t="str">
        <f>IFERROR(SMALL($N$37:$N$237,ROWS($N$37:N188)),"")</f>
        <v/>
      </c>
    </row>
    <row r="189" spans="6:15" x14ac:dyDescent="0.25">
      <c r="F189" s="555"/>
      <c r="G189" s="555"/>
      <c r="H189" s="555"/>
      <c r="I189" s="555"/>
      <c r="J189" s="555"/>
      <c r="K189" s="555"/>
      <c r="L189" s="555"/>
      <c r="M189" s="1">
        <f>ROWS(L$37:$L189)</f>
        <v>153</v>
      </c>
      <c r="N189" s="663" t="str">
        <f>IF(ID!$A$85=L189,M189,"")</f>
        <v/>
      </c>
      <c r="O189" s="663" t="str">
        <f>IFERROR(SMALL($N$37:$N$237,ROWS($N$37:N189)),"")</f>
        <v/>
      </c>
    </row>
    <row r="190" spans="6:15" x14ac:dyDescent="0.25">
      <c r="F190" s="555"/>
      <c r="G190" s="555"/>
      <c r="H190" s="555"/>
      <c r="I190" s="555"/>
      <c r="J190" s="555"/>
      <c r="K190" s="555"/>
      <c r="L190" s="555"/>
      <c r="M190" s="1">
        <f>ROWS(L$37:$L190)</f>
        <v>154</v>
      </c>
      <c r="N190" s="663" t="str">
        <f>IF(ID!$A$85=L190,M190,"")</f>
        <v/>
      </c>
      <c r="O190" s="663" t="str">
        <f>IFERROR(SMALL($N$37:$N$237,ROWS($N$37:N190)),"")</f>
        <v/>
      </c>
    </row>
    <row r="191" spans="6:15" x14ac:dyDescent="0.25">
      <c r="F191" s="555"/>
      <c r="G191" s="555"/>
      <c r="H191" s="555"/>
      <c r="I191" s="555"/>
      <c r="J191" s="555"/>
      <c r="K191" s="555"/>
      <c r="L191" s="555"/>
      <c r="M191" s="1">
        <f>ROWS(L$37:$L191)</f>
        <v>155</v>
      </c>
      <c r="N191" s="663" t="str">
        <f>IF(ID!$A$85=L191,M191,"")</f>
        <v/>
      </c>
      <c r="O191" s="663" t="str">
        <f>IFERROR(SMALL($N$37:$N$237,ROWS($N$37:N191)),"")</f>
        <v/>
      </c>
    </row>
    <row r="192" spans="6:15" x14ac:dyDescent="0.25">
      <c r="F192" s="555"/>
      <c r="G192" s="555"/>
      <c r="H192" s="555"/>
      <c r="I192" s="555"/>
      <c r="J192" s="555"/>
      <c r="K192" s="555"/>
      <c r="L192" s="555"/>
      <c r="M192" s="1">
        <f>ROWS(L$37:$L192)</f>
        <v>156</v>
      </c>
      <c r="N192" s="663" t="str">
        <f>IF(ID!$A$85=L192,M192,"")</f>
        <v/>
      </c>
      <c r="O192" s="663" t="str">
        <f>IFERROR(SMALL($N$37:$N$237,ROWS($N$37:N192)),"")</f>
        <v/>
      </c>
    </row>
    <row r="193" spans="6:15" x14ac:dyDescent="0.25">
      <c r="F193" s="555"/>
      <c r="G193" s="555"/>
      <c r="H193" s="555"/>
      <c r="I193" s="555"/>
      <c r="J193" s="555"/>
      <c r="K193" s="555"/>
      <c r="L193" s="555"/>
      <c r="M193" s="1">
        <f>ROWS(L$37:$L193)</f>
        <v>157</v>
      </c>
      <c r="N193" s="663" t="str">
        <f>IF(ID!$A$85=L193,M193,"")</f>
        <v/>
      </c>
      <c r="O193" s="663" t="str">
        <f>IFERROR(SMALL($N$37:$N$237,ROWS($N$37:N193)),"")</f>
        <v/>
      </c>
    </row>
    <row r="194" spans="6:15" x14ac:dyDescent="0.25">
      <c r="F194" s="560"/>
      <c r="G194" s="560"/>
      <c r="H194" s="560"/>
      <c r="I194" s="560"/>
      <c r="J194" s="560"/>
      <c r="K194" s="560"/>
      <c r="L194" s="560"/>
      <c r="M194" s="1">
        <f>ROWS(L$37:$L194)</f>
        <v>158</v>
      </c>
      <c r="N194" s="663" t="str">
        <f>IF(ID!$A$85=L194,M194,"")</f>
        <v/>
      </c>
      <c r="O194" s="663" t="str">
        <f>IFERROR(SMALL($N$37:$N$237,ROWS($N$37:N194)),"")</f>
        <v/>
      </c>
    </row>
    <row r="195" spans="6:15" x14ac:dyDescent="0.25">
      <c r="F195" s="555"/>
      <c r="G195" s="555"/>
      <c r="H195" s="555"/>
      <c r="I195" s="555"/>
      <c r="J195" s="555"/>
      <c r="K195" s="555"/>
      <c r="L195" s="555"/>
      <c r="M195" s="1">
        <f>ROWS(L$37:$L195)</f>
        <v>159</v>
      </c>
      <c r="N195" s="663" t="str">
        <f>IF(ID!$A$85=L195,M195,"")</f>
        <v/>
      </c>
      <c r="O195" s="663" t="str">
        <f>IFERROR(SMALL($N$37:$N$237,ROWS($N$37:N195)),"")</f>
        <v/>
      </c>
    </row>
    <row r="196" spans="6:15" x14ac:dyDescent="0.25">
      <c r="F196" s="555"/>
      <c r="G196" s="827" t="s">
        <v>526</v>
      </c>
      <c r="H196" s="693">
        <v>0</v>
      </c>
      <c r="I196" s="1031">
        <v>0</v>
      </c>
      <c r="J196" s="693"/>
      <c r="K196" s="1032" t="s">
        <v>585</v>
      </c>
      <c r="L196" s="155" t="s">
        <v>285</v>
      </c>
      <c r="M196" s="1">
        <f>ROWS(L$37:$L196)</f>
        <v>160</v>
      </c>
      <c r="N196" s="663" t="str">
        <f>IF(ID!$A$85=L196,M196,"")</f>
        <v/>
      </c>
      <c r="O196" s="663" t="str">
        <f>IFERROR(SMALL($N$37:$N$237,ROWS($N$37:N196)),"")</f>
        <v/>
      </c>
    </row>
    <row r="197" spans="6:15" x14ac:dyDescent="0.25">
      <c r="F197" s="555"/>
      <c r="G197" s="693"/>
      <c r="H197" s="693">
        <v>10</v>
      </c>
      <c r="I197" s="1031">
        <v>0</v>
      </c>
      <c r="J197" s="693"/>
      <c r="K197" s="693"/>
      <c r="L197" s="155" t="s">
        <v>285</v>
      </c>
      <c r="M197" s="1">
        <f>ROWS(L$37:$L197)</f>
        <v>161</v>
      </c>
      <c r="N197" s="663" t="str">
        <f>IF(ID!$A$85=L197,M197,"")</f>
        <v/>
      </c>
      <c r="O197" s="663" t="str">
        <f>IFERROR(SMALL($N$37:$N$237,ROWS($N$37:N197)),"")</f>
        <v/>
      </c>
    </row>
    <row r="198" spans="6:15" x14ac:dyDescent="0.25">
      <c r="F198" s="555"/>
      <c r="G198" s="693"/>
      <c r="H198" s="693">
        <v>30</v>
      </c>
      <c r="I198" s="1031">
        <v>0.01</v>
      </c>
      <c r="J198" s="693"/>
      <c r="K198" s="693"/>
      <c r="L198" s="155" t="s">
        <v>285</v>
      </c>
      <c r="M198" s="1">
        <f>ROWS(L$37:$L198)</f>
        <v>162</v>
      </c>
      <c r="N198" s="663" t="str">
        <f>IF(ID!$A$85=L198,M198,"")</f>
        <v/>
      </c>
      <c r="O198" s="663" t="str">
        <f>IFERROR(SMALL($N$37:$N$237,ROWS($N$37:N198)),"")</f>
        <v/>
      </c>
    </row>
    <row r="199" spans="6:15" x14ac:dyDescent="0.25">
      <c r="F199" s="555"/>
      <c r="G199" s="555"/>
      <c r="H199" s="555"/>
      <c r="I199" s="555"/>
      <c r="J199" s="555"/>
      <c r="K199" s="555"/>
      <c r="L199" s="555"/>
      <c r="M199" s="1">
        <f>ROWS(L$37:$L199)</f>
        <v>163</v>
      </c>
      <c r="N199" s="663" t="str">
        <f>IF(ID!$A$85=L199,M199,"")</f>
        <v/>
      </c>
      <c r="O199" s="663" t="str">
        <f>IFERROR(SMALL($N$37:$N$237,ROWS($N$37:N199)),"")</f>
        <v/>
      </c>
    </row>
    <row r="200" spans="6:15" x14ac:dyDescent="0.25">
      <c r="F200" s="555"/>
      <c r="G200" s="555"/>
      <c r="H200" s="555"/>
      <c r="I200" s="555"/>
      <c r="J200" s="555"/>
      <c r="K200" s="555"/>
      <c r="L200" s="555"/>
      <c r="M200" s="1">
        <f>ROWS(L$37:$L200)</f>
        <v>164</v>
      </c>
      <c r="N200" s="663" t="str">
        <f>IF(ID!$A$85=L200,M200,"")</f>
        <v/>
      </c>
      <c r="O200" s="663" t="str">
        <f>IFERROR(SMALL($N$37:$N$237,ROWS($N$37:N200)),"")</f>
        <v/>
      </c>
    </row>
    <row r="201" spans="6:15" x14ac:dyDescent="0.25">
      <c r="F201" s="555"/>
      <c r="G201" s="555"/>
      <c r="H201" s="555"/>
      <c r="I201" s="555"/>
      <c r="J201" s="555"/>
      <c r="K201" s="555"/>
      <c r="L201" s="555"/>
      <c r="M201" s="1">
        <f>ROWS(L$37:$L201)</f>
        <v>165</v>
      </c>
      <c r="N201" s="663" t="str">
        <f>IF(ID!$A$85=L201,M201,"")</f>
        <v/>
      </c>
      <c r="O201" s="663" t="str">
        <f>IFERROR(SMALL($N$37:$N$237,ROWS($N$37:N201)),"")</f>
        <v/>
      </c>
    </row>
    <row r="202" spans="6:15" x14ac:dyDescent="0.25">
      <c r="F202" s="555"/>
      <c r="G202" s="555"/>
      <c r="H202" s="555"/>
      <c r="I202" s="555"/>
      <c r="J202" s="555"/>
      <c r="K202" s="555"/>
      <c r="L202" s="555"/>
      <c r="M202" s="1">
        <f>ROWS(L$37:$L202)</f>
        <v>166</v>
      </c>
      <c r="N202" s="663" t="str">
        <f>IF(ID!$A$85=L202,M202,"")</f>
        <v/>
      </c>
      <c r="O202" s="663" t="str">
        <f>IFERROR(SMALL($N$37:$N$237,ROWS($N$37:N202)),"")</f>
        <v/>
      </c>
    </row>
    <row r="203" spans="6:15" x14ac:dyDescent="0.25">
      <c r="F203" s="555"/>
      <c r="G203" s="555"/>
      <c r="H203" s="555"/>
      <c r="I203" s="555"/>
      <c r="J203" s="555"/>
      <c r="K203" s="555"/>
      <c r="L203" s="555"/>
      <c r="M203" s="1">
        <f>ROWS(L$37:$L203)</f>
        <v>167</v>
      </c>
      <c r="N203" s="663" t="str">
        <f>IF(ID!$A$85=L203,M203,"")</f>
        <v/>
      </c>
      <c r="O203" s="663" t="str">
        <f>IFERROR(SMALL($N$37:$N$237,ROWS($N$37:N203)),"")</f>
        <v/>
      </c>
    </row>
    <row r="204" spans="6:15" x14ac:dyDescent="0.25">
      <c r="F204" s="555"/>
      <c r="G204" s="555"/>
      <c r="H204" s="555"/>
      <c r="I204" s="555"/>
      <c r="J204" s="555"/>
      <c r="K204" s="555"/>
      <c r="L204" s="555"/>
      <c r="M204" s="1">
        <f>ROWS(L$37:$L204)</f>
        <v>168</v>
      </c>
      <c r="N204" s="663" t="str">
        <f>IF(ID!$A$85=L204,M204,"")</f>
        <v/>
      </c>
      <c r="O204" s="663" t="str">
        <f>IFERROR(SMALL($N$37:$N$237,ROWS($N$37:N204)),"")</f>
        <v/>
      </c>
    </row>
    <row r="205" spans="6:15" x14ac:dyDescent="0.25">
      <c r="F205" s="555"/>
      <c r="G205" s="555"/>
      <c r="H205" s="555"/>
      <c r="I205" s="555"/>
      <c r="J205" s="555"/>
      <c r="K205" s="555"/>
      <c r="L205" s="555"/>
      <c r="M205" s="1">
        <f>ROWS(L$37:$L205)</f>
        <v>169</v>
      </c>
      <c r="N205" s="663" t="str">
        <f>IF(ID!$A$85=L205,M205,"")</f>
        <v/>
      </c>
      <c r="O205" s="663" t="str">
        <f>IFERROR(SMALL($N$37:$N$237,ROWS($N$37:N205)),"")</f>
        <v/>
      </c>
    </row>
    <row r="206" spans="6:15" x14ac:dyDescent="0.25">
      <c r="F206" s="555"/>
      <c r="G206" s="555"/>
      <c r="H206" s="555"/>
      <c r="I206" s="555"/>
      <c r="J206" s="555"/>
      <c r="K206" s="555"/>
      <c r="L206" s="555"/>
      <c r="M206" s="1">
        <f>ROWS(L$37:$L206)</f>
        <v>170</v>
      </c>
      <c r="N206" s="663" t="str">
        <f>IF(ID!$A$85=L206,M206,"")</f>
        <v/>
      </c>
      <c r="O206" s="663" t="str">
        <f>IFERROR(SMALL($N$37:$N$237,ROWS($N$37:N206)),"")</f>
        <v/>
      </c>
    </row>
    <row r="207" spans="6:15" x14ac:dyDescent="0.25">
      <c r="F207" s="555"/>
      <c r="G207" s="555"/>
      <c r="H207" s="555"/>
      <c r="I207" s="555"/>
      <c r="J207" s="555"/>
      <c r="K207" s="555"/>
      <c r="L207" s="555"/>
      <c r="M207" s="1">
        <f>ROWS(L$37:$L207)</f>
        <v>171</v>
      </c>
      <c r="N207" s="663" t="str">
        <f>IF(ID!$A$85=L207,M207,"")</f>
        <v/>
      </c>
      <c r="O207" s="663" t="str">
        <f>IFERROR(SMALL($N$37:$N$237,ROWS($N$37:N207)),"")</f>
        <v/>
      </c>
    </row>
    <row r="208" spans="6:15" x14ac:dyDescent="0.25">
      <c r="F208" s="560"/>
      <c r="G208" s="560"/>
      <c r="H208" s="560"/>
      <c r="I208" s="560"/>
      <c r="J208" s="560"/>
      <c r="K208" s="560"/>
      <c r="L208" s="560"/>
      <c r="M208" s="1">
        <f>ROWS(L$37:$L208)</f>
        <v>172</v>
      </c>
      <c r="N208" s="663" t="str">
        <f>IF(ID!$A$85=L208,M208,"")</f>
        <v/>
      </c>
      <c r="O208" s="663" t="str">
        <f>IFERROR(SMALL($N$37:$N$237,ROWS($N$37:N208)),"")</f>
        <v/>
      </c>
    </row>
    <row r="209" spans="6:15" x14ac:dyDescent="0.25">
      <c r="F209" s="555"/>
      <c r="G209" s="555"/>
      <c r="H209" s="555"/>
      <c r="I209" s="555"/>
      <c r="J209" s="555"/>
      <c r="K209" s="555"/>
      <c r="L209" s="555"/>
      <c r="M209" s="1">
        <f>ROWS(L$37:$L209)</f>
        <v>173</v>
      </c>
      <c r="N209" s="663" t="str">
        <f>IF(ID!$A$85=L209,M209,"")</f>
        <v/>
      </c>
      <c r="O209" s="663" t="str">
        <f>IFERROR(SMALL($N$37:$N$237,ROWS($N$37:N209)),"")</f>
        <v/>
      </c>
    </row>
    <row r="210" spans="6:15" x14ac:dyDescent="0.25">
      <c r="F210" s="555"/>
      <c r="G210" s="827" t="s">
        <v>526</v>
      </c>
      <c r="H210" s="693">
        <v>0</v>
      </c>
      <c r="I210" s="1031">
        <v>0</v>
      </c>
      <c r="J210" s="693"/>
      <c r="K210" s="1032" t="s">
        <v>585</v>
      </c>
      <c r="L210" s="155" t="s">
        <v>305</v>
      </c>
      <c r="M210" s="1">
        <f>ROWS(L$37:$L210)</f>
        <v>174</v>
      </c>
      <c r="N210" s="663" t="str">
        <f>IF(ID!$A$85=L210,M210,"")</f>
        <v/>
      </c>
      <c r="O210" s="663" t="str">
        <f>IFERROR(SMALL($N$37:$N$237,ROWS($N$37:N210)),"")</f>
        <v/>
      </c>
    </row>
    <row r="211" spans="6:15" x14ac:dyDescent="0.25">
      <c r="F211" s="555"/>
      <c r="G211" s="693"/>
      <c r="H211" s="693">
        <v>10</v>
      </c>
      <c r="I211" s="1031">
        <v>0</v>
      </c>
      <c r="J211" s="693"/>
      <c r="K211" s="693"/>
      <c r="L211" s="155" t="s">
        <v>305</v>
      </c>
      <c r="M211" s="1">
        <f>ROWS(L$37:$L211)</f>
        <v>175</v>
      </c>
      <c r="N211" s="663" t="str">
        <f>IF(ID!$A$85=L211,M211,"")</f>
        <v/>
      </c>
      <c r="O211" s="663" t="str">
        <f>IFERROR(SMALL($N$37:$N$237,ROWS($N$37:N211)),"")</f>
        <v/>
      </c>
    </row>
    <row r="212" spans="6:15" x14ac:dyDescent="0.25">
      <c r="F212" s="555"/>
      <c r="G212" s="693"/>
      <c r="H212" s="693">
        <v>30</v>
      </c>
      <c r="I212" s="693">
        <v>0.01</v>
      </c>
      <c r="J212" s="693"/>
      <c r="K212" s="693"/>
      <c r="L212" s="155" t="s">
        <v>305</v>
      </c>
      <c r="M212" s="1">
        <f>ROWS(L$37:$L212)</f>
        <v>176</v>
      </c>
      <c r="N212" s="663" t="str">
        <f>IF(ID!$A$85=L212,M212,"")</f>
        <v/>
      </c>
      <c r="O212" s="663" t="str">
        <f>IFERROR(SMALL($N$37:$N$237,ROWS($N$37:N212)),"")</f>
        <v/>
      </c>
    </row>
    <row r="213" spans="6:15" x14ac:dyDescent="0.25">
      <c r="F213" s="555"/>
      <c r="G213" s="555"/>
      <c r="H213" s="555"/>
      <c r="I213" s="555"/>
      <c r="J213" s="555"/>
      <c r="K213" s="555"/>
      <c r="L213" s="555"/>
      <c r="M213" s="1">
        <f>ROWS(L$37:$L213)</f>
        <v>177</v>
      </c>
      <c r="N213" s="663" t="str">
        <f>IF(ID!$A$85=L213,M213,"")</f>
        <v/>
      </c>
      <c r="O213" s="663" t="str">
        <f>IFERROR(SMALL($N$37:$N$237,ROWS($N$37:N213)),"")</f>
        <v/>
      </c>
    </row>
    <row r="214" spans="6:15" x14ac:dyDescent="0.25">
      <c r="F214" s="555"/>
      <c r="G214" s="555"/>
      <c r="H214" s="555"/>
      <c r="I214" s="555"/>
      <c r="J214" s="555"/>
      <c r="K214" s="555"/>
      <c r="L214" s="555"/>
      <c r="M214" s="1">
        <f>ROWS(L$37:$L214)</f>
        <v>178</v>
      </c>
      <c r="N214" s="663" t="str">
        <f>IF(ID!$A$85=L214,M214,"")</f>
        <v/>
      </c>
      <c r="O214" s="663" t="str">
        <f>IFERROR(SMALL($N$37:$N$237,ROWS($N$37:N214)),"")</f>
        <v/>
      </c>
    </row>
    <row r="215" spans="6:15" x14ac:dyDescent="0.25">
      <c r="F215" s="555"/>
      <c r="G215" s="555"/>
      <c r="H215" s="555"/>
      <c r="I215" s="555"/>
      <c r="J215" s="555"/>
      <c r="K215" s="555"/>
      <c r="L215" s="555"/>
      <c r="M215" s="1">
        <f>ROWS(L$37:$L215)</f>
        <v>179</v>
      </c>
      <c r="N215" s="663" t="str">
        <f>IF(ID!$A$85=L215,M215,"")</f>
        <v/>
      </c>
      <c r="O215" s="663" t="str">
        <f>IFERROR(SMALL($N$37:$N$237,ROWS($N$37:N215)),"")</f>
        <v/>
      </c>
    </row>
    <row r="216" spans="6:15" x14ac:dyDescent="0.25">
      <c r="F216" s="555"/>
      <c r="G216" s="555"/>
      <c r="H216" s="555"/>
      <c r="I216" s="555"/>
      <c r="J216" s="555"/>
      <c r="K216" s="555"/>
      <c r="L216" s="555"/>
      <c r="M216" s="1">
        <f>ROWS(L$37:$L216)</f>
        <v>180</v>
      </c>
      <c r="N216" s="663" t="str">
        <f>IF(ID!$A$85=L216,M216,"")</f>
        <v/>
      </c>
      <c r="O216" s="663" t="str">
        <f>IFERROR(SMALL($N$37:$N$237,ROWS($N$37:N216)),"")</f>
        <v/>
      </c>
    </row>
    <row r="217" spans="6:15" x14ac:dyDescent="0.25">
      <c r="F217" s="555"/>
      <c r="G217" s="555"/>
      <c r="H217" s="555"/>
      <c r="I217" s="555"/>
      <c r="J217" s="555"/>
      <c r="K217" s="555"/>
      <c r="L217" s="555"/>
      <c r="M217" s="1">
        <f>ROWS(L$37:$L217)</f>
        <v>181</v>
      </c>
      <c r="N217" s="663" t="str">
        <f>IF(ID!$A$85=L217,M217,"")</f>
        <v/>
      </c>
      <c r="O217" s="663" t="str">
        <f>IFERROR(SMALL($N$37:$N$237,ROWS($N$37:N217)),"")</f>
        <v/>
      </c>
    </row>
    <row r="218" spans="6:15" x14ac:dyDescent="0.25">
      <c r="F218" s="555"/>
      <c r="G218" s="555"/>
      <c r="H218" s="555"/>
      <c r="I218" s="555"/>
      <c r="J218" s="555"/>
      <c r="K218" s="555"/>
      <c r="L218" s="555"/>
      <c r="M218" s="1">
        <f>ROWS(L$37:$L218)</f>
        <v>182</v>
      </c>
      <c r="N218" s="663" t="str">
        <f>IF(ID!$A$85=L218,M218,"")</f>
        <v/>
      </c>
      <c r="O218" s="663" t="str">
        <f>IFERROR(SMALL($N$37:$N$237,ROWS($N$37:N218)),"")</f>
        <v/>
      </c>
    </row>
    <row r="219" spans="6:15" x14ac:dyDescent="0.25">
      <c r="F219" s="555"/>
      <c r="G219" s="555"/>
      <c r="H219" s="555"/>
      <c r="I219" s="555"/>
      <c r="J219" s="555"/>
      <c r="K219" s="555"/>
      <c r="L219" s="555"/>
      <c r="M219" s="1">
        <f>ROWS(L$37:$L219)</f>
        <v>183</v>
      </c>
      <c r="N219" s="663" t="str">
        <f>IF(ID!$A$85=L219,M219,"")</f>
        <v/>
      </c>
      <c r="O219" s="663" t="str">
        <f>IFERROR(SMALL($N$37:$N$237,ROWS($N$37:N219)),"")</f>
        <v/>
      </c>
    </row>
    <row r="220" spans="6:15" x14ac:dyDescent="0.25">
      <c r="F220" s="555"/>
      <c r="G220" s="555"/>
      <c r="H220" s="555"/>
      <c r="I220" s="555"/>
      <c r="J220" s="555"/>
      <c r="K220" s="555"/>
      <c r="L220" s="555"/>
      <c r="M220" s="1">
        <f>ROWS(L$37:$L220)</f>
        <v>184</v>
      </c>
      <c r="N220" s="663" t="str">
        <f>IF(ID!$A$85=L220,M220,"")</f>
        <v/>
      </c>
      <c r="O220" s="663" t="str">
        <f>IFERROR(SMALL($N$37:$N$237,ROWS($N$37:N220)),"")</f>
        <v/>
      </c>
    </row>
    <row r="221" spans="6:15" x14ac:dyDescent="0.25">
      <c r="F221" s="555"/>
      <c r="G221" s="555"/>
      <c r="H221" s="555"/>
      <c r="I221" s="555"/>
      <c r="J221" s="555"/>
      <c r="K221" s="555"/>
      <c r="L221" s="555"/>
      <c r="M221" s="1">
        <f>ROWS(L$37:$L221)</f>
        <v>185</v>
      </c>
      <c r="N221" s="663" t="str">
        <f>IF(ID!$A$85=L221,M221,"")</f>
        <v/>
      </c>
      <c r="O221" s="663" t="str">
        <f>IFERROR(SMALL($N$37:$N$237,ROWS($N$37:N221)),"")</f>
        <v/>
      </c>
    </row>
    <row r="222" spans="6:15" x14ac:dyDescent="0.25">
      <c r="F222" s="560"/>
      <c r="G222" s="560"/>
      <c r="H222" s="560"/>
      <c r="I222" s="560"/>
      <c r="J222" s="560"/>
      <c r="K222" s="560"/>
      <c r="L222" s="560"/>
      <c r="M222" s="1">
        <f>ROWS(L$37:$L222)</f>
        <v>186</v>
      </c>
      <c r="N222" s="663" t="str">
        <f>IF(ID!$A$85=L222,M222,"")</f>
        <v/>
      </c>
      <c r="O222" s="663" t="str">
        <f>IFERROR(SMALL($N$37:$N$237,ROWS($N$37:N222)),"")</f>
        <v/>
      </c>
    </row>
    <row r="223" spans="6:15" x14ac:dyDescent="0.25">
      <c r="F223" s="560"/>
      <c r="G223" s="560"/>
      <c r="H223" s="560"/>
      <c r="I223" s="560"/>
      <c r="J223" s="560"/>
      <c r="K223" s="560"/>
      <c r="L223" s="560"/>
      <c r="M223" s="1">
        <f>ROWS(L$37:$L223)</f>
        <v>187</v>
      </c>
      <c r="N223" s="663" t="str">
        <f>IF(ID!$A$85=L223,M223,"")</f>
        <v/>
      </c>
      <c r="O223" s="663" t="str">
        <f>IFERROR(SMALL($N$37:$N$237,ROWS($N$37:N223)),"")</f>
        <v/>
      </c>
    </row>
    <row r="224" spans="6:15" x14ac:dyDescent="0.25">
      <c r="F224" s="555"/>
      <c r="G224" s="555"/>
      <c r="H224" s="555"/>
      <c r="I224" s="555"/>
      <c r="J224" s="555"/>
      <c r="K224" s="555"/>
      <c r="L224" s="555"/>
      <c r="M224" s="1">
        <f>ROWS(L$37:$L224)</f>
        <v>188</v>
      </c>
      <c r="N224" s="663" t="str">
        <f>IF(ID!$A$85=L224,M224,"")</f>
        <v/>
      </c>
      <c r="O224" s="663" t="str">
        <f>IFERROR(SMALL($N$37:$N$237,ROWS($N$37:N224)),"")</f>
        <v/>
      </c>
    </row>
    <row r="225" spans="6:15" x14ac:dyDescent="0.25">
      <c r="F225" s="555"/>
      <c r="G225" s="827" t="s">
        <v>450</v>
      </c>
      <c r="H225" s="693">
        <v>0</v>
      </c>
      <c r="I225" s="1036">
        <v>0</v>
      </c>
      <c r="J225" s="693"/>
      <c r="K225" s="1032" t="s">
        <v>585</v>
      </c>
      <c r="L225" s="935" t="s">
        <v>589</v>
      </c>
      <c r="M225" s="1">
        <f>ROWS(L$37:$L225)</f>
        <v>189</v>
      </c>
      <c r="N225" s="663" t="str">
        <f>IF(ID!$A$85=L225,M225,"")</f>
        <v/>
      </c>
      <c r="O225" s="663" t="str">
        <f>IFERROR(SMALL($N$37:$N$237,ROWS($N$37:N225)),"")</f>
        <v/>
      </c>
    </row>
    <row r="226" spans="6:15" x14ac:dyDescent="0.25">
      <c r="F226" s="555"/>
      <c r="G226" s="693"/>
      <c r="H226" s="693">
        <v>10</v>
      </c>
      <c r="I226" s="1036">
        <v>0</v>
      </c>
      <c r="J226" s="693"/>
      <c r="K226" s="693"/>
      <c r="L226" s="935" t="s">
        <v>589</v>
      </c>
      <c r="M226" s="1">
        <f>ROWS(L$37:$L226)</f>
        <v>190</v>
      </c>
      <c r="N226" s="663" t="str">
        <f>IF(ID!$A$85=L226,M226,"")</f>
        <v/>
      </c>
      <c r="O226" s="663" t="str">
        <f>IFERROR(SMALL($N$37:$N$237,ROWS($N$37:N226)),"")</f>
        <v/>
      </c>
    </row>
    <row r="227" spans="6:15" x14ac:dyDescent="0.25">
      <c r="F227" s="555"/>
      <c r="G227" s="693"/>
      <c r="H227" s="693">
        <v>30</v>
      </c>
      <c r="I227" s="693">
        <v>1E-3</v>
      </c>
      <c r="J227" s="693"/>
      <c r="K227" s="693"/>
      <c r="L227" s="935" t="s">
        <v>589</v>
      </c>
      <c r="M227" s="1">
        <f>ROWS(L$37:$L227)</f>
        <v>191</v>
      </c>
      <c r="N227" s="663" t="str">
        <f>IF(ID!$A$85=L227,M227,"")</f>
        <v/>
      </c>
      <c r="O227" s="663" t="str">
        <f>IFERROR(SMALL($N$37:$N$237,ROWS($N$37:N227)),"")</f>
        <v/>
      </c>
    </row>
    <row r="228" spans="6:15" x14ac:dyDescent="0.25">
      <c r="F228" s="555"/>
      <c r="G228" s="555"/>
      <c r="H228" s="555"/>
      <c r="I228" s="555"/>
      <c r="J228" s="555"/>
      <c r="K228" s="555"/>
      <c r="L228" s="555"/>
      <c r="M228" s="1">
        <f>ROWS(L$37:$L228)</f>
        <v>192</v>
      </c>
      <c r="N228" s="663" t="str">
        <f>IF(ID!$A$85=L228,M228,"")</f>
        <v/>
      </c>
      <c r="O228" s="663" t="str">
        <f>IFERROR(SMALL($N$37:$N$237,ROWS($N$37:N228)),"")</f>
        <v/>
      </c>
    </row>
    <row r="229" spans="6:15" x14ac:dyDescent="0.25">
      <c r="F229" s="555"/>
      <c r="G229" s="555"/>
      <c r="H229" s="555"/>
      <c r="I229" s="555"/>
      <c r="J229" s="555"/>
      <c r="K229" s="555"/>
      <c r="L229" s="555"/>
      <c r="M229" s="1">
        <f>ROWS(L$37:$L229)</f>
        <v>193</v>
      </c>
      <c r="N229" s="663" t="str">
        <f>IF(ID!$A$85=L229,M229,"")</f>
        <v/>
      </c>
      <c r="O229" s="663" t="str">
        <f>IFERROR(SMALL($N$37:$N$237,ROWS($N$37:N229)),"")</f>
        <v/>
      </c>
    </row>
    <row r="230" spans="6:15" x14ac:dyDescent="0.25">
      <c r="F230" s="555"/>
      <c r="G230" s="555"/>
      <c r="H230" s="555"/>
      <c r="I230" s="555"/>
      <c r="J230" s="555"/>
      <c r="K230" s="555"/>
      <c r="L230" s="555"/>
      <c r="M230" s="1">
        <f>ROWS(L$37:$L230)</f>
        <v>194</v>
      </c>
      <c r="N230" s="663" t="str">
        <f>IF(ID!$A$85=L230,M230,"")</f>
        <v/>
      </c>
      <c r="O230" s="663" t="str">
        <f>IFERROR(SMALL($N$37:$N$237,ROWS($N$37:N230)),"")</f>
        <v/>
      </c>
    </row>
    <row r="231" spans="6:15" x14ac:dyDescent="0.25">
      <c r="F231" s="555"/>
      <c r="G231" s="555"/>
      <c r="H231" s="555"/>
      <c r="I231" s="555"/>
      <c r="J231" s="555"/>
      <c r="K231" s="555"/>
      <c r="L231" s="555"/>
      <c r="M231" s="1">
        <f>ROWS(L$37:$L231)</f>
        <v>195</v>
      </c>
      <c r="N231" s="663" t="str">
        <f>IF(ID!$A$85=L231,M231,"")</f>
        <v/>
      </c>
      <c r="O231" s="663" t="str">
        <f>IFERROR(SMALL($N$37:$N$237,ROWS($N$37:N231)),"")</f>
        <v/>
      </c>
    </row>
    <row r="232" spans="6:15" x14ac:dyDescent="0.25">
      <c r="F232" s="555"/>
      <c r="G232" s="555"/>
      <c r="H232" s="555"/>
      <c r="I232" s="555"/>
      <c r="J232" s="555"/>
      <c r="K232" s="555"/>
      <c r="L232" s="555"/>
      <c r="M232" s="1">
        <f>ROWS(L$37:$L232)</f>
        <v>196</v>
      </c>
      <c r="N232" s="663" t="str">
        <f>IF(ID!$A$85=L232,M232,"")</f>
        <v/>
      </c>
      <c r="O232" s="663" t="str">
        <f>IFERROR(SMALL($N$37:$N$237,ROWS($N$37:N232)),"")</f>
        <v/>
      </c>
    </row>
    <row r="233" spans="6:15" x14ac:dyDescent="0.25">
      <c r="F233" s="555"/>
      <c r="G233" s="555"/>
      <c r="H233" s="555"/>
      <c r="I233" s="555"/>
      <c r="J233" s="555"/>
      <c r="K233" s="555"/>
      <c r="L233" s="555"/>
      <c r="M233" s="1">
        <f>ROWS(L$37:$L233)</f>
        <v>197</v>
      </c>
      <c r="N233" s="663" t="str">
        <f>IF(ID!$A$85=L233,M233,"")</f>
        <v/>
      </c>
      <c r="O233" s="663" t="str">
        <f>IFERROR(SMALL($N$37:$N$237,ROWS($N$37:N233)),"")</f>
        <v/>
      </c>
    </row>
    <row r="234" spans="6:15" x14ac:dyDescent="0.25">
      <c r="F234" s="555"/>
      <c r="G234" s="555"/>
      <c r="H234" s="555"/>
      <c r="I234" s="555"/>
      <c r="J234" s="555"/>
      <c r="K234" s="555"/>
      <c r="L234" s="555"/>
      <c r="M234" s="1">
        <f>ROWS(L$37:$L234)</f>
        <v>198</v>
      </c>
      <c r="N234" s="663" t="str">
        <f>IF(ID!$A$85=L234,M234,"")</f>
        <v/>
      </c>
      <c r="O234" s="663" t="str">
        <f>IFERROR(SMALL($N$37:$N$237,ROWS($N$37:N234)),"")</f>
        <v/>
      </c>
    </row>
    <row r="235" spans="6:15" x14ac:dyDescent="0.25">
      <c r="F235" s="555"/>
      <c r="G235" s="555"/>
      <c r="H235" s="555"/>
      <c r="I235" s="555"/>
      <c r="J235" s="555"/>
      <c r="K235" s="555"/>
      <c r="L235" s="555"/>
      <c r="M235" s="1">
        <f>ROWS(L$37:$L235)</f>
        <v>199</v>
      </c>
      <c r="N235" s="663" t="str">
        <f>IF(ID!$A$85=L235,M235,"")</f>
        <v/>
      </c>
      <c r="O235" s="663" t="str">
        <f>IFERROR(SMALL($N$37:$N$237,ROWS($N$37:N235)),"")</f>
        <v/>
      </c>
    </row>
    <row r="236" spans="6:15" x14ac:dyDescent="0.25">
      <c r="F236" s="555"/>
      <c r="G236" s="555"/>
      <c r="H236" s="555"/>
      <c r="I236" s="555"/>
      <c r="J236" s="555"/>
      <c r="K236" s="555"/>
      <c r="L236" s="555"/>
      <c r="M236" s="1">
        <f>ROWS(L$37:$L236)</f>
        <v>200</v>
      </c>
      <c r="N236" s="663" t="str">
        <f>IF(ID!$A$85=L236,M236,"")</f>
        <v/>
      </c>
      <c r="O236" s="663" t="str">
        <f>IFERROR(SMALL($N$37:$N$237,ROWS($N$37:N236)),"")</f>
        <v/>
      </c>
    </row>
    <row r="237" spans="6:15" x14ac:dyDescent="0.25">
      <c r="F237" s="560"/>
      <c r="G237" s="560"/>
      <c r="H237" s="560"/>
      <c r="I237" s="560"/>
      <c r="J237" s="560"/>
      <c r="K237" s="560"/>
      <c r="L237" s="560"/>
      <c r="M237" s="1">
        <f>ROWS(L$37:$L237)</f>
        <v>201</v>
      </c>
      <c r="N237" s="663" t="str">
        <f>IF(ID!$A$85=L237,M237,"")</f>
        <v/>
      </c>
      <c r="O237" s="663" t="str">
        <f>IFERROR(SMALL($N$37:$N$237,ROWS($N$37:N237)),"")</f>
        <v/>
      </c>
    </row>
  </sheetData>
  <mergeCells count="10">
    <mergeCell ref="F35:G35"/>
    <mergeCell ref="F36:G36"/>
    <mergeCell ref="H4:K4"/>
    <mergeCell ref="J6:J7"/>
    <mergeCell ref="K6:K7"/>
    <mergeCell ref="A33:O33"/>
    <mergeCell ref="J22:J23"/>
    <mergeCell ref="K22:K23"/>
    <mergeCell ref="K14:K15"/>
    <mergeCell ref="J14:J15"/>
  </mergeCells>
  <phoneticPr fontId="6"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D4:K30"/>
  <sheetViews>
    <sheetView topLeftCell="E1" zoomScaleNormal="100" workbookViewId="0">
      <selection activeCell="E14" sqref="E14"/>
    </sheetView>
  </sheetViews>
  <sheetFormatPr defaultRowHeight="13.2" x14ac:dyDescent="0.25"/>
  <cols>
    <col min="4" max="4" width="11.77734375" style="676" customWidth="1"/>
    <col min="5" max="5" width="66.77734375" style="677" customWidth="1"/>
  </cols>
  <sheetData>
    <row r="4" spans="4:11" x14ac:dyDescent="0.25">
      <c r="D4" s="673"/>
      <c r="I4" s="2"/>
      <c r="J4" s="2"/>
      <c r="K4" s="2"/>
    </row>
    <row r="5" spans="4:11" x14ac:dyDescent="0.25">
      <c r="D5" s="673"/>
      <c r="E5" s="678"/>
      <c r="I5" s="2"/>
      <c r="J5" s="2"/>
      <c r="K5" s="2"/>
    </row>
    <row r="6" spans="4:11" x14ac:dyDescent="0.25">
      <c r="D6" s="674" t="s">
        <v>378</v>
      </c>
      <c r="E6" s="679" t="s">
        <v>55</v>
      </c>
      <c r="F6" s="6" t="s">
        <v>98</v>
      </c>
      <c r="G6" s="6" t="s">
        <v>99</v>
      </c>
      <c r="H6" s="6" t="s">
        <v>100</v>
      </c>
      <c r="I6" s="2"/>
      <c r="J6" s="2"/>
      <c r="K6" s="2"/>
    </row>
    <row r="7" spans="4:11" x14ac:dyDescent="0.25">
      <c r="D7" s="675">
        <v>0.1</v>
      </c>
      <c r="E7" s="1096" t="s">
        <v>461</v>
      </c>
      <c r="F7" s="157">
        <f>ROWS(E$10:$E10)</f>
        <v>1</v>
      </c>
      <c r="G7" s="157" t="str">
        <f>IF(ID!$A$83=E7,F7,"")</f>
        <v/>
      </c>
      <c r="H7" s="157">
        <f>IFERROR(SMALL($G$7:$G$30,ROWS($G$7:G7)),"")</f>
        <v>3</v>
      </c>
      <c r="I7" s="2"/>
      <c r="J7" s="2"/>
      <c r="K7" s="672">
        <f>IFERROR(INDEX($D$7:$D$30,$H7,COLUMNS(J$7:$J7)),"")</f>
        <v>0.1</v>
      </c>
    </row>
    <row r="8" spans="4:11" x14ac:dyDescent="0.25">
      <c r="D8" s="675">
        <v>0.1</v>
      </c>
      <c r="E8" s="1096" t="s">
        <v>286</v>
      </c>
      <c r="F8" s="157">
        <f>ROWS(E$10:$E11)</f>
        <v>2</v>
      </c>
      <c r="G8" s="157" t="str">
        <f>IF(ID!$A$83=E8,F8,"")</f>
        <v/>
      </c>
      <c r="H8" s="157" t="str">
        <f>IFERROR(SMALL($G$7:$G$30,ROWS($G$7:G8)),"")</f>
        <v/>
      </c>
      <c r="I8" s="2"/>
      <c r="J8" s="2"/>
      <c r="K8" s="2"/>
    </row>
    <row r="9" spans="4:11" x14ac:dyDescent="0.25">
      <c r="D9" s="675">
        <v>0.1</v>
      </c>
      <c r="E9" s="1096" t="s">
        <v>460</v>
      </c>
      <c r="F9" s="157">
        <f>ROWS(E$10:$E12)</f>
        <v>3</v>
      </c>
      <c r="G9" s="157">
        <f>IF(ID!$A$83=E9,F9,"")</f>
        <v>3</v>
      </c>
      <c r="H9" s="157" t="str">
        <f>IFERROR(SMALL($G$7:$G$30,ROWS($G$7:G9)),"")</f>
        <v/>
      </c>
      <c r="I9" s="2"/>
      <c r="J9" s="2"/>
      <c r="K9" s="2"/>
    </row>
    <row r="10" spans="4:11" x14ac:dyDescent="0.25">
      <c r="D10" s="675">
        <v>0.1</v>
      </c>
      <c r="E10" s="1096" t="s">
        <v>459</v>
      </c>
      <c r="F10" s="157">
        <f>ROWS(E$10:$E13)</f>
        <v>4</v>
      </c>
      <c r="G10" s="157" t="str">
        <f>IF(ID!$A$83=E10,F10,"")</f>
        <v/>
      </c>
      <c r="H10" s="157" t="str">
        <f>IFERROR(SMALL($G$7:$G$30,ROWS($G$7:G10)),"")</f>
        <v/>
      </c>
      <c r="I10" s="2"/>
      <c r="J10" s="2"/>
      <c r="K10" s="2"/>
    </row>
    <row r="11" spans="4:11" x14ac:dyDescent="0.25">
      <c r="D11" s="675">
        <v>0.1</v>
      </c>
      <c r="E11" s="1096" t="s">
        <v>463</v>
      </c>
      <c r="F11" s="157">
        <f>ROWS(E$10:$E14)</f>
        <v>5</v>
      </c>
      <c r="G11" s="157" t="str">
        <f>IF(ID!$A$83=E11,F11,"")</f>
        <v/>
      </c>
      <c r="H11" s="157" t="str">
        <f>IFERROR(SMALL($G$7:$G$30,ROWS($G$7:G11)),"")</f>
        <v/>
      </c>
      <c r="I11" s="2"/>
      <c r="J11" s="2"/>
      <c r="K11" s="2"/>
    </row>
    <row r="12" spans="4:11" x14ac:dyDescent="0.25">
      <c r="D12" s="675">
        <v>0.1</v>
      </c>
      <c r="E12" s="1096" t="s">
        <v>462</v>
      </c>
      <c r="F12" s="157">
        <f>ROWS(E$10:$E15)</f>
        <v>6</v>
      </c>
      <c r="G12" s="157" t="str">
        <f>IF(ID!$A$83=E12,F12,"")</f>
        <v/>
      </c>
      <c r="H12" s="157" t="str">
        <f>IFERROR(SMALL($G$7:$G$30,ROWS($G$7:G12)),"")</f>
        <v/>
      </c>
      <c r="I12" s="2"/>
      <c r="J12" s="2"/>
      <c r="K12" s="2"/>
    </row>
    <row r="13" spans="4:11" x14ac:dyDescent="0.25">
      <c r="D13" s="675">
        <v>0.5</v>
      </c>
      <c r="F13" s="157">
        <f>ROWS(E$10:$E16)</f>
        <v>7</v>
      </c>
      <c r="G13" s="157" t="str">
        <f>IF(ID!$A$83=I13,F13,"")</f>
        <v/>
      </c>
      <c r="H13" s="157" t="str">
        <f>IFERROR(SMALL($G$7:$G$30,ROWS($G$7:G13)),"")</f>
        <v/>
      </c>
      <c r="I13" s="680" t="s">
        <v>308</v>
      </c>
      <c r="J13" s="2"/>
      <c r="K13" s="2"/>
    </row>
    <row r="14" spans="4:11" x14ac:dyDescent="0.25">
      <c r="D14" s="675">
        <v>0.5</v>
      </c>
      <c r="F14" s="157">
        <f>ROWS(E$10:$E17)</f>
        <v>8</v>
      </c>
      <c r="G14" s="157" t="str">
        <f>IF(ID!$A$83=I14,F14,"")</f>
        <v/>
      </c>
      <c r="H14" s="157" t="str">
        <f>IFERROR(SMALL($G$7:$G$30,ROWS($G$7:G14)),"")</f>
        <v/>
      </c>
      <c r="I14" s="680" t="s">
        <v>309</v>
      </c>
      <c r="J14" s="2"/>
      <c r="K14" s="2"/>
    </row>
    <row r="15" spans="4:11" x14ac:dyDescent="0.25">
      <c r="D15" s="675">
        <v>0.5</v>
      </c>
      <c r="F15" s="157">
        <f>ROWS(E$10:$E18)</f>
        <v>9</v>
      </c>
      <c r="G15" s="157" t="str">
        <f>IF(ID!$A$83=I15,F15,"")</f>
        <v/>
      </c>
      <c r="H15" s="157" t="str">
        <f>IFERROR(SMALL($G$7:$G$30,ROWS($G$7:G15)),"")</f>
        <v/>
      </c>
      <c r="I15" s="680" t="s">
        <v>310</v>
      </c>
      <c r="J15" s="2"/>
      <c r="K15" s="2"/>
    </row>
    <row r="16" spans="4:11" x14ac:dyDescent="0.25">
      <c r="D16" s="675">
        <v>0.5</v>
      </c>
      <c r="F16" s="157">
        <f>ROWS(E$10:$E19)</f>
        <v>10</v>
      </c>
      <c r="G16" s="157" t="str">
        <f>IF(ID!$A$83=I16,F16,"")</f>
        <v/>
      </c>
      <c r="H16" s="157" t="str">
        <f>IFERROR(SMALL($G$7:$G$30,ROWS($G$7:G16)),"")</f>
        <v/>
      </c>
      <c r="I16" s="680" t="s">
        <v>311</v>
      </c>
      <c r="J16" s="2"/>
      <c r="K16" s="2"/>
    </row>
    <row r="17" spans="4:11" x14ac:dyDescent="0.25">
      <c r="D17" s="675">
        <v>0.5</v>
      </c>
      <c r="F17" s="157">
        <f>ROWS(E$10:$E20)</f>
        <v>11</v>
      </c>
      <c r="G17" s="157" t="str">
        <f>IF(ID!$A$83=I17,F17,"")</f>
        <v/>
      </c>
      <c r="H17" s="157" t="str">
        <f>IFERROR(SMALL($G$7:$G$30,ROWS($G$7:G17)),"")</f>
        <v/>
      </c>
      <c r="I17" s="680" t="s">
        <v>253</v>
      </c>
      <c r="J17" s="2"/>
      <c r="K17" s="2"/>
    </row>
    <row r="18" spans="4:11" x14ac:dyDescent="0.25">
      <c r="D18" s="675">
        <v>0.5</v>
      </c>
      <c r="F18" s="157">
        <f>ROWS(E$10:$E21)</f>
        <v>12</v>
      </c>
      <c r="G18" s="157" t="str">
        <f>IF(ID!$A$83=I18,F18,"")</f>
        <v/>
      </c>
      <c r="H18" s="157" t="str">
        <f>IFERROR(SMALL($G$7:$G$30,ROWS($G$7:G18)),"")</f>
        <v/>
      </c>
      <c r="I18" s="680" t="s">
        <v>254</v>
      </c>
      <c r="J18" s="2"/>
      <c r="K18" s="2"/>
    </row>
    <row r="19" spans="4:11" x14ac:dyDescent="0.25">
      <c r="D19" s="675">
        <v>0.5</v>
      </c>
      <c r="F19" s="157">
        <f>ROWS(E$10:$E22)</f>
        <v>13</v>
      </c>
      <c r="G19" s="157" t="str">
        <f>IF(ID!$A$83=I19,F19,"")</f>
        <v/>
      </c>
      <c r="H19" s="157" t="str">
        <f>IFERROR(SMALL($G$7:$G$30,ROWS($G$7:G19)),"")</f>
        <v/>
      </c>
      <c r="I19" s="680" t="s">
        <v>257</v>
      </c>
      <c r="J19" s="2"/>
      <c r="K19" s="2"/>
    </row>
    <row r="20" spans="4:11" x14ac:dyDescent="0.25">
      <c r="D20" s="675">
        <v>0.5</v>
      </c>
      <c r="F20" s="157">
        <f>ROWS(E$10:$E23)</f>
        <v>14</v>
      </c>
      <c r="G20" s="157" t="str">
        <f>IF(ID!$A$83=I20,F20,"")</f>
        <v/>
      </c>
      <c r="H20" s="157" t="str">
        <f>IFERROR(SMALL($G$7:$G$30,ROWS($G$7:G20)),"")</f>
        <v/>
      </c>
      <c r="I20" s="680" t="s">
        <v>258</v>
      </c>
      <c r="J20" s="2"/>
      <c r="K20" s="2"/>
    </row>
    <row r="21" spans="4:11" x14ac:dyDescent="0.25">
      <c r="D21" s="675">
        <v>0.5</v>
      </c>
      <c r="F21" s="157">
        <f>ROWS(E$10:$E24)</f>
        <v>15</v>
      </c>
      <c r="G21" s="157" t="str">
        <f>IF(ID!$A$83=I21,F21,"")</f>
        <v/>
      </c>
      <c r="H21" s="157" t="str">
        <f>IFERROR(SMALL($G$7:$G$30,ROWS($G$7:G21)),"")</f>
        <v/>
      </c>
      <c r="I21" s="681" t="s">
        <v>333</v>
      </c>
      <c r="J21" s="2"/>
      <c r="K21" s="2"/>
    </row>
    <row r="22" spans="4:11" x14ac:dyDescent="0.25">
      <c r="D22" s="675">
        <v>0.5</v>
      </c>
      <c r="F22" s="157">
        <f>ROWS(E$10:$E25)</f>
        <v>16</v>
      </c>
      <c r="G22" s="157" t="str">
        <f>IF(ID!$A$83=I22,F22,"")</f>
        <v/>
      </c>
      <c r="H22" s="157" t="str">
        <f>IFERROR(SMALL($G$7:$G$30,ROWS($G$7:G22)),"")</f>
        <v/>
      </c>
      <c r="I22" s="681" t="s">
        <v>335</v>
      </c>
      <c r="J22" s="2"/>
      <c r="K22" s="2"/>
    </row>
    <row r="23" spans="4:11" x14ac:dyDescent="0.25">
      <c r="D23" s="675">
        <v>0.1</v>
      </c>
      <c r="F23" s="157">
        <f>ROWS(E$10:$E26)</f>
        <v>17</v>
      </c>
      <c r="G23" s="157" t="str">
        <f>IF(ID!$A$83=I23,F23,"")</f>
        <v/>
      </c>
      <c r="H23" s="157" t="str">
        <f>IFERROR(SMALL($G$7:$G$30,ROWS($G$7:G23)),"")</f>
        <v/>
      </c>
      <c r="I23" s="680" t="s">
        <v>261</v>
      </c>
      <c r="J23" s="2"/>
      <c r="K23" s="2"/>
    </row>
    <row r="24" spans="4:11" x14ac:dyDescent="0.25">
      <c r="D24" s="675">
        <v>0.1</v>
      </c>
      <c r="F24" s="157">
        <f>ROWS(E$10:$E27)</f>
        <v>18</v>
      </c>
      <c r="G24" s="157" t="str">
        <f>IF(ID!$A$83=I24,F24,"")</f>
        <v/>
      </c>
      <c r="H24" s="157" t="str">
        <f>IFERROR(SMALL($G$7:$G$30,ROWS($G$7:G24)),"")</f>
        <v/>
      </c>
      <c r="I24" s="680" t="s">
        <v>249</v>
      </c>
      <c r="J24" s="2"/>
      <c r="K24" s="2"/>
    </row>
    <row r="25" spans="4:11" x14ac:dyDescent="0.25">
      <c r="D25" s="675">
        <v>0.1</v>
      </c>
      <c r="F25" s="157">
        <f>ROWS(E$10:$E28)</f>
        <v>19</v>
      </c>
      <c r="G25" s="157" t="str">
        <f>IF(ID!$A$83=I25,F25,"")</f>
        <v/>
      </c>
      <c r="H25" s="157" t="str">
        <f>IFERROR(SMALL($G$7:$G$30,ROWS($G$7:G25)),"")</f>
        <v/>
      </c>
      <c r="I25" s="680" t="s">
        <v>250</v>
      </c>
      <c r="J25" s="2"/>
      <c r="K25" s="2"/>
    </row>
    <row r="26" spans="4:11" x14ac:dyDescent="0.25">
      <c r="D26" s="675">
        <v>0.1</v>
      </c>
      <c r="F26" s="157">
        <f>ROWS(E$10:$E29)</f>
        <v>20</v>
      </c>
      <c r="G26" s="157" t="str">
        <f>IF(ID!$A$83=I26,F26,"")</f>
        <v/>
      </c>
      <c r="H26" s="157" t="str">
        <f>IFERROR(SMALL($G$7:$G$30,ROWS($G$7:G26)),"")</f>
        <v/>
      </c>
      <c r="I26" s="680" t="s">
        <v>251</v>
      </c>
      <c r="J26" s="2"/>
      <c r="K26" s="2"/>
    </row>
    <row r="27" spans="4:11" x14ac:dyDescent="0.25">
      <c r="D27" s="675">
        <v>0.1</v>
      </c>
      <c r="F27" s="157">
        <f>ROWS(E$10:$E30)</f>
        <v>21</v>
      </c>
      <c r="G27" s="157" t="str">
        <f>IF(ID!$A$83=I27,F27,"")</f>
        <v/>
      </c>
      <c r="H27" s="157" t="str">
        <f>IFERROR(SMALL($G$7:$G$30,ROWS($G$7:G27)),"")</f>
        <v/>
      </c>
      <c r="I27" s="680" t="s">
        <v>252</v>
      </c>
      <c r="J27" s="2"/>
      <c r="K27" s="2"/>
    </row>
    <row r="28" spans="4:11" x14ac:dyDescent="0.25">
      <c r="D28" s="675">
        <v>0.1</v>
      </c>
      <c r="F28" s="157">
        <f>ROWS(E$10:$E31)</f>
        <v>22</v>
      </c>
      <c r="G28" s="157" t="str">
        <f>IF(ID!$A$83=I28,F28,"")</f>
        <v/>
      </c>
      <c r="H28" s="157" t="str">
        <f>IFERROR(SMALL($G$7:$G$30,ROWS($G$7:G28)),"")</f>
        <v/>
      </c>
      <c r="I28" s="680" t="s">
        <v>260</v>
      </c>
      <c r="J28" s="2"/>
      <c r="K28" s="2"/>
    </row>
    <row r="29" spans="4:11" x14ac:dyDescent="0.25">
      <c r="D29" s="675">
        <v>0.1</v>
      </c>
      <c r="F29" s="157">
        <f>ROWS(E$10:$E32)</f>
        <v>23</v>
      </c>
      <c r="G29" s="157" t="str">
        <f>IF(ID!$A$83=I29,F29,"")</f>
        <v/>
      </c>
      <c r="H29" s="157" t="str">
        <f>IFERROR(SMALL($G$7:$G$30,ROWS($G$7:G29)),"")</f>
        <v/>
      </c>
      <c r="I29" s="681" t="s">
        <v>341</v>
      </c>
      <c r="J29" s="2"/>
      <c r="K29" s="2"/>
    </row>
    <row r="30" spans="4:11" x14ac:dyDescent="0.25">
      <c r="D30" s="675">
        <v>0.1</v>
      </c>
      <c r="F30" s="157">
        <f>ROWS(E$10:$E33)</f>
        <v>24</v>
      </c>
      <c r="G30" s="157" t="str">
        <f>IF(ID!$A$83=I30,F30,"")</f>
        <v/>
      </c>
      <c r="H30" s="157" t="str">
        <f>IFERROR(SMALL($G$7:$G$30,ROWS($G$7:G30)),"")</f>
        <v/>
      </c>
      <c r="I30" s="681" t="s">
        <v>340</v>
      </c>
      <c r="J30" s="2"/>
      <c r="K30" s="2"/>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2:W224"/>
  <sheetViews>
    <sheetView topLeftCell="E1" zoomScale="115" zoomScaleNormal="115" workbookViewId="0">
      <selection activeCell="I148" sqref="I148:I154"/>
    </sheetView>
  </sheetViews>
  <sheetFormatPr defaultColWidth="9.21875" defaultRowHeight="10.199999999999999" x14ac:dyDescent="0.2"/>
  <cols>
    <col min="1" max="1" width="9.21875" style="19"/>
    <col min="2" max="2" width="9.21875" style="19" bestFit="1" customWidth="1"/>
    <col min="3" max="3" width="11.5546875" style="19" customWidth="1"/>
    <col min="4" max="5" width="9.21875" style="19" bestFit="1" customWidth="1"/>
    <col min="6" max="6" width="13.21875" style="19" customWidth="1"/>
    <col min="7" max="7" width="9.21875" style="19" bestFit="1" customWidth="1"/>
    <col min="8" max="8" width="10.44140625" style="19" bestFit="1" customWidth="1"/>
    <col min="9" max="9" width="68.77734375" style="27" customWidth="1"/>
    <col min="10" max="14" width="9.21875" style="19" customWidth="1"/>
    <col min="15" max="21" width="12.21875" style="19" customWidth="1"/>
    <col min="22" max="22" width="10.44140625" style="19" customWidth="1"/>
    <col min="23" max="23" width="70" style="19" customWidth="1"/>
    <col min="24" max="24" width="9.21875" style="19" customWidth="1"/>
    <col min="25" max="16384" width="9.21875" style="19"/>
  </cols>
  <sheetData>
    <row r="2" spans="2:23" x14ac:dyDescent="0.2">
      <c r="W2" s="20" t="s">
        <v>55</v>
      </c>
    </row>
    <row r="3" spans="2:23" ht="13.2" x14ac:dyDescent="0.25">
      <c r="W3" t="s">
        <v>290</v>
      </c>
    </row>
    <row r="4" spans="2:23" ht="20.399999999999999" x14ac:dyDescent="0.35">
      <c r="O4" s="1069"/>
      <c r="W4" t="s">
        <v>265</v>
      </c>
    </row>
    <row r="5" spans="2:23" ht="20.399999999999999" x14ac:dyDescent="0.35">
      <c r="O5" s="1070"/>
      <c r="W5" t="s">
        <v>479</v>
      </c>
    </row>
    <row r="6" spans="2:23" ht="13.2" x14ac:dyDescent="0.25">
      <c r="W6" t="s">
        <v>289</v>
      </c>
    </row>
    <row r="7" spans="2:23" ht="13.2" x14ac:dyDescent="0.25">
      <c r="B7" s="541" t="s">
        <v>57</v>
      </c>
      <c r="C7" s="541" t="s">
        <v>59</v>
      </c>
      <c r="D7" s="541" t="s">
        <v>61</v>
      </c>
      <c r="E7" s="541" t="s">
        <v>58</v>
      </c>
      <c r="F7" s="19" t="s">
        <v>60</v>
      </c>
      <c r="G7" s="541" t="s">
        <v>62</v>
      </c>
      <c r="H7" s="542" t="s">
        <v>63</v>
      </c>
      <c r="I7" s="1067" t="s">
        <v>55</v>
      </c>
      <c r="J7" s="22" t="s">
        <v>98</v>
      </c>
      <c r="K7" s="22" t="s">
        <v>99</v>
      </c>
      <c r="L7" s="22" t="s">
        <v>100</v>
      </c>
      <c r="O7" s="21" t="s">
        <v>57</v>
      </c>
      <c r="P7" s="21" t="s">
        <v>59</v>
      </c>
      <c r="Q7" s="21" t="s">
        <v>61</v>
      </c>
      <c r="R7" s="21" t="s">
        <v>58</v>
      </c>
      <c r="S7" s="21" t="s">
        <v>60</v>
      </c>
      <c r="T7" s="21" t="s">
        <v>62</v>
      </c>
      <c r="U7" s="23" t="s">
        <v>63</v>
      </c>
      <c r="W7" t="s">
        <v>288</v>
      </c>
    </row>
    <row r="8" spans="2:23" ht="13.2" x14ac:dyDescent="0.25">
      <c r="B8" s="808">
        <v>15</v>
      </c>
      <c r="C8" s="809">
        <v>-0.1</v>
      </c>
      <c r="D8" s="810">
        <v>0.3</v>
      </c>
      <c r="E8" s="808">
        <v>30</v>
      </c>
      <c r="F8" s="809">
        <v>-9.6999999999999993</v>
      </c>
      <c r="G8" s="810">
        <v>3.1</v>
      </c>
      <c r="H8" s="811" t="s">
        <v>421</v>
      </c>
      <c r="I8" s="1068" t="s">
        <v>288</v>
      </c>
      <c r="J8" s="24">
        <v>1</v>
      </c>
      <c r="K8" s="24" t="str">
        <f>IF(ID!$A$86=I8,J8,"")</f>
        <v/>
      </c>
      <c r="L8" s="1095">
        <f>INDEX(I8:J224,MATCH(ID!A86,I8:I224,0),2)</f>
        <v>41</v>
      </c>
      <c r="O8" s="1004">
        <f>INDEX($B$8:$H$224,$L8,COLUMNS(N$8:$N8))</f>
        <v>15</v>
      </c>
      <c r="P8" s="1064" cm="1">
        <f t="array" ref="P8">INDEX($B$8:$H$224,$L8,COLUMNS($N$8:O8))</f>
        <v>0.2</v>
      </c>
      <c r="Q8" s="1064" cm="1">
        <f t="array" ref="Q8">INDEX($B$8:$H$224,$L8,COLUMNS($N$8:P8))</f>
        <v>0.3</v>
      </c>
      <c r="R8" s="1064" cm="1">
        <f t="array" ref="R8">INDEX($B$8:$H$224,$L8,COLUMNS($N$8:Q8))</f>
        <v>30</v>
      </c>
      <c r="S8" s="1064" cm="1">
        <f t="array" ref="S8">INDEX($B$8:$H$224,$L8,COLUMNS($N$8:R8))</f>
        <v>-2.9</v>
      </c>
      <c r="T8" s="1064" cm="1">
        <f t="array" ref="T8">INDEX($B$8:$H$224,$L8,COLUMNS($N$8:S8))</f>
        <v>1.5</v>
      </c>
      <c r="U8" s="1064" t="str" cm="1">
        <f t="array" ref="U8">INDEX($B$8:$H$224,$L8,COLUMNS($N$8:T8))</f>
        <v>25.3.2019</v>
      </c>
      <c r="W8" t="s">
        <v>602</v>
      </c>
    </row>
    <row r="9" spans="2:23" ht="13.2" x14ac:dyDescent="0.25">
      <c r="B9" s="808">
        <v>20</v>
      </c>
      <c r="C9" s="812">
        <v>0.1</v>
      </c>
      <c r="D9" s="810">
        <v>0.3</v>
      </c>
      <c r="E9" s="808">
        <v>40</v>
      </c>
      <c r="F9" s="812">
        <v>-9.6999999999999993</v>
      </c>
      <c r="G9" s="810">
        <v>3.1</v>
      </c>
      <c r="H9" s="811"/>
      <c r="I9" s="1068" t="s">
        <v>288</v>
      </c>
      <c r="J9" s="24">
        <v>2</v>
      </c>
      <c r="K9" s="24" t="str">
        <f>IF(ID!$A$86=I9,J9,"")</f>
        <v/>
      </c>
      <c r="L9" s="1095">
        <f>L8+1</f>
        <v>42</v>
      </c>
      <c r="O9" s="1004">
        <f>INDEX($B$8:$H$224,$L9,COLUMNS(N$8:$N9))</f>
        <v>20</v>
      </c>
      <c r="P9" s="1064" cm="1">
        <f t="array" ref="P9">INDEX($B$8:$H$224,$L9,COLUMNS($N$8:O9))</f>
        <v>0.2</v>
      </c>
      <c r="Q9" s="1064" cm="1">
        <f t="array" ref="Q9">INDEX($B$8:$H$224,$L9,COLUMNS($N$8:P9))</f>
        <v>0.3</v>
      </c>
      <c r="R9" s="1064" cm="1">
        <f t="array" ref="R9">INDEX($B$8:$H$224,$L9,COLUMNS($N$8:Q9))</f>
        <v>40</v>
      </c>
      <c r="S9" s="1064" cm="1">
        <f t="array" ref="S9">INDEX($B$8:$H$224,$L9,COLUMNS($N$8:R9))</f>
        <v>-3.3</v>
      </c>
      <c r="T9" s="1064" cm="1">
        <f t="array" ref="T9">INDEX($B$8:$H$224,$L9,COLUMNS($N$8:S9))</f>
        <v>1.5</v>
      </c>
      <c r="U9" s="1064"/>
      <c r="W9" t="s">
        <v>603</v>
      </c>
    </row>
    <row r="10" spans="2:23" ht="13.2" x14ac:dyDescent="0.25">
      <c r="B10" s="808">
        <v>25</v>
      </c>
      <c r="C10" s="812">
        <v>0.2</v>
      </c>
      <c r="D10" s="810">
        <v>0.3</v>
      </c>
      <c r="E10" s="808">
        <v>50</v>
      </c>
      <c r="F10" s="812">
        <v>-9.1</v>
      </c>
      <c r="G10" s="810">
        <v>3.1</v>
      </c>
      <c r="H10" s="811"/>
      <c r="I10" s="1068" t="s">
        <v>288</v>
      </c>
      <c r="J10" s="24">
        <v>3</v>
      </c>
      <c r="K10" s="24" t="str">
        <f>IF(ID!$A$86=I10,J10,"")</f>
        <v/>
      </c>
      <c r="L10" s="1095">
        <f t="shared" ref="L10:L14" si="0">L9+1</f>
        <v>43</v>
      </c>
      <c r="O10" s="1004">
        <f>INDEX($B$8:$H$224,$L10,COLUMNS(N$8:$N10))</f>
        <v>25</v>
      </c>
      <c r="P10" s="1064" cm="1">
        <f t="array" ref="P10">INDEX($B$8:$H$224,$L10,COLUMNS($N$8:O10))</f>
        <v>0.1</v>
      </c>
      <c r="Q10" s="1064" cm="1">
        <f t="array" ref="Q10">INDEX($B$8:$H$224,$L10,COLUMNS($N$8:P10))</f>
        <v>0.3</v>
      </c>
      <c r="R10" s="1064" cm="1">
        <f t="array" ref="R10">INDEX($B$8:$H$224,$L10,COLUMNS($N$8:Q10))</f>
        <v>50</v>
      </c>
      <c r="S10" s="1064" cm="1">
        <f t="array" ref="S10">INDEX($B$8:$H$224,$L10,COLUMNS($N$8:R10))</f>
        <v>-3.1</v>
      </c>
      <c r="T10" s="1064" cm="1">
        <f t="array" ref="T10">INDEX($B$8:$H$224,$L10,COLUMNS($N$8:S10))</f>
        <v>1.5</v>
      </c>
      <c r="U10" s="1064"/>
      <c r="W10" t="s">
        <v>604</v>
      </c>
    </row>
    <row r="11" spans="2:23" ht="13.2" x14ac:dyDescent="0.25">
      <c r="B11" s="808">
        <v>30</v>
      </c>
      <c r="C11" s="812">
        <v>0.1</v>
      </c>
      <c r="D11" s="810">
        <v>0.3</v>
      </c>
      <c r="E11" s="808">
        <v>60</v>
      </c>
      <c r="F11" s="812">
        <v>-7.9</v>
      </c>
      <c r="G11" s="810">
        <v>3.1</v>
      </c>
      <c r="H11" s="811"/>
      <c r="I11" s="1068" t="s">
        <v>288</v>
      </c>
      <c r="J11" s="24">
        <v>4</v>
      </c>
      <c r="K11" s="24" t="str">
        <f>IF(ID!$A$86=I11,J11,"")</f>
        <v/>
      </c>
      <c r="L11" s="1095">
        <f t="shared" si="0"/>
        <v>44</v>
      </c>
      <c r="O11" s="1004">
        <f>INDEX($B$8:$H$224,$L11,COLUMNS(N$8:$N11))</f>
        <v>30</v>
      </c>
      <c r="P11" s="1064" cm="1">
        <f t="array" ref="P11">INDEX($B$8:$H$224,$L11,COLUMNS($N$8:O11))</f>
        <v>0.1</v>
      </c>
      <c r="Q11" s="1064" cm="1">
        <f t="array" ref="Q11">INDEX($B$8:$H$224,$L11,COLUMNS($N$8:P11))</f>
        <v>0.3</v>
      </c>
      <c r="R11" s="1064" cm="1">
        <f t="array" ref="R11">INDEX($B$8:$H$224,$L11,COLUMNS($N$8:Q11))</f>
        <v>60</v>
      </c>
      <c r="S11" s="1064" cm="1">
        <f t="array" ref="S11">INDEX($B$8:$H$224,$L11,COLUMNS($N$8:R11))</f>
        <v>-2.1</v>
      </c>
      <c r="T11" s="1064" cm="1">
        <f t="array" ref="T11">INDEX($B$8:$H$224,$L11,COLUMNS($N$8:S11))</f>
        <v>1.5</v>
      </c>
      <c r="U11" s="1064"/>
      <c r="W11" t="s">
        <v>312</v>
      </c>
    </row>
    <row r="12" spans="2:23" ht="13.2" x14ac:dyDescent="0.25">
      <c r="B12" s="808">
        <v>35</v>
      </c>
      <c r="C12" s="812">
        <v>0.1</v>
      </c>
      <c r="D12" s="810">
        <v>0.3</v>
      </c>
      <c r="E12" s="808">
        <v>70</v>
      </c>
      <c r="F12" s="24">
        <v>-6.1</v>
      </c>
      <c r="G12" s="810">
        <v>3.1</v>
      </c>
      <c r="H12" s="811"/>
      <c r="I12" s="1068" t="s">
        <v>288</v>
      </c>
      <c r="J12" s="24">
        <v>5</v>
      </c>
      <c r="K12" s="24" t="str">
        <f>IF(ID!$A$86=I12,J12,"")</f>
        <v/>
      </c>
      <c r="L12" s="1095">
        <f t="shared" si="0"/>
        <v>45</v>
      </c>
      <c r="O12" s="1004">
        <f>INDEX($B$8:$H$224,$L12,COLUMNS(N$8:$N12))</f>
        <v>35</v>
      </c>
      <c r="P12" s="1064" cm="1">
        <f t="array" ref="P12">INDEX($B$8:$H$224,$L12,COLUMNS($N$8:O12))</f>
        <v>0.2</v>
      </c>
      <c r="Q12" s="1064" cm="1">
        <f t="array" ref="Q12">INDEX($B$8:$H$224,$L12,COLUMNS($N$8:P12))</f>
        <v>0.3</v>
      </c>
      <c r="R12" s="1064" cm="1">
        <f t="array" ref="R12">INDEX($B$8:$H$224,$L12,COLUMNS($N$8:Q12))</f>
        <v>70</v>
      </c>
      <c r="S12" s="1064" cm="1">
        <f t="array" ref="S12">INDEX($B$8:$H$224,$L12,COLUMNS($N$8:R12))</f>
        <v>-0.3</v>
      </c>
      <c r="T12" s="1064" cm="1">
        <f t="array" ref="T12">INDEX($B$8:$H$224,$L12,COLUMNS($N$8:S12))</f>
        <v>1.5</v>
      </c>
      <c r="U12" s="1064"/>
      <c r="W12" t="s">
        <v>270</v>
      </c>
    </row>
    <row r="13" spans="2:23" ht="13.2" x14ac:dyDescent="0.25">
      <c r="B13" s="813">
        <v>37</v>
      </c>
      <c r="C13" s="812">
        <v>0.1</v>
      </c>
      <c r="D13" s="810">
        <v>0.3</v>
      </c>
      <c r="E13" s="813">
        <v>80</v>
      </c>
      <c r="F13" s="25">
        <v>-3.8</v>
      </c>
      <c r="G13" s="810">
        <v>3.1</v>
      </c>
      <c r="H13" s="811"/>
      <c r="I13" s="1068" t="s">
        <v>288</v>
      </c>
      <c r="J13" s="24">
        <v>6</v>
      </c>
      <c r="K13" s="24" t="str">
        <f>IF(ID!$A$86=I13,J13,"")</f>
        <v/>
      </c>
      <c r="L13" s="1095">
        <f t="shared" si="0"/>
        <v>46</v>
      </c>
      <c r="O13" s="1004">
        <f>INDEX($B$8:$H$224,$L13,COLUMNS(N$8:$N13))</f>
        <v>37</v>
      </c>
      <c r="P13" s="1064" cm="1">
        <f t="array" ref="P13">INDEX($B$8:$H$224,$L13,COLUMNS($N$8:O13))</f>
        <v>0.2</v>
      </c>
      <c r="Q13" s="1064" cm="1">
        <f t="array" ref="Q13">INDEX($B$8:$H$224,$L13,COLUMNS($N$8:P13))</f>
        <v>0.3</v>
      </c>
      <c r="R13" s="1064" cm="1">
        <f t="array" ref="R13">INDEX($B$8:$H$224,$L13,COLUMNS($N$8:Q13))</f>
        <v>80</v>
      </c>
      <c r="S13" s="1064" cm="1">
        <f t="array" ref="S13">INDEX($B$8:$H$224,$L13,COLUMNS($N$8:R13))</f>
        <v>2.2000000000000002</v>
      </c>
      <c r="T13" s="1064" cm="1">
        <f t="array" ref="T13">INDEX($B$8:$H$224,$L13,COLUMNS($N$8:S13))</f>
        <v>1.5</v>
      </c>
      <c r="U13" s="1064"/>
      <c r="W13" t="s">
        <v>268</v>
      </c>
    </row>
    <row r="14" spans="2:23" ht="13.2" x14ac:dyDescent="0.25">
      <c r="B14" s="813">
        <v>40</v>
      </c>
      <c r="C14" s="812">
        <v>0.2</v>
      </c>
      <c r="D14" s="810">
        <v>0.3</v>
      </c>
      <c r="E14" s="813">
        <v>90</v>
      </c>
      <c r="F14" s="19">
        <v>-0.8</v>
      </c>
      <c r="G14" s="810">
        <v>3.1</v>
      </c>
      <c r="H14" s="811"/>
      <c r="I14" s="1068" t="s">
        <v>288</v>
      </c>
      <c r="J14" s="24">
        <v>7</v>
      </c>
      <c r="K14" s="24" t="str">
        <f>IF(ID!$A$86=I14,J14,"")</f>
        <v/>
      </c>
      <c r="L14" s="1095">
        <f t="shared" si="0"/>
        <v>47</v>
      </c>
      <c r="O14" s="1004">
        <f>INDEX($B$8:$H$224,$L14,COLUMNS(N$8:$N14))</f>
        <v>40</v>
      </c>
      <c r="P14" s="1064" cm="1">
        <f t="array" ref="P14">INDEX($B$8:$H$224,$L14,COLUMNS($N$8:O14))</f>
        <v>0.2</v>
      </c>
      <c r="Q14" s="1064" cm="1">
        <f t="array" ref="Q14">INDEX($B$8:$H$224,$L14,COLUMNS($N$8:P14))</f>
        <v>0.3</v>
      </c>
      <c r="R14" s="1064" cm="1">
        <f t="array" ref="R14">INDEX($B$8:$H$224,$L14,COLUMNS($N$8:Q14))</f>
        <v>90</v>
      </c>
      <c r="S14" s="1064" cm="1">
        <f t="array" ref="S14">INDEX($B$8:$H$224,$L14,COLUMNS($N$8:R14))</f>
        <v>5.4</v>
      </c>
      <c r="T14" s="1064" cm="1">
        <f t="array" ref="T14">INDEX($B$8:$H$224,$L14,COLUMNS($N$8:S14))</f>
        <v>1.5</v>
      </c>
      <c r="U14" s="1064"/>
      <c r="W14" t="s">
        <v>269</v>
      </c>
    </row>
    <row r="15" spans="2:23" ht="13.2" x14ac:dyDescent="0.25">
      <c r="B15" s="550"/>
      <c r="C15" s="550"/>
      <c r="D15" s="550"/>
      <c r="E15" s="550"/>
      <c r="F15" s="550"/>
      <c r="G15" s="550"/>
      <c r="H15" s="550"/>
      <c r="I15" s="551"/>
      <c r="J15" s="24">
        <v>8</v>
      </c>
      <c r="K15" s="24" t="str">
        <f>IF(ID!$A$86=I15,J15,"")</f>
        <v/>
      </c>
      <c r="L15" s="24" t="str">
        <f>IFERROR(SMALL($K$8:$K$224,ROWS($K$8:K15)),"")</f>
        <v/>
      </c>
      <c r="P15" s="26" t="s">
        <v>101</v>
      </c>
      <c r="Q15" s="19">
        <f>MAX(Q8:Q14)</f>
        <v>0.3</v>
      </c>
      <c r="S15" s="26" t="s">
        <v>101</v>
      </c>
      <c r="T15" s="19">
        <f>MAX(T8:T14)</f>
        <v>1.5</v>
      </c>
      <c r="W15" t="s">
        <v>376</v>
      </c>
    </row>
    <row r="16" spans="2:23" s="27" customFormat="1" ht="13.2" x14ac:dyDescent="0.25">
      <c r="B16" s="551"/>
      <c r="C16" s="551"/>
      <c r="D16" s="551"/>
      <c r="E16" s="551"/>
      <c r="F16" s="551"/>
      <c r="G16" s="551"/>
      <c r="H16" s="551"/>
      <c r="I16" s="551"/>
      <c r="J16" s="24">
        <v>9</v>
      </c>
      <c r="K16" s="24" t="str">
        <f>IF(ID!$A$86=I16,J16,"")</f>
        <v/>
      </c>
      <c r="L16" s="24" t="str">
        <f>IFERROR(SMALL($K$8:$K$224,ROWS($K$8:K16)),"")</f>
        <v/>
      </c>
      <c r="W16" t="s">
        <v>313</v>
      </c>
    </row>
    <row r="17" spans="2:23" ht="13.2" x14ac:dyDescent="0.25">
      <c r="B17" s="550"/>
      <c r="C17" s="550"/>
      <c r="D17" s="550"/>
      <c r="E17" s="550"/>
      <c r="F17" s="550"/>
      <c r="G17" s="550"/>
      <c r="H17" s="550"/>
      <c r="I17" s="551"/>
      <c r="J17" s="24">
        <v>10</v>
      </c>
      <c r="K17" s="24" t="str">
        <f>IF(ID!$A$86=I17,J17,"")</f>
        <v/>
      </c>
      <c r="L17" s="24" t="str">
        <f>IFERROR(SMALL($K$8:$K$224,ROWS($K$8:K17)),"")</f>
        <v/>
      </c>
      <c r="W17" t="s">
        <v>315</v>
      </c>
    </row>
    <row r="18" spans="2:23" ht="13.2" x14ac:dyDescent="0.25">
      <c r="B18" s="808">
        <v>15</v>
      </c>
      <c r="C18" s="809">
        <v>0.4</v>
      </c>
      <c r="D18" s="810">
        <v>0.8</v>
      </c>
      <c r="E18" s="808">
        <v>30</v>
      </c>
      <c r="F18" s="809">
        <v>-6.9</v>
      </c>
      <c r="G18" s="810">
        <v>2.2000000000000002</v>
      </c>
      <c r="H18" s="814" t="s">
        <v>373</v>
      </c>
      <c r="I18" s="1068" t="s">
        <v>289</v>
      </c>
      <c r="J18" s="24">
        <v>11</v>
      </c>
      <c r="K18" s="24" t="str">
        <f>IF(ID!$A$86=I18,J18,"")</f>
        <v/>
      </c>
      <c r="L18" s="24" t="str">
        <f>IFERROR(SMALL($K$8:$K$224,ROWS($K$8:K18)),"")</f>
        <v/>
      </c>
      <c r="W18" t="s">
        <v>314</v>
      </c>
    </row>
    <row r="19" spans="2:23" ht="13.2" x14ac:dyDescent="0.25">
      <c r="B19" s="808">
        <v>20</v>
      </c>
      <c r="C19" s="812">
        <v>0.7</v>
      </c>
      <c r="D19" s="810">
        <v>0.8</v>
      </c>
      <c r="E19" s="808">
        <v>40</v>
      </c>
      <c r="F19" s="812">
        <v>-6.2</v>
      </c>
      <c r="G19" s="810">
        <v>2.2000000000000002</v>
      </c>
      <c r="H19" s="814"/>
      <c r="I19" s="1068" t="s">
        <v>289</v>
      </c>
      <c r="J19" s="24">
        <v>12</v>
      </c>
      <c r="K19" s="24" t="str">
        <f>IF(ID!$A$86=I19,J19,"")</f>
        <v/>
      </c>
      <c r="L19" s="24" t="str">
        <f>IFERROR(SMALL($K$8:$K$224,ROWS($K$8:K19)),"")</f>
        <v/>
      </c>
      <c r="W19" t="s">
        <v>571</v>
      </c>
    </row>
    <row r="20" spans="2:23" ht="13.5" customHeight="1" x14ac:dyDescent="0.25">
      <c r="B20" s="808">
        <v>25</v>
      </c>
      <c r="C20" s="812">
        <v>0.5</v>
      </c>
      <c r="D20" s="810">
        <v>0.8</v>
      </c>
      <c r="E20" s="808">
        <v>50</v>
      </c>
      <c r="F20" s="812">
        <v>-5.3</v>
      </c>
      <c r="G20" s="810">
        <v>2.2000000000000002</v>
      </c>
      <c r="H20" s="814"/>
      <c r="I20" s="1068" t="s">
        <v>289</v>
      </c>
      <c r="J20" s="24">
        <v>13</v>
      </c>
      <c r="K20" s="24" t="str">
        <f>IF(ID!$A$86=I20,J20,"")</f>
        <v/>
      </c>
      <c r="L20" s="24" t="str">
        <f>IFERROR(SMALL($K$8:$K$224,ROWS($K$8:K20)),"")</f>
        <v/>
      </c>
      <c r="W20" t="s">
        <v>273</v>
      </c>
    </row>
    <row r="21" spans="2:23" ht="13.2" x14ac:dyDescent="0.25">
      <c r="B21" s="808">
        <v>30</v>
      </c>
      <c r="C21" s="812">
        <v>0.2</v>
      </c>
      <c r="D21" s="810">
        <v>0.8</v>
      </c>
      <c r="E21" s="808">
        <v>60</v>
      </c>
      <c r="F21" s="812">
        <v>-4</v>
      </c>
      <c r="G21" s="810">
        <v>2.2000000000000002</v>
      </c>
      <c r="H21" s="814"/>
      <c r="I21" s="1068" t="s">
        <v>289</v>
      </c>
      <c r="J21" s="24">
        <v>14</v>
      </c>
      <c r="K21" s="24" t="str">
        <f>IF(ID!$A$86=I21,J21,"")</f>
        <v/>
      </c>
      <c r="L21" s="24" t="str">
        <f>IFERROR(SMALL($K$8:$K$224,ROWS($K$8:K21)),"")</f>
        <v/>
      </c>
      <c r="W21" t="s">
        <v>267</v>
      </c>
    </row>
    <row r="22" spans="2:23" ht="13.2" x14ac:dyDescent="0.25">
      <c r="B22" s="808">
        <v>35</v>
      </c>
      <c r="C22" s="812">
        <v>-0.1</v>
      </c>
      <c r="D22" s="810">
        <v>0.8</v>
      </c>
      <c r="E22" s="808">
        <v>70</v>
      </c>
      <c r="F22" s="812">
        <v>-2.4</v>
      </c>
      <c r="G22" s="810">
        <v>2.2000000000000002</v>
      </c>
      <c r="H22" s="814"/>
      <c r="I22" s="1068" t="s">
        <v>289</v>
      </c>
      <c r="J22" s="24">
        <v>15</v>
      </c>
      <c r="K22" s="24" t="str">
        <f>IF(ID!$A$86=I22,J22,"")</f>
        <v/>
      </c>
      <c r="L22" s="24" t="str">
        <f>IFERROR(SMALL($K$8:$K$224,ROWS($K$8:K22)),"")</f>
        <v/>
      </c>
      <c r="W22" t="s">
        <v>481</v>
      </c>
    </row>
    <row r="23" spans="2:23" ht="13.2" x14ac:dyDescent="0.25">
      <c r="B23" s="813">
        <v>37</v>
      </c>
      <c r="C23" s="24">
        <v>-0.2</v>
      </c>
      <c r="D23" s="810">
        <v>0.8</v>
      </c>
      <c r="E23" s="813">
        <v>80</v>
      </c>
      <c r="F23" s="24">
        <v>-0.5</v>
      </c>
      <c r="G23" s="810">
        <v>2.2000000000000002</v>
      </c>
      <c r="H23" s="814"/>
      <c r="I23" s="1068" t="s">
        <v>289</v>
      </c>
      <c r="J23" s="24">
        <v>16</v>
      </c>
      <c r="K23" s="24" t="str">
        <f>IF(ID!$A$86=I23,J23,"")</f>
        <v/>
      </c>
      <c r="L23" s="24" t="str">
        <f>IFERROR(SMALL($K$8:$K$224,ROWS($K$8:K23)),"")</f>
        <v/>
      </c>
      <c r="W23" t="s">
        <v>272</v>
      </c>
    </row>
    <row r="24" spans="2:23" ht="13.2" x14ac:dyDescent="0.25">
      <c r="B24" s="813">
        <v>40</v>
      </c>
      <c r="C24" s="24">
        <v>-0.1</v>
      </c>
      <c r="D24" s="810">
        <v>0.8</v>
      </c>
      <c r="E24" s="813">
        <v>90</v>
      </c>
      <c r="F24" s="24">
        <v>1.7</v>
      </c>
      <c r="G24" s="810">
        <v>2.2000000000000002</v>
      </c>
      <c r="H24" s="814"/>
      <c r="I24" s="1068" t="s">
        <v>289</v>
      </c>
      <c r="J24" s="24">
        <v>17</v>
      </c>
      <c r="K24" s="24" t="str">
        <f>IF(ID!$A$86=I24,J24,"")</f>
        <v/>
      </c>
      <c r="L24" s="24" t="str">
        <f>IFERROR(SMALL($K$8:$K$224,ROWS($K$8:K24)),"")</f>
        <v/>
      </c>
      <c r="W24" t="s">
        <v>480</v>
      </c>
    </row>
    <row r="25" spans="2:23" x14ac:dyDescent="0.2">
      <c r="B25" s="550"/>
      <c r="C25" s="550"/>
      <c r="D25" s="550"/>
      <c r="E25" s="550"/>
      <c r="F25" s="550"/>
      <c r="G25" s="550"/>
      <c r="H25" s="550"/>
      <c r="I25" s="551"/>
      <c r="J25" s="24">
        <v>18</v>
      </c>
      <c r="K25" s="24" t="str">
        <f>IF(ID!$A$86=I25,J25,"")</f>
        <v/>
      </c>
      <c r="L25" s="24" t="str">
        <f>IFERROR(SMALL($K$8:$K$224,ROWS($K$8:K25)),"")</f>
        <v/>
      </c>
      <c r="W25" s="563"/>
    </row>
    <row r="26" spans="2:23" s="27" customFormat="1" x14ac:dyDescent="0.2">
      <c r="B26" s="551"/>
      <c r="C26" s="551"/>
      <c r="D26" s="551"/>
      <c r="E26" s="551"/>
      <c r="F26" s="551"/>
      <c r="G26" s="551"/>
      <c r="H26" s="551"/>
      <c r="I26" s="551"/>
      <c r="J26" s="24">
        <v>19</v>
      </c>
      <c r="K26" s="24" t="str">
        <f>IF(ID!$A$86=I26,J26,"")</f>
        <v/>
      </c>
      <c r="L26" s="24" t="str">
        <f>IFERROR(SMALL($K$8:$K$224,ROWS($K$8:K26)),"")</f>
        <v/>
      </c>
      <c r="W26" s="563"/>
    </row>
    <row r="27" spans="2:23" x14ac:dyDescent="0.2">
      <c r="B27" s="550"/>
      <c r="C27" s="550"/>
      <c r="D27" s="550"/>
      <c r="E27" s="550"/>
      <c r="F27" s="550"/>
      <c r="G27" s="550"/>
      <c r="H27" s="550"/>
      <c r="I27" s="551"/>
      <c r="J27" s="24">
        <v>20</v>
      </c>
      <c r="K27" s="24" t="str">
        <f>IF(ID!$A$86=I27,J27,"")</f>
        <v/>
      </c>
      <c r="L27" s="24" t="str">
        <f>IFERROR(SMALL($K$8:$K$224,ROWS($K$8:K27)),"")</f>
        <v/>
      </c>
    </row>
    <row r="28" spans="2:23" x14ac:dyDescent="0.2">
      <c r="B28" s="543">
        <v>15</v>
      </c>
      <c r="C28" s="544">
        <v>0.3</v>
      </c>
      <c r="D28" s="545">
        <v>0.3</v>
      </c>
      <c r="E28" s="543">
        <v>35</v>
      </c>
      <c r="F28" s="544">
        <v>-5.2</v>
      </c>
      <c r="G28" s="545">
        <v>1.8</v>
      </c>
      <c r="H28" s="815" t="s">
        <v>262</v>
      </c>
      <c r="I28" s="1068" t="s">
        <v>604</v>
      </c>
      <c r="J28" s="24">
        <v>21</v>
      </c>
      <c r="K28" s="24" t="str">
        <f>IF(ID!$A$86=I28,J28,"")</f>
        <v/>
      </c>
      <c r="L28" s="24" t="str">
        <f>IFERROR(SMALL($K$8:$K$224,ROWS($K$8:K28)),"")</f>
        <v/>
      </c>
    </row>
    <row r="29" spans="2:23" x14ac:dyDescent="0.2">
      <c r="B29" s="543">
        <v>20</v>
      </c>
      <c r="C29" s="546">
        <v>0.4</v>
      </c>
      <c r="D29" s="545">
        <v>0.3</v>
      </c>
      <c r="E29" s="543">
        <v>40</v>
      </c>
      <c r="F29" s="546">
        <v>-5.5</v>
      </c>
      <c r="G29" s="545">
        <v>1.8</v>
      </c>
      <c r="H29" s="815"/>
      <c r="I29" s="1068" t="s">
        <v>604</v>
      </c>
      <c r="J29" s="24">
        <v>22</v>
      </c>
      <c r="K29" s="24" t="str">
        <f>IF(ID!$A$86=I29,J29,"")</f>
        <v/>
      </c>
      <c r="L29" s="24" t="str">
        <f>IFERROR(SMALL($K$8:$K$224,ROWS($K$8:K29)),"")</f>
        <v/>
      </c>
    </row>
    <row r="30" spans="2:23" ht="13.5" customHeight="1" x14ac:dyDescent="0.2">
      <c r="B30" s="543">
        <v>25</v>
      </c>
      <c r="C30" s="546">
        <v>0.4</v>
      </c>
      <c r="D30" s="545">
        <v>0.3</v>
      </c>
      <c r="E30" s="543">
        <v>50</v>
      </c>
      <c r="F30" s="546">
        <v>-5.5</v>
      </c>
      <c r="G30" s="545">
        <v>1.8</v>
      </c>
      <c r="H30" s="815"/>
      <c r="I30" s="1068" t="s">
        <v>604</v>
      </c>
      <c r="J30" s="24">
        <v>23</v>
      </c>
      <c r="K30" s="24" t="str">
        <f>IF(ID!$A$86=I30,J30,"")</f>
        <v/>
      </c>
      <c r="L30" s="24" t="str">
        <f>IFERROR(SMALL($K$8:$K$224,ROWS($K$8:K30)),"")</f>
        <v/>
      </c>
    </row>
    <row r="31" spans="2:23" x14ac:dyDescent="0.2">
      <c r="B31" s="543">
        <v>30</v>
      </c>
      <c r="C31" s="546">
        <v>0.5</v>
      </c>
      <c r="D31" s="545">
        <v>0.3</v>
      </c>
      <c r="E31" s="543">
        <v>60</v>
      </c>
      <c r="F31" s="546">
        <v>-4.8</v>
      </c>
      <c r="G31" s="545">
        <v>1.8</v>
      </c>
      <c r="H31" s="815"/>
      <c r="I31" s="1068" t="s">
        <v>604</v>
      </c>
      <c r="J31" s="24">
        <v>24</v>
      </c>
      <c r="K31" s="24" t="str">
        <f>IF(ID!$A$86=I31,J31,"")</f>
        <v/>
      </c>
      <c r="L31" s="24" t="str">
        <f>IFERROR(SMALL($K$8:$K$224,ROWS($K$8:K31)),"")</f>
        <v/>
      </c>
      <c r="W31" s="563"/>
    </row>
    <row r="32" spans="2:23" x14ac:dyDescent="0.2">
      <c r="B32" s="543">
        <v>35</v>
      </c>
      <c r="C32" s="546">
        <v>0.5</v>
      </c>
      <c r="D32" s="545">
        <v>0.3</v>
      </c>
      <c r="E32" s="543">
        <v>70</v>
      </c>
      <c r="F32" s="546">
        <v>-3.4</v>
      </c>
      <c r="G32" s="545">
        <v>1.8</v>
      </c>
      <c r="H32" s="815"/>
      <c r="I32" s="1068" t="s">
        <v>604</v>
      </c>
      <c r="J32" s="24">
        <v>25</v>
      </c>
      <c r="K32" s="24" t="str">
        <f>IF(ID!$A$86=I32,J32,"")</f>
        <v/>
      </c>
      <c r="L32" s="24" t="str">
        <f>IFERROR(SMALL($K$8:$K$224,ROWS($K$8:K32)),"")</f>
        <v/>
      </c>
      <c r="W32" s="563"/>
    </row>
    <row r="33" spans="2:23" x14ac:dyDescent="0.2">
      <c r="B33" s="547">
        <v>37</v>
      </c>
      <c r="C33" s="549">
        <v>0.5</v>
      </c>
      <c r="D33" s="545">
        <v>0.3</v>
      </c>
      <c r="E33" s="547">
        <v>80</v>
      </c>
      <c r="F33" s="549">
        <v>-1.4</v>
      </c>
      <c r="G33" s="545">
        <v>1.8</v>
      </c>
      <c r="H33" s="815"/>
      <c r="I33" s="1068" t="s">
        <v>604</v>
      </c>
      <c r="J33" s="24">
        <v>26</v>
      </c>
      <c r="K33" s="24" t="str">
        <f>IF(ID!$A$86=I33,J33,"")</f>
        <v/>
      </c>
      <c r="L33" s="24" t="str">
        <f>IFERROR(SMALL($K$8:$K$224,ROWS($K$8:K33)),"")</f>
        <v/>
      </c>
      <c r="W33" s="563"/>
    </row>
    <row r="34" spans="2:23" x14ac:dyDescent="0.2">
      <c r="B34" s="547">
        <v>40</v>
      </c>
      <c r="C34" s="549">
        <v>0.5</v>
      </c>
      <c r="D34" s="545">
        <v>0.3</v>
      </c>
      <c r="E34" s="547">
        <v>90</v>
      </c>
      <c r="F34" s="549">
        <v>1.3</v>
      </c>
      <c r="G34" s="545">
        <v>1.8</v>
      </c>
      <c r="H34" s="815"/>
      <c r="I34" s="1068" t="s">
        <v>604</v>
      </c>
      <c r="J34" s="24">
        <v>27</v>
      </c>
      <c r="K34" s="24" t="str">
        <f>IF(ID!$A$86=I34,J34,"")</f>
        <v/>
      </c>
      <c r="L34" s="24" t="str">
        <f>IFERROR(SMALL($K$8:$K$224,ROWS($K$8:K34)),"")</f>
        <v/>
      </c>
    </row>
    <row r="35" spans="2:23" x14ac:dyDescent="0.2">
      <c r="B35" s="550"/>
      <c r="C35" s="550"/>
      <c r="D35" s="550"/>
      <c r="E35" s="550"/>
      <c r="F35" s="550"/>
      <c r="G35" s="550"/>
      <c r="H35" s="550"/>
      <c r="I35" s="551"/>
      <c r="J35" s="24">
        <v>28</v>
      </c>
      <c r="K35" s="24" t="str">
        <f>IF(ID!$A$86=I35,J35,"")</f>
        <v/>
      </c>
      <c r="L35" s="24" t="str">
        <f>IFERROR(SMALL($K$8:$K$224,ROWS($K$8:K35)),"")</f>
        <v/>
      </c>
      <c r="W35" s="563"/>
    </row>
    <row r="36" spans="2:23" s="27" customFormat="1" x14ac:dyDescent="0.2">
      <c r="B36" s="551"/>
      <c r="C36" s="551"/>
      <c r="D36" s="551"/>
      <c r="E36" s="551"/>
      <c r="F36" s="551"/>
      <c r="G36" s="551"/>
      <c r="H36" s="551"/>
      <c r="I36" s="551"/>
      <c r="J36" s="24">
        <v>29</v>
      </c>
      <c r="K36" s="24" t="str">
        <f>IF(ID!$A$86=I36,J36,"")</f>
        <v/>
      </c>
      <c r="L36" s="24" t="str">
        <f>IFERROR(SMALL($K$8:$K$224,ROWS($K$8:K36)),"")</f>
        <v/>
      </c>
      <c r="W36" s="563"/>
    </row>
    <row r="37" spans="2:23" x14ac:dyDescent="0.2">
      <c r="B37" s="550"/>
      <c r="C37" s="550"/>
      <c r="D37" s="550"/>
      <c r="E37" s="550"/>
      <c r="F37" s="550"/>
      <c r="G37" s="550"/>
      <c r="H37" s="550"/>
      <c r="I37" s="551"/>
      <c r="J37" s="24">
        <v>30</v>
      </c>
      <c r="K37" s="24" t="str">
        <f>IF(ID!$A$86=I37,J37,"")</f>
        <v/>
      </c>
      <c r="L37" s="24" t="str">
        <f>IFERROR(SMALL($K$8:$K$224,ROWS($K$8:K37)),"")</f>
        <v/>
      </c>
    </row>
    <row r="38" spans="2:23" x14ac:dyDescent="0.2">
      <c r="B38" s="543">
        <v>15</v>
      </c>
      <c r="C38" s="544">
        <v>0.4</v>
      </c>
      <c r="D38" s="545">
        <v>0.5</v>
      </c>
      <c r="E38" s="543">
        <v>30</v>
      </c>
      <c r="F38" s="544">
        <v>-7.3</v>
      </c>
      <c r="G38" s="545">
        <v>3.1</v>
      </c>
      <c r="H38" s="816" t="s">
        <v>373</v>
      </c>
      <c r="I38" s="1068" t="s">
        <v>290</v>
      </c>
      <c r="J38" s="24">
        <v>31</v>
      </c>
      <c r="K38" s="24" t="str">
        <f>IF(ID!$A$86=I38,J38,"")</f>
        <v/>
      </c>
      <c r="L38" s="24" t="str">
        <f>IFERROR(SMALL($K$8:$K$224,ROWS($K$8:K38)),"")</f>
        <v/>
      </c>
      <c r="W38" s="563"/>
    </row>
    <row r="39" spans="2:23" ht="13.2" x14ac:dyDescent="0.2">
      <c r="B39" s="543">
        <v>20</v>
      </c>
      <c r="C39" s="544">
        <v>1</v>
      </c>
      <c r="D39" s="545">
        <v>0.5</v>
      </c>
      <c r="E39" s="543">
        <v>40</v>
      </c>
      <c r="F39" s="546">
        <v>-5.9</v>
      </c>
      <c r="G39" s="545">
        <v>3.1</v>
      </c>
      <c r="H39" s="817"/>
      <c r="I39" s="1068" t="s">
        <v>290</v>
      </c>
      <c r="J39" s="24">
        <v>32</v>
      </c>
      <c r="K39" s="24" t="str">
        <f>IF(ID!$A$86=I39,J39,"")</f>
        <v/>
      </c>
      <c r="L39" s="24" t="str">
        <f>IFERROR(SMALL($K$8:$K$224,ROWS($K$8:K39)),"")</f>
        <v/>
      </c>
      <c r="W39" s="563"/>
    </row>
    <row r="40" spans="2:23" ht="13.5" customHeight="1" x14ac:dyDescent="0.2">
      <c r="B40" s="543">
        <v>25</v>
      </c>
      <c r="C40" s="546">
        <v>0.7</v>
      </c>
      <c r="D40" s="545">
        <v>0.5</v>
      </c>
      <c r="E40" s="543">
        <v>50</v>
      </c>
      <c r="F40" s="546">
        <v>-4.5</v>
      </c>
      <c r="G40" s="545">
        <v>3.1</v>
      </c>
      <c r="H40" s="817"/>
      <c r="I40" s="1068" t="s">
        <v>290</v>
      </c>
      <c r="J40" s="24">
        <v>33</v>
      </c>
      <c r="K40" s="24" t="str">
        <f>IF(ID!$A$86=I40,J40,"")</f>
        <v/>
      </c>
      <c r="L40" s="24" t="str">
        <f>IFERROR(SMALL($K$8:$K$224,ROWS($K$8:K40)),"")</f>
        <v/>
      </c>
    </row>
    <row r="41" spans="2:23" ht="13.2" x14ac:dyDescent="0.2">
      <c r="B41" s="543">
        <v>30</v>
      </c>
      <c r="C41" s="546">
        <v>0</v>
      </c>
      <c r="D41" s="545">
        <v>0.5</v>
      </c>
      <c r="E41" s="543">
        <v>60</v>
      </c>
      <c r="F41" s="546">
        <v>-3.2</v>
      </c>
      <c r="G41" s="545">
        <v>3.1</v>
      </c>
      <c r="H41" s="817"/>
      <c r="I41" s="1068" t="s">
        <v>290</v>
      </c>
      <c r="J41" s="24">
        <v>34</v>
      </c>
      <c r="K41" s="24" t="str">
        <f>IF(ID!$A$86=I41,J41,"")</f>
        <v/>
      </c>
      <c r="L41" s="24" t="str">
        <f>IFERROR(SMALL($K$8:$K$224,ROWS($K$8:K41)),"")</f>
        <v/>
      </c>
    </row>
    <row r="42" spans="2:23" ht="13.2" x14ac:dyDescent="0.2">
      <c r="B42" s="543">
        <v>35</v>
      </c>
      <c r="C42" s="546">
        <v>-0.3</v>
      </c>
      <c r="D42" s="545">
        <v>0.5</v>
      </c>
      <c r="E42" s="543">
        <v>70</v>
      </c>
      <c r="F42" s="546">
        <v>-2</v>
      </c>
      <c r="G42" s="545">
        <v>3.1</v>
      </c>
      <c r="H42" s="817"/>
      <c r="I42" s="1068" t="s">
        <v>290</v>
      </c>
      <c r="J42" s="24">
        <v>35</v>
      </c>
      <c r="K42" s="24" t="str">
        <f>IF(ID!$A$86=I42,J42,"")</f>
        <v/>
      </c>
      <c r="L42" s="24" t="str">
        <f>IFERROR(SMALL($K$8:$K$224,ROWS($K$8:K42)),"")</f>
        <v/>
      </c>
    </row>
    <row r="43" spans="2:23" ht="13.2" x14ac:dyDescent="0.2">
      <c r="B43" s="547">
        <v>37</v>
      </c>
      <c r="C43" s="546">
        <v>-0.2</v>
      </c>
      <c r="D43" s="545">
        <v>0.5</v>
      </c>
      <c r="E43" s="547">
        <v>80</v>
      </c>
      <c r="F43" s="549">
        <v>-0.8</v>
      </c>
      <c r="G43" s="545">
        <v>3.1</v>
      </c>
      <c r="H43" s="817"/>
      <c r="I43" s="1068" t="s">
        <v>290</v>
      </c>
      <c r="J43" s="24">
        <v>36</v>
      </c>
      <c r="K43" s="24" t="str">
        <f>IF(ID!$A$86=I43,J43,"")</f>
        <v/>
      </c>
      <c r="L43" s="24" t="str">
        <f>IFERROR(SMALL($K$8:$K$224,ROWS($K$8:K43)),"")</f>
        <v/>
      </c>
    </row>
    <row r="44" spans="2:23" ht="13.2" x14ac:dyDescent="0.2">
      <c r="B44" s="547">
        <v>40</v>
      </c>
      <c r="C44" s="549">
        <v>0.2</v>
      </c>
      <c r="D44" s="545">
        <v>0.5</v>
      </c>
      <c r="E44" s="547">
        <v>90</v>
      </c>
      <c r="F44" s="548">
        <v>0.3</v>
      </c>
      <c r="G44" s="545">
        <v>3.1</v>
      </c>
      <c r="H44" s="817"/>
      <c r="I44" s="1068" t="s">
        <v>290</v>
      </c>
      <c r="J44" s="24">
        <v>37</v>
      </c>
      <c r="K44" s="24" t="str">
        <f>IF(ID!$A$86=I44,J44,"")</f>
        <v/>
      </c>
      <c r="L44" s="24" t="str">
        <f>IFERROR(SMALL($K$8:$K$224,ROWS($K$8:K44)),"")</f>
        <v/>
      </c>
    </row>
    <row r="45" spans="2:23" x14ac:dyDescent="0.2">
      <c r="B45" s="550"/>
      <c r="C45" s="550"/>
      <c r="D45" s="550"/>
      <c r="E45" s="550"/>
      <c r="F45" s="550"/>
      <c r="G45" s="550"/>
      <c r="H45" s="550"/>
      <c r="I45" s="551"/>
      <c r="J45" s="24">
        <v>38</v>
      </c>
      <c r="K45" s="24" t="str">
        <f>IF(ID!$A$86=I45,J45,"")</f>
        <v/>
      </c>
      <c r="L45" s="24" t="str">
        <f>IFERROR(SMALL($K$8:$K$224,ROWS($K$8:K45)),"")</f>
        <v/>
      </c>
    </row>
    <row r="46" spans="2:23" s="27" customFormat="1" x14ac:dyDescent="0.2">
      <c r="B46" s="551"/>
      <c r="C46" s="551"/>
      <c r="D46" s="551"/>
      <c r="E46" s="551"/>
      <c r="F46" s="551"/>
      <c r="G46" s="551"/>
      <c r="H46" s="551"/>
      <c r="I46" s="551"/>
      <c r="J46" s="24">
        <v>39</v>
      </c>
      <c r="K46" s="24" t="str">
        <f>IF(ID!$A$86=I46,J46,"")</f>
        <v/>
      </c>
      <c r="L46" s="24" t="str">
        <f>IFERROR(SMALL($K$8:$K$224,ROWS($K$8:K46)),"")</f>
        <v/>
      </c>
      <c r="W46" s="19"/>
    </row>
    <row r="47" spans="2:23" x14ac:dyDescent="0.2">
      <c r="B47" s="550"/>
      <c r="C47" s="550"/>
      <c r="D47" s="550"/>
      <c r="E47" s="550"/>
      <c r="F47" s="550"/>
      <c r="G47" s="550"/>
      <c r="H47" s="550"/>
      <c r="I47" s="551"/>
      <c r="J47" s="24">
        <v>40</v>
      </c>
      <c r="K47" s="24" t="str">
        <f>IF(ID!$A$86=I47,J47,"")</f>
        <v/>
      </c>
      <c r="L47" s="24" t="str">
        <f>IFERROR(SMALL($K$8:$K$224,ROWS($K$8:K47)),"")</f>
        <v/>
      </c>
    </row>
    <row r="48" spans="2:23" x14ac:dyDescent="0.2">
      <c r="B48" s="543">
        <v>15</v>
      </c>
      <c r="C48" s="544">
        <v>0.2</v>
      </c>
      <c r="D48" s="544">
        <v>0.3</v>
      </c>
      <c r="E48" s="543">
        <v>30</v>
      </c>
      <c r="F48" s="544">
        <v>-2.9</v>
      </c>
      <c r="G48" s="544">
        <v>1.5</v>
      </c>
      <c r="H48" s="818" t="s">
        <v>263</v>
      </c>
      <c r="I48" s="1068" t="s">
        <v>603</v>
      </c>
      <c r="J48" s="24">
        <v>41</v>
      </c>
      <c r="K48" s="24">
        <f>IF(ID!$A$86=I48,J48,"")</f>
        <v>41</v>
      </c>
      <c r="L48" s="24" t="str">
        <f>IFERROR(SMALL($K$8:$K$224,ROWS($K$8:K48)),"")</f>
        <v/>
      </c>
    </row>
    <row r="49" spans="1:12" x14ac:dyDescent="0.2">
      <c r="B49" s="543">
        <v>20</v>
      </c>
      <c r="C49" s="544">
        <v>0.2</v>
      </c>
      <c r="D49" s="544">
        <v>0.3</v>
      </c>
      <c r="E49" s="543">
        <v>40</v>
      </c>
      <c r="F49" s="544">
        <v>-3.3</v>
      </c>
      <c r="G49" s="544">
        <v>1.5</v>
      </c>
      <c r="H49" s="818"/>
      <c r="I49" s="1068" t="s">
        <v>603</v>
      </c>
      <c r="J49" s="24">
        <v>42</v>
      </c>
      <c r="K49" s="24">
        <f>IF(ID!$A$86=I49,J49,"")</f>
        <v>42</v>
      </c>
      <c r="L49" s="24" t="str">
        <f>IFERROR(SMALL($K$8:$K$224,ROWS($K$8:K49)),"")</f>
        <v/>
      </c>
    </row>
    <row r="50" spans="1:12" ht="13.5" customHeight="1" x14ac:dyDescent="0.2">
      <c r="B50" s="543">
        <v>25</v>
      </c>
      <c r="C50" s="544">
        <v>0.1</v>
      </c>
      <c r="D50" s="544">
        <v>0.3</v>
      </c>
      <c r="E50" s="543">
        <v>50</v>
      </c>
      <c r="F50" s="544">
        <v>-3.1</v>
      </c>
      <c r="G50" s="544">
        <v>1.5</v>
      </c>
      <c r="H50" s="818"/>
      <c r="I50" s="1068" t="s">
        <v>603</v>
      </c>
      <c r="J50" s="24">
        <v>43</v>
      </c>
      <c r="K50" s="24">
        <f>IF(ID!$A$86=I50,J50,"")</f>
        <v>43</v>
      </c>
      <c r="L50" s="24" t="str">
        <f>IFERROR(SMALL($K$8:$K$224,ROWS($K$8:K50)),"")</f>
        <v/>
      </c>
    </row>
    <row r="51" spans="1:12" x14ac:dyDescent="0.2">
      <c r="B51" s="543">
        <v>30</v>
      </c>
      <c r="C51" s="544">
        <v>0.1</v>
      </c>
      <c r="D51" s="544">
        <v>0.3</v>
      </c>
      <c r="E51" s="543">
        <v>60</v>
      </c>
      <c r="F51" s="544">
        <v>-2.1</v>
      </c>
      <c r="G51" s="544">
        <v>1.5</v>
      </c>
      <c r="H51" s="818"/>
      <c r="I51" s="1068" t="s">
        <v>603</v>
      </c>
      <c r="J51" s="24">
        <v>44</v>
      </c>
      <c r="K51" s="24">
        <f>IF(ID!$A$86=I51,J51,"")</f>
        <v>44</v>
      </c>
      <c r="L51" s="24" t="str">
        <f>IFERROR(SMALL($K$8:$K$224,ROWS($K$8:K51)),"")</f>
        <v/>
      </c>
    </row>
    <row r="52" spans="1:12" x14ac:dyDescent="0.2">
      <c r="B52" s="543">
        <v>35</v>
      </c>
      <c r="C52" s="544">
        <v>0.2</v>
      </c>
      <c r="D52" s="544">
        <v>0.3</v>
      </c>
      <c r="E52" s="543">
        <v>70</v>
      </c>
      <c r="F52" s="544">
        <v>-0.3</v>
      </c>
      <c r="G52" s="544">
        <v>1.5</v>
      </c>
      <c r="H52" s="818"/>
      <c r="I52" s="1068" t="s">
        <v>603</v>
      </c>
      <c r="J52" s="24">
        <v>45</v>
      </c>
      <c r="K52" s="24">
        <f>IF(ID!$A$86=I52,J52,"")</f>
        <v>45</v>
      </c>
      <c r="L52" s="24" t="str">
        <f>IFERROR(SMALL($K$8:$K$224,ROWS($K$8:K52)),"")</f>
        <v/>
      </c>
    </row>
    <row r="53" spans="1:12" x14ac:dyDescent="0.2">
      <c r="B53" s="547">
        <v>37</v>
      </c>
      <c r="C53" s="544">
        <v>0.2</v>
      </c>
      <c r="D53" s="544">
        <v>0.3</v>
      </c>
      <c r="E53" s="547">
        <v>80</v>
      </c>
      <c r="F53" s="544">
        <v>2.2000000000000002</v>
      </c>
      <c r="G53" s="544">
        <v>1.5</v>
      </c>
      <c r="H53" s="818"/>
      <c r="I53" s="1068" t="s">
        <v>603</v>
      </c>
      <c r="J53" s="24">
        <v>46</v>
      </c>
      <c r="K53" s="24">
        <f>IF(ID!$A$86=I53,J53,"")</f>
        <v>46</v>
      </c>
      <c r="L53" s="24" t="str">
        <f>IFERROR(SMALL($K$8:$K$224,ROWS($K$8:K53)),"")</f>
        <v/>
      </c>
    </row>
    <row r="54" spans="1:12" ht="13.2" x14ac:dyDescent="0.25">
      <c r="A54" s="28"/>
      <c r="B54" s="547">
        <v>40</v>
      </c>
      <c r="C54" s="545">
        <v>0.2</v>
      </c>
      <c r="D54" s="544">
        <v>0.3</v>
      </c>
      <c r="E54" s="547">
        <v>90</v>
      </c>
      <c r="F54" s="552">
        <v>5.4</v>
      </c>
      <c r="G54" s="544">
        <v>1.5</v>
      </c>
      <c r="H54" s="818"/>
      <c r="I54" s="1068" t="s">
        <v>603</v>
      </c>
      <c r="J54" s="24">
        <v>47</v>
      </c>
      <c r="K54" s="24">
        <f>IF(ID!$A$86=I54,J54,"")</f>
        <v>47</v>
      </c>
      <c r="L54" s="24" t="str">
        <f>IFERROR(SMALL($K$8:$K$224,ROWS($K$8:K54)),"")</f>
        <v/>
      </c>
    </row>
    <row r="55" spans="1:12" x14ac:dyDescent="0.2">
      <c r="B55" s="550"/>
      <c r="C55" s="550"/>
      <c r="D55" s="550"/>
      <c r="E55" s="550"/>
      <c r="F55" s="550"/>
      <c r="G55" s="550"/>
      <c r="H55" s="550"/>
      <c r="I55" s="551"/>
      <c r="J55" s="24">
        <v>48</v>
      </c>
      <c r="K55" s="24" t="str">
        <f>IF(ID!$A$86=I55,J55,"")</f>
        <v/>
      </c>
      <c r="L55" s="24" t="str">
        <f>IFERROR(SMALL($K$8:$K$224,ROWS($K$8:K55)),"")</f>
        <v/>
      </c>
    </row>
    <row r="56" spans="1:12" s="27" customFormat="1" x14ac:dyDescent="0.2">
      <c r="B56" s="551"/>
      <c r="C56" s="551"/>
      <c r="D56" s="551"/>
      <c r="E56" s="551"/>
      <c r="F56" s="551"/>
      <c r="G56" s="551"/>
      <c r="H56" s="551"/>
      <c r="I56" s="551"/>
      <c r="J56" s="24">
        <v>49</v>
      </c>
      <c r="K56" s="24" t="str">
        <f>IF(ID!$A$86=I56,J56,"")</f>
        <v/>
      </c>
      <c r="L56" s="24" t="str">
        <f>IFERROR(SMALL($K$8:$K$224,ROWS($K$8:K56)),"")</f>
        <v/>
      </c>
    </row>
    <row r="57" spans="1:12" x14ac:dyDescent="0.2">
      <c r="B57" s="550"/>
      <c r="C57" s="550"/>
      <c r="D57" s="550"/>
      <c r="E57" s="550"/>
      <c r="F57" s="550"/>
      <c r="G57" s="550"/>
      <c r="H57" s="550"/>
      <c r="I57" s="551"/>
      <c r="J57" s="24">
        <v>50</v>
      </c>
      <c r="K57" s="24" t="str">
        <f>IF(ID!$A$86=I57,J57,"")</f>
        <v/>
      </c>
      <c r="L57" s="24" t="str">
        <f>IFERROR(SMALL($K$8:$K$224,ROWS($K$8:K57)),"")</f>
        <v/>
      </c>
    </row>
    <row r="58" spans="1:12" x14ac:dyDescent="0.2">
      <c r="B58" s="543">
        <v>15</v>
      </c>
      <c r="C58" s="544">
        <v>-0.2</v>
      </c>
      <c r="D58" s="544">
        <v>0.3</v>
      </c>
      <c r="E58" s="543">
        <v>30</v>
      </c>
      <c r="F58" s="544">
        <v>-4.5</v>
      </c>
      <c r="G58" s="544">
        <v>1.3</v>
      </c>
      <c r="H58" s="553" t="s">
        <v>264</v>
      </c>
      <c r="I58" s="1068" t="s">
        <v>265</v>
      </c>
      <c r="J58" s="24">
        <v>51</v>
      </c>
      <c r="K58" s="24" t="str">
        <f>IF(ID!$A$86=I58,J58,"")</f>
        <v/>
      </c>
      <c r="L58" s="24" t="str">
        <f>IFERROR(SMALL($K$8:$K$224,ROWS($K$8:K58)),"")</f>
        <v/>
      </c>
    </row>
    <row r="59" spans="1:12" x14ac:dyDescent="0.2">
      <c r="B59" s="543">
        <v>20</v>
      </c>
      <c r="C59" s="544">
        <v>-0.1</v>
      </c>
      <c r="D59" s="544">
        <v>0.3</v>
      </c>
      <c r="E59" s="543">
        <v>40</v>
      </c>
      <c r="F59" s="544">
        <v>-4.4000000000000004</v>
      </c>
      <c r="G59" s="544">
        <v>1.3</v>
      </c>
      <c r="H59" s="553"/>
      <c r="I59" s="1068" t="s">
        <v>265</v>
      </c>
      <c r="J59" s="24">
        <v>52</v>
      </c>
      <c r="K59" s="24" t="str">
        <f>IF(ID!$A$86=I59,J59,"")</f>
        <v/>
      </c>
      <c r="L59" s="24" t="str">
        <f>IFERROR(SMALL($K$8:$K$224,ROWS($K$8:K59)),"")</f>
        <v/>
      </c>
    </row>
    <row r="60" spans="1:12" x14ac:dyDescent="0.2">
      <c r="B60" s="543">
        <v>25</v>
      </c>
      <c r="C60" s="544">
        <v>-0.1</v>
      </c>
      <c r="D60" s="544">
        <v>0.3</v>
      </c>
      <c r="E60" s="543">
        <v>50</v>
      </c>
      <c r="F60" s="544">
        <v>-4.3</v>
      </c>
      <c r="G60" s="544">
        <v>1.3</v>
      </c>
      <c r="H60" s="553"/>
      <c r="I60" s="1068" t="s">
        <v>265</v>
      </c>
      <c r="J60" s="24">
        <v>53</v>
      </c>
      <c r="K60" s="24" t="str">
        <f>IF(ID!$A$86=I60,J60,"")</f>
        <v/>
      </c>
      <c r="L60" s="24" t="str">
        <f>IFERROR(SMALL($K$8:$K$224,ROWS($K$8:K60)),"")</f>
        <v/>
      </c>
    </row>
    <row r="61" spans="1:12" x14ac:dyDescent="0.2">
      <c r="B61" s="543">
        <v>30</v>
      </c>
      <c r="C61" s="544">
        <v>-0.1</v>
      </c>
      <c r="D61" s="544">
        <v>0.3</v>
      </c>
      <c r="E61" s="543">
        <v>60</v>
      </c>
      <c r="F61" s="544">
        <v>-4.2</v>
      </c>
      <c r="G61" s="544">
        <v>1.3</v>
      </c>
      <c r="H61" s="553"/>
      <c r="I61" s="1068" t="s">
        <v>265</v>
      </c>
      <c r="J61" s="24">
        <v>54</v>
      </c>
      <c r="K61" s="24" t="str">
        <f>IF(ID!$A$86=I61,J61,"")</f>
        <v/>
      </c>
      <c r="L61" s="24" t="str">
        <f>IFERROR(SMALL($K$8:$K$224,ROWS($K$8:K61)),"")</f>
        <v/>
      </c>
    </row>
    <row r="62" spans="1:12" x14ac:dyDescent="0.2">
      <c r="B62" s="543">
        <v>35</v>
      </c>
      <c r="C62" s="544">
        <v>-0.3</v>
      </c>
      <c r="D62" s="544">
        <v>0.3</v>
      </c>
      <c r="E62" s="543">
        <v>70</v>
      </c>
      <c r="F62" s="544">
        <v>-4</v>
      </c>
      <c r="G62" s="544">
        <v>1.3</v>
      </c>
      <c r="H62" s="553"/>
      <c r="I62" s="1068" t="s">
        <v>265</v>
      </c>
      <c r="J62" s="24">
        <v>55</v>
      </c>
      <c r="K62" s="24" t="str">
        <f>IF(ID!$A$86=I62,J62,"")</f>
        <v/>
      </c>
      <c r="L62" s="24" t="str">
        <f>IFERROR(SMALL($K$8:$K$224,ROWS($K$8:K62)),"")</f>
        <v/>
      </c>
    </row>
    <row r="63" spans="1:12" x14ac:dyDescent="0.2">
      <c r="B63" s="547">
        <v>37</v>
      </c>
      <c r="C63" s="544">
        <v>-0.4</v>
      </c>
      <c r="D63" s="544">
        <v>0.3</v>
      </c>
      <c r="E63" s="547">
        <v>80</v>
      </c>
      <c r="F63" s="544">
        <v>-3.8</v>
      </c>
      <c r="G63" s="544">
        <v>1.3</v>
      </c>
      <c r="H63" s="553"/>
      <c r="I63" s="1068" t="s">
        <v>265</v>
      </c>
      <c r="J63" s="24">
        <v>56</v>
      </c>
      <c r="K63" s="24" t="str">
        <f>IF(ID!$A$86=I63,J63,"")</f>
        <v/>
      </c>
      <c r="L63" s="24" t="str">
        <f>IFERROR(SMALL($K$8:$K$224,ROWS($K$8:K63)),"")</f>
        <v/>
      </c>
    </row>
    <row r="64" spans="1:12" x14ac:dyDescent="0.2">
      <c r="A64" s="29"/>
      <c r="B64" s="547">
        <v>40</v>
      </c>
      <c r="C64" s="545">
        <v>-0.5</v>
      </c>
      <c r="D64" s="544">
        <v>0.3</v>
      </c>
      <c r="E64" s="547">
        <v>90</v>
      </c>
      <c r="F64" s="545">
        <v>-3.5</v>
      </c>
      <c r="G64" s="544">
        <v>1.3</v>
      </c>
      <c r="H64" s="553"/>
      <c r="I64" s="1068" t="s">
        <v>265</v>
      </c>
      <c r="J64" s="24">
        <v>57</v>
      </c>
      <c r="K64" s="24" t="str">
        <f>IF(ID!$A$86=I64,J64,"")</f>
        <v/>
      </c>
      <c r="L64" s="24" t="str">
        <f>IFERROR(SMALL($K$8:$K$224,ROWS($K$8:K64)),"")</f>
        <v/>
      </c>
    </row>
    <row r="65" spans="1:12" x14ac:dyDescent="0.2">
      <c r="B65" s="550"/>
      <c r="C65" s="550"/>
      <c r="D65" s="550"/>
      <c r="E65" s="550"/>
      <c r="F65" s="550"/>
      <c r="G65" s="550"/>
      <c r="H65" s="550"/>
      <c r="I65" s="551"/>
      <c r="J65" s="24">
        <v>58</v>
      </c>
      <c r="K65" s="24" t="str">
        <f>IF(ID!$A$86=I65,J65,"")</f>
        <v/>
      </c>
      <c r="L65" s="24" t="str">
        <f>IFERROR(SMALL($K$8:$K$224,ROWS($K$8:K65)),"")</f>
        <v/>
      </c>
    </row>
    <row r="66" spans="1:12" x14ac:dyDescent="0.2">
      <c r="A66" s="27"/>
      <c r="B66" s="551"/>
      <c r="C66" s="551"/>
      <c r="D66" s="551"/>
      <c r="E66" s="551"/>
      <c r="F66" s="551"/>
      <c r="G66" s="551"/>
      <c r="H66" s="551"/>
      <c r="I66" s="551"/>
      <c r="J66" s="24">
        <v>59</v>
      </c>
      <c r="K66" s="24" t="str">
        <f>IF(ID!$A$86=I66,J66,"")</f>
        <v/>
      </c>
      <c r="L66" s="24" t="str">
        <f>IFERROR(SMALL($K$8:$K$224,ROWS($K$8:K66)),"")</f>
        <v/>
      </c>
    </row>
    <row r="67" spans="1:12" x14ac:dyDescent="0.2">
      <c r="B67" s="550"/>
      <c r="C67" s="550"/>
      <c r="D67" s="550"/>
      <c r="E67" s="550"/>
      <c r="F67" s="550"/>
      <c r="G67" s="550"/>
      <c r="H67" s="550"/>
      <c r="I67" s="551"/>
      <c r="J67" s="24">
        <v>60</v>
      </c>
      <c r="K67" s="24" t="str">
        <f>IF(ID!$A$86=I67,J67,"")</f>
        <v/>
      </c>
      <c r="L67" s="24" t="str">
        <f>IFERROR(SMALL($K$8:$K$224,ROWS($K$8:K67)),"")</f>
        <v/>
      </c>
    </row>
    <row r="68" spans="1:12" x14ac:dyDescent="0.2">
      <c r="B68" s="808">
        <v>15</v>
      </c>
      <c r="C68" s="809">
        <v>0.1</v>
      </c>
      <c r="D68" s="809">
        <v>0.8</v>
      </c>
      <c r="E68" s="808">
        <v>30</v>
      </c>
      <c r="F68" s="809">
        <v>-14.4</v>
      </c>
      <c r="G68" s="809">
        <v>2.5</v>
      </c>
      <c r="H68" s="819" t="s">
        <v>422</v>
      </c>
      <c r="I68" s="1068" t="s">
        <v>479</v>
      </c>
      <c r="J68" s="24">
        <v>61</v>
      </c>
      <c r="K68" s="24" t="str">
        <f>IF(ID!$A$86=I68,J68,"")</f>
        <v/>
      </c>
      <c r="L68" s="24" t="str">
        <f>IFERROR(SMALL($K$8:$K$224,ROWS($K$8:K68)),"")</f>
        <v/>
      </c>
    </row>
    <row r="69" spans="1:12" x14ac:dyDescent="0.2">
      <c r="B69" s="808">
        <v>20</v>
      </c>
      <c r="C69" s="809">
        <v>0.1</v>
      </c>
      <c r="D69" s="809">
        <v>0.8</v>
      </c>
      <c r="E69" s="808">
        <v>40</v>
      </c>
      <c r="F69" s="809">
        <v>-11.5</v>
      </c>
      <c r="G69" s="809">
        <v>2.5</v>
      </c>
      <c r="H69" s="819"/>
      <c r="I69" s="1068" t="s">
        <v>479</v>
      </c>
      <c r="J69" s="24">
        <v>62</v>
      </c>
      <c r="K69" s="24" t="str">
        <f>IF(ID!$A$86=I69,J69,"")</f>
        <v/>
      </c>
      <c r="L69" s="24" t="str">
        <f>IFERROR(SMALL($K$8:$K$224,ROWS($K$8:K69)),"")</f>
        <v/>
      </c>
    </row>
    <row r="70" spans="1:12" x14ac:dyDescent="0.2">
      <c r="B70" s="808">
        <v>25</v>
      </c>
      <c r="C70" s="809">
        <v>0.1</v>
      </c>
      <c r="D70" s="809">
        <v>0.8</v>
      </c>
      <c r="E70" s="808">
        <v>50</v>
      </c>
      <c r="F70" s="809">
        <v>-9.1</v>
      </c>
      <c r="G70" s="809">
        <v>2.5</v>
      </c>
      <c r="H70" s="819"/>
      <c r="I70" s="1068" t="s">
        <v>479</v>
      </c>
      <c r="J70" s="24">
        <v>63</v>
      </c>
      <c r="K70" s="24" t="str">
        <f>IF(ID!$A$86=I70,J70,"")</f>
        <v/>
      </c>
      <c r="L70" s="24" t="str">
        <f>IFERROR(SMALL($K$8:$K$224,ROWS($K$8:K70)),"")</f>
        <v/>
      </c>
    </row>
    <row r="71" spans="1:12" x14ac:dyDescent="0.2">
      <c r="B71" s="808">
        <v>30</v>
      </c>
      <c r="C71" s="809">
        <v>0</v>
      </c>
      <c r="D71" s="809">
        <v>0.8</v>
      </c>
      <c r="E71" s="808">
        <v>60</v>
      </c>
      <c r="F71" s="809">
        <v>-6.9</v>
      </c>
      <c r="G71" s="809">
        <v>2.5</v>
      </c>
      <c r="H71" s="819"/>
      <c r="I71" s="1068" t="s">
        <v>479</v>
      </c>
      <c r="J71" s="24">
        <v>64</v>
      </c>
      <c r="K71" s="24" t="str">
        <f>IF(ID!$A$86=I71,J71,"")</f>
        <v/>
      </c>
      <c r="L71" s="24" t="str">
        <f>IFERROR(SMALL($K$8:$K$224,ROWS($K$8:K71)),"")</f>
        <v/>
      </c>
    </row>
    <row r="72" spans="1:12" x14ac:dyDescent="0.2">
      <c r="B72" s="808">
        <v>35</v>
      </c>
      <c r="C72" s="809">
        <v>-0.2</v>
      </c>
      <c r="D72" s="809">
        <v>0.8</v>
      </c>
      <c r="E72" s="808">
        <v>70</v>
      </c>
      <c r="F72" s="809">
        <v>-5.0999999999999996</v>
      </c>
      <c r="G72" s="809">
        <v>2.5</v>
      </c>
      <c r="H72" s="819"/>
      <c r="I72" s="1068" t="s">
        <v>479</v>
      </c>
      <c r="J72" s="24">
        <v>65</v>
      </c>
      <c r="K72" s="24" t="str">
        <f>IF(ID!$A$86=I72,J72,"")</f>
        <v/>
      </c>
      <c r="L72" s="24" t="str">
        <f>IFERROR(SMALL($K$8:$K$224,ROWS($K$8:K72)),"")</f>
        <v/>
      </c>
    </row>
    <row r="73" spans="1:12" x14ac:dyDescent="0.2">
      <c r="B73" s="813">
        <v>37</v>
      </c>
      <c r="C73" s="809">
        <v>-0.3</v>
      </c>
      <c r="D73" s="809">
        <v>0.8</v>
      </c>
      <c r="E73" s="813">
        <v>80</v>
      </c>
      <c r="F73" s="809">
        <v>-3.7</v>
      </c>
      <c r="G73" s="809">
        <v>2.5</v>
      </c>
      <c r="H73" s="819"/>
      <c r="I73" s="1068" t="s">
        <v>479</v>
      </c>
      <c r="J73" s="24">
        <v>66</v>
      </c>
      <c r="K73" s="24" t="str">
        <f>IF(ID!$A$86=I73,J73,"")</f>
        <v/>
      </c>
      <c r="L73" s="24" t="str">
        <f>IFERROR(SMALL($K$8:$K$224,ROWS($K$8:K73)),"")</f>
        <v/>
      </c>
    </row>
    <row r="74" spans="1:12" x14ac:dyDescent="0.2">
      <c r="A74" s="29"/>
      <c r="B74" s="813">
        <v>40</v>
      </c>
      <c r="C74" s="810">
        <v>-0.4</v>
      </c>
      <c r="D74" s="809">
        <v>0.8</v>
      </c>
      <c r="E74" s="813">
        <v>90</v>
      </c>
      <c r="F74" s="810">
        <v>-2.7</v>
      </c>
      <c r="G74" s="809">
        <v>2.5</v>
      </c>
      <c r="H74" s="819"/>
      <c r="I74" s="1068" t="s">
        <v>479</v>
      </c>
      <c r="J74" s="24">
        <v>67</v>
      </c>
      <c r="K74" s="24" t="str">
        <f>IF(ID!$A$86=I74,J74,"")</f>
        <v/>
      </c>
      <c r="L74" s="24" t="str">
        <f>IFERROR(SMALL($K$8:$K$224,ROWS($K$8:K74)),"")</f>
        <v/>
      </c>
    </row>
    <row r="75" spans="1:12" x14ac:dyDescent="0.2">
      <c r="B75" s="550"/>
      <c r="C75" s="550"/>
      <c r="D75" s="550"/>
      <c r="E75" s="550"/>
      <c r="F75" s="550"/>
      <c r="G75" s="550"/>
      <c r="H75" s="550"/>
      <c r="I75" s="551"/>
      <c r="J75" s="24">
        <v>68</v>
      </c>
      <c r="K75" s="24" t="str">
        <f>IF(ID!$A$86=I75,J75,"")</f>
        <v/>
      </c>
      <c r="L75" s="24" t="str">
        <f>IFERROR(SMALL($K$8:$K$224,ROWS($K$8:K75)),"")</f>
        <v/>
      </c>
    </row>
    <row r="76" spans="1:12" x14ac:dyDescent="0.2">
      <c r="A76" s="27"/>
      <c r="B76" s="551"/>
      <c r="C76" s="551"/>
      <c r="D76" s="551"/>
      <c r="E76" s="551"/>
      <c r="F76" s="551"/>
      <c r="G76" s="551"/>
      <c r="H76" s="551"/>
      <c r="I76" s="551"/>
      <c r="J76" s="24">
        <v>69</v>
      </c>
      <c r="K76" s="24" t="str">
        <f>IF(ID!$A$86=I76,J76,"")</f>
        <v/>
      </c>
      <c r="L76" s="24" t="str">
        <f>IFERROR(SMALL($K$8:$K$224,ROWS($K$8:K76)),"")</f>
        <v/>
      </c>
    </row>
    <row r="77" spans="1:12" x14ac:dyDescent="0.2">
      <c r="B77" s="550"/>
      <c r="C77" s="550"/>
      <c r="D77" s="550"/>
      <c r="E77" s="550"/>
      <c r="F77" s="550"/>
      <c r="G77" s="550"/>
      <c r="H77" s="550"/>
      <c r="I77" s="551"/>
      <c r="J77" s="24">
        <v>70</v>
      </c>
      <c r="K77" s="24" t="str">
        <f>IF(ID!$A$86=I77,J77,"")</f>
        <v/>
      </c>
      <c r="L77" s="24" t="str">
        <f>IFERROR(SMALL($K$8:$K$224,ROWS($K$8:K77)),"")</f>
        <v/>
      </c>
    </row>
    <row r="78" spans="1:12" ht="13.2" x14ac:dyDescent="0.2">
      <c r="B78" s="543">
        <v>15</v>
      </c>
      <c r="C78" s="544">
        <v>0.4</v>
      </c>
      <c r="D78" s="544">
        <v>0.8</v>
      </c>
      <c r="E78" s="543">
        <v>30</v>
      </c>
      <c r="F78" s="544">
        <v>-1.5</v>
      </c>
      <c r="G78" s="544">
        <v>2.6</v>
      </c>
      <c r="H78" s="820" t="s">
        <v>264</v>
      </c>
      <c r="I78" s="1068" t="s">
        <v>571</v>
      </c>
      <c r="J78" s="24">
        <v>71</v>
      </c>
      <c r="K78" s="24" t="str">
        <f>IF(ID!$A$86=I78,J78,"")</f>
        <v/>
      </c>
      <c r="L78" s="24" t="str">
        <f>IFERROR(SMALL($K$8:$K$224,ROWS($K$8:K78)),"")</f>
        <v/>
      </c>
    </row>
    <row r="79" spans="1:12" ht="13.2" x14ac:dyDescent="0.2">
      <c r="B79" s="543">
        <v>20</v>
      </c>
      <c r="C79" s="544">
        <v>0.3</v>
      </c>
      <c r="D79" s="544">
        <v>0.8</v>
      </c>
      <c r="E79" s="543">
        <v>40</v>
      </c>
      <c r="F79" s="544">
        <v>-3.8</v>
      </c>
      <c r="G79" s="544">
        <v>2.6</v>
      </c>
      <c r="H79" s="820"/>
      <c r="I79" s="1068" t="s">
        <v>571</v>
      </c>
      <c r="J79" s="24">
        <v>72</v>
      </c>
      <c r="K79" s="24" t="str">
        <f>IF(ID!$A$86=I79,J79,"")</f>
        <v/>
      </c>
      <c r="L79" s="24" t="str">
        <f>IFERROR(SMALL($K$8:$K$224,ROWS($K$8:K79)),"")</f>
        <v/>
      </c>
    </row>
    <row r="80" spans="1:12" ht="13.2" x14ac:dyDescent="0.2">
      <c r="B80" s="543">
        <v>25</v>
      </c>
      <c r="C80" s="544">
        <v>0.2</v>
      </c>
      <c r="D80" s="544">
        <v>0.8</v>
      </c>
      <c r="E80" s="543">
        <v>50</v>
      </c>
      <c r="F80" s="544">
        <v>-5.4</v>
      </c>
      <c r="G80" s="544">
        <v>2.6</v>
      </c>
      <c r="H80" s="820"/>
      <c r="I80" s="1068" t="s">
        <v>571</v>
      </c>
      <c r="J80" s="24">
        <v>73</v>
      </c>
      <c r="K80" s="24" t="str">
        <f>IF(ID!$A$86=I80,J80,"")</f>
        <v/>
      </c>
      <c r="L80" s="24" t="str">
        <f>IFERROR(SMALL($K$8:$K$224,ROWS($K$8:K80)),"")</f>
        <v/>
      </c>
    </row>
    <row r="81" spans="1:12" ht="13.2" x14ac:dyDescent="0.2">
      <c r="B81" s="543">
        <v>30</v>
      </c>
      <c r="C81" s="544">
        <v>0.1</v>
      </c>
      <c r="D81" s="544">
        <v>0.8</v>
      </c>
      <c r="E81" s="543">
        <v>60</v>
      </c>
      <c r="F81" s="544">
        <v>-6.4</v>
      </c>
      <c r="G81" s="544">
        <v>2.6</v>
      </c>
      <c r="H81" s="820"/>
      <c r="I81" s="1068" t="s">
        <v>571</v>
      </c>
      <c r="J81" s="24">
        <v>74</v>
      </c>
      <c r="K81" s="24" t="str">
        <f>IF(ID!$A$86=I81,J81,"")</f>
        <v/>
      </c>
      <c r="L81" s="24" t="str">
        <f>IFERROR(SMALL($K$8:$K$224,ROWS($K$8:K81)),"")</f>
        <v/>
      </c>
    </row>
    <row r="82" spans="1:12" ht="13.2" x14ac:dyDescent="0.2">
      <c r="B82" s="543">
        <v>35</v>
      </c>
      <c r="C82" s="544">
        <v>0.1</v>
      </c>
      <c r="D82" s="544">
        <v>0.8</v>
      </c>
      <c r="E82" s="543">
        <v>70</v>
      </c>
      <c r="F82" s="544">
        <v>-6.7</v>
      </c>
      <c r="G82" s="544">
        <v>2.6</v>
      </c>
      <c r="H82" s="820"/>
      <c r="I82" s="1068" t="s">
        <v>571</v>
      </c>
      <c r="J82" s="24">
        <v>75</v>
      </c>
      <c r="K82" s="24" t="str">
        <f>IF(ID!$A$86=I82,J82,"")</f>
        <v/>
      </c>
      <c r="L82" s="24" t="str">
        <f>IFERROR(SMALL($K$8:$K$224,ROWS($K$8:K82)),"")</f>
        <v/>
      </c>
    </row>
    <row r="83" spans="1:12" ht="13.2" x14ac:dyDescent="0.2">
      <c r="B83" s="547">
        <v>37</v>
      </c>
      <c r="C83" s="544">
        <v>0.1</v>
      </c>
      <c r="D83" s="544">
        <v>0.8</v>
      </c>
      <c r="E83" s="547">
        <v>80</v>
      </c>
      <c r="F83" s="544">
        <v>-6.3</v>
      </c>
      <c r="G83" s="544">
        <v>2.6</v>
      </c>
      <c r="H83" s="820"/>
      <c r="I83" s="1068" t="s">
        <v>571</v>
      </c>
      <c r="J83" s="24">
        <v>76</v>
      </c>
      <c r="K83" s="24" t="str">
        <f>IF(ID!$A$86=I83,J83,"")</f>
        <v/>
      </c>
      <c r="L83" s="24" t="str">
        <f>IFERROR(SMALL($K$8:$K$224,ROWS($K$8:K83)),"")</f>
        <v/>
      </c>
    </row>
    <row r="84" spans="1:12" ht="13.2" x14ac:dyDescent="0.2">
      <c r="A84" s="29"/>
      <c r="B84" s="547">
        <v>40</v>
      </c>
      <c r="C84" s="545">
        <v>0.1</v>
      </c>
      <c r="D84" s="544">
        <v>0.8</v>
      </c>
      <c r="E84" s="547">
        <v>90</v>
      </c>
      <c r="F84" s="545">
        <v>-5.2</v>
      </c>
      <c r="G84" s="544">
        <v>2.6</v>
      </c>
      <c r="H84" s="820"/>
      <c r="I84" s="1068" t="s">
        <v>571</v>
      </c>
      <c r="J84" s="24">
        <v>77</v>
      </c>
      <c r="K84" s="24" t="str">
        <f>IF(ID!$A$86=I84,J84,"")</f>
        <v/>
      </c>
      <c r="L84" s="24" t="str">
        <f>IFERROR(SMALL($K$8:$K$224,ROWS($K$8:K84)),"")</f>
        <v/>
      </c>
    </row>
    <row r="85" spans="1:12" x14ac:dyDescent="0.2">
      <c r="B85" s="550"/>
      <c r="C85" s="550"/>
      <c r="D85" s="550"/>
      <c r="E85" s="550"/>
      <c r="F85" s="550"/>
      <c r="G85" s="550"/>
      <c r="H85" s="550"/>
      <c r="I85" s="551"/>
      <c r="J85" s="24">
        <v>78</v>
      </c>
      <c r="K85" s="24" t="str">
        <f>IF(ID!$A$86=I85,J85,"")</f>
        <v/>
      </c>
      <c r="L85" s="24" t="str">
        <f>IFERROR(SMALL($K$8:$K$224,ROWS($K$8:K85)),"")</f>
        <v/>
      </c>
    </row>
    <row r="86" spans="1:12" x14ac:dyDescent="0.2">
      <c r="A86" s="27"/>
      <c r="B86" s="551"/>
      <c r="C86" s="551"/>
      <c r="D86" s="551"/>
      <c r="E86" s="551"/>
      <c r="F86" s="551"/>
      <c r="G86" s="551"/>
      <c r="H86" s="551"/>
      <c r="I86" s="551"/>
      <c r="J86" s="24">
        <v>79</v>
      </c>
      <c r="K86" s="24" t="str">
        <f>IF(ID!$A$86=I86,J86,"")</f>
        <v/>
      </c>
      <c r="L86" s="24" t="str">
        <f>IFERROR(SMALL($K$8:$K$224,ROWS($K$8:K86)),"")</f>
        <v/>
      </c>
    </row>
    <row r="87" spans="1:12" x14ac:dyDescent="0.2">
      <c r="B87" s="550"/>
      <c r="C87" s="550"/>
      <c r="D87" s="550"/>
      <c r="E87" s="550"/>
      <c r="F87" s="550"/>
      <c r="G87" s="550"/>
      <c r="H87" s="550"/>
      <c r="I87" s="551"/>
      <c r="J87" s="24">
        <v>80</v>
      </c>
      <c r="K87" s="24" t="str">
        <f>IF(ID!$A$86=I87,J87,"")</f>
        <v/>
      </c>
      <c r="L87" s="24" t="str">
        <f>IFERROR(SMALL($K$8:$K$224,ROWS($K$8:K87)),"")</f>
        <v/>
      </c>
    </row>
    <row r="88" spans="1:12" x14ac:dyDescent="0.2">
      <c r="B88" s="543">
        <v>15</v>
      </c>
      <c r="C88" s="544">
        <v>0.1</v>
      </c>
      <c r="D88" s="544">
        <v>0.3</v>
      </c>
      <c r="E88" s="543">
        <v>30</v>
      </c>
      <c r="F88" s="544">
        <v>-4</v>
      </c>
      <c r="G88" s="544">
        <v>2.5</v>
      </c>
      <c r="H88" s="819" t="s">
        <v>371</v>
      </c>
      <c r="I88" s="1068" t="s">
        <v>267</v>
      </c>
      <c r="J88" s="24">
        <v>81</v>
      </c>
      <c r="K88" s="24" t="str">
        <f>IF(ID!$A$86=I88,J88,"")</f>
        <v/>
      </c>
      <c r="L88" s="24" t="str">
        <f>IFERROR(SMALL($K$8:$K$224,ROWS($K$8:K88)),"")</f>
        <v/>
      </c>
    </row>
    <row r="89" spans="1:12" x14ac:dyDescent="0.2">
      <c r="B89" s="543">
        <v>20</v>
      </c>
      <c r="C89" s="544">
        <v>0</v>
      </c>
      <c r="D89" s="544">
        <v>0.3</v>
      </c>
      <c r="E89" s="543">
        <v>40</v>
      </c>
      <c r="F89" s="544">
        <v>-3.8</v>
      </c>
      <c r="G89" s="544">
        <v>2.5</v>
      </c>
      <c r="H89" s="819"/>
      <c r="I89" s="1068" t="s">
        <v>267</v>
      </c>
      <c r="J89" s="24">
        <v>82</v>
      </c>
      <c r="K89" s="24" t="str">
        <f>IF(ID!$A$86=I89,J89,"")</f>
        <v/>
      </c>
      <c r="L89" s="24" t="str">
        <f>IFERROR(SMALL($K$8:$K$224,ROWS($K$8:K89)),"")</f>
        <v/>
      </c>
    </row>
    <row r="90" spans="1:12" x14ac:dyDescent="0.2">
      <c r="B90" s="543">
        <v>25</v>
      </c>
      <c r="C90" s="544">
        <v>-0.1</v>
      </c>
      <c r="D90" s="544">
        <v>0.3</v>
      </c>
      <c r="E90" s="543">
        <v>50</v>
      </c>
      <c r="F90" s="544">
        <v>-3.8</v>
      </c>
      <c r="G90" s="544">
        <v>2.5</v>
      </c>
      <c r="H90" s="819"/>
      <c r="I90" s="1068" t="s">
        <v>267</v>
      </c>
      <c r="J90" s="24">
        <v>83</v>
      </c>
      <c r="K90" s="24" t="str">
        <f>IF(ID!$A$86=I90,J90,"")</f>
        <v/>
      </c>
      <c r="L90" s="24" t="str">
        <f>IFERROR(SMALL($K$8:$K$224,ROWS($K$8:K90)),"")</f>
        <v/>
      </c>
    </row>
    <row r="91" spans="1:12" x14ac:dyDescent="0.2">
      <c r="B91" s="543">
        <v>30</v>
      </c>
      <c r="C91" s="544">
        <v>-0.2</v>
      </c>
      <c r="D91" s="544">
        <v>0.3</v>
      </c>
      <c r="E91" s="543">
        <v>60</v>
      </c>
      <c r="F91" s="544">
        <v>-3.9</v>
      </c>
      <c r="G91" s="544">
        <v>2.5</v>
      </c>
      <c r="H91" s="819"/>
      <c r="I91" s="1068" t="s">
        <v>267</v>
      </c>
      <c r="J91" s="24">
        <v>84</v>
      </c>
      <c r="K91" s="24" t="str">
        <f>IF(ID!$A$86=I91,J91,"")</f>
        <v/>
      </c>
      <c r="L91" s="24" t="str">
        <f>IFERROR(SMALL($K$8:$K$224,ROWS($K$8:K91)),"")</f>
        <v/>
      </c>
    </row>
    <row r="92" spans="1:12" x14ac:dyDescent="0.2">
      <c r="B92" s="543">
        <v>35</v>
      </c>
      <c r="C92" s="544">
        <v>-0.1</v>
      </c>
      <c r="D92" s="544">
        <v>0.3</v>
      </c>
      <c r="E92" s="543">
        <v>70</v>
      </c>
      <c r="F92" s="544">
        <v>-4.0999999999999996</v>
      </c>
      <c r="G92" s="544">
        <v>2.5</v>
      </c>
      <c r="H92" s="819"/>
      <c r="I92" s="1068" t="s">
        <v>267</v>
      </c>
      <c r="J92" s="24">
        <v>85</v>
      </c>
      <c r="K92" s="24" t="str">
        <f>IF(ID!$A$86=I92,J92,"")</f>
        <v/>
      </c>
      <c r="L92" s="24" t="str">
        <f>IFERROR(SMALL($K$8:$K$224,ROWS($K$8:K92)),"")</f>
        <v/>
      </c>
    </row>
    <row r="93" spans="1:12" x14ac:dyDescent="0.2">
      <c r="B93" s="547">
        <v>37</v>
      </c>
      <c r="C93" s="544">
        <v>-0.1</v>
      </c>
      <c r="D93" s="544">
        <v>0.3</v>
      </c>
      <c r="E93" s="547">
        <v>80</v>
      </c>
      <c r="F93" s="544">
        <v>-4.5</v>
      </c>
      <c r="G93" s="544">
        <v>2.5</v>
      </c>
      <c r="H93" s="819"/>
      <c r="I93" s="1068" t="s">
        <v>267</v>
      </c>
      <c r="J93" s="24">
        <v>86</v>
      </c>
      <c r="K93" s="24" t="str">
        <f>IF(ID!$A$86=I93,J93,"")</f>
        <v/>
      </c>
      <c r="L93" s="24" t="str">
        <f>IFERROR(SMALL($K$8:$K$224,ROWS($K$8:K93)),"")</f>
        <v/>
      </c>
    </row>
    <row r="94" spans="1:12" x14ac:dyDescent="0.2">
      <c r="A94" s="29"/>
      <c r="B94" s="547">
        <v>40</v>
      </c>
      <c r="C94" s="545">
        <v>0</v>
      </c>
      <c r="D94" s="544">
        <v>0.3</v>
      </c>
      <c r="E94" s="547">
        <v>90</v>
      </c>
      <c r="F94" s="545">
        <v>-4.9000000000000004</v>
      </c>
      <c r="G94" s="544">
        <v>2.5</v>
      </c>
      <c r="H94" s="819"/>
      <c r="I94" s="1068" t="s">
        <v>267</v>
      </c>
      <c r="J94" s="24">
        <v>87</v>
      </c>
      <c r="K94" s="24" t="str">
        <f>IF(ID!$A$86=I94,J94,"")</f>
        <v/>
      </c>
      <c r="L94" s="24" t="str">
        <f>IFERROR(SMALL($K$8:$K$224,ROWS($K$8:K94)),"")</f>
        <v/>
      </c>
    </row>
    <row r="95" spans="1:12" x14ac:dyDescent="0.2">
      <c r="B95" s="550"/>
      <c r="C95" s="550"/>
      <c r="D95" s="550"/>
      <c r="E95" s="550"/>
      <c r="F95" s="550"/>
      <c r="G95" s="550"/>
      <c r="H95" s="550"/>
      <c r="I95" s="551"/>
      <c r="J95" s="24">
        <v>88</v>
      </c>
      <c r="K95" s="24" t="str">
        <f>IF(ID!$A$86=I95,J95,"")</f>
        <v/>
      </c>
      <c r="L95" s="24" t="str">
        <f>IFERROR(SMALL($K$8:$K$224,ROWS($K$8:K95)),"")</f>
        <v/>
      </c>
    </row>
    <row r="96" spans="1:12" x14ac:dyDescent="0.2">
      <c r="A96" s="27"/>
      <c r="B96" s="551"/>
      <c r="C96" s="551"/>
      <c r="D96" s="551"/>
      <c r="E96" s="551"/>
      <c r="F96" s="551"/>
      <c r="G96" s="551"/>
      <c r="H96" s="551"/>
      <c r="I96" s="551"/>
      <c r="J96" s="24">
        <v>89</v>
      </c>
      <c r="K96" s="24" t="str">
        <f>IF(ID!$A$86=I96,J96,"")</f>
        <v/>
      </c>
      <c r="L96" s="24" t="str">
        <f>IFERROR(SMALL($K$8:$K$224,ROWS($K$8:K96)),"")</f>
        <v/>
      </c>
    </row>
    <row r="97" spans="1:12" x14ac:dyDescent="0.2">
      <c r="B97" s="550"/>
      <c r="C97" s="550"/>
      <c r="D97" s="550"/>
      <c r="E97" s="550"/>
      <c r="F97" s="550"/>
      <c r="G97" s="550"/>
      <c r="H97" s="550"/>
      <c r="I97" s="551"/>
      <c r="J97" s="24">
        <v>90</v>
      </c>
      <c r="K97" s="24" t="str">
        <f>IF(ID!$A$86=I97,J97,"")</f>
        <v/>
      </c>
      <c r="L97" s="24" t="str">
        <f>IFERROR(SMALL($K$8:$K$224,ROWS($K$8:K97)),"")</f>
        <v/>
      </c>
    </row>
    <row r="98" spans="1:12" x14ac:dyDescent="0.2">
      <c r="B98" s="543">
        <v>15</v>
      </c>
      <c r="C98" s="544">
        <v>0.1</v>
      </c>
      <c r="D98" s="544">
        <v>0.2</v>
      </c>
      <c r="E98" s="543">
        <v>30</v>
      </c>
      <c r="F98" s="544">
        <v>-1.9</v>
      </c>
      <c r="G98" s="544">
        <v>2.4</v>
      </c>
      <c r="H98" s="821" t="s">
        <v>371</v>
      </c>
      <c r="I98" s="1068" t="s">
        <v>481</v>
      </c>
      <c r="J98" s="24">
        <v>91</v>
      </c>
      <c r="K98" s="24" t="str">
        <f>IF(ID!$A$86=I98,J98,"")</f>
        <v/>
      </c>
      <c r="L98" s="24" t="str">
        <f>IFERROR(SMALL($K$8:$K$224,ROWS($K$8:K98)),"")</f>
        <v/>
      </c>
    </row>
    <row r="99" spans="1:12" ht="13.2" x14ac:dyDescent="0.2">
      <c r="B99" s="543">
        <v>20</v>
      </c>
      <c r="C99" s="544">
        <v>0</v>
      </c>
      <c r="D99" s="544">
        <v>0.2</v>
      </c>
      <c r="E99" s="543">
        <v>40</v>
      </c>
      <c r="F99" s="544">
        <v>-1.9</v>
      </c>
      <c r="G99" s="544">
        <v>2.4</v>
      </c>
      <c r="H99" s="817"/>
      <c r="I99" s="1068" t="s">
        <v>481</v>
      </c>
      <c r="J99" s="24">
        <v>92</v>
      </c>
      <c r="K99" s="24" t="str">
        <f>IF(ID!$A$86=I99,J99,"")</f>
        <v/>
      </c>
      <c r="L99" s="24" t="str">
        <f>IFERROR(SMALL($K$8:$K$224,ROWS($K$8:K99)),"")</f>
        <v/>
      </c>
    </row>
    <row r="100" spans="1:12" ht="13.2" x14ac:dyDescent="0.2">
      <c r="B100" s="543">
        <v>25</v>
      </c>
      <c r="C100" s="544">
        <v>0</v>
      </c>
      <c r="D100" s="544">
        <v>0.2</v>
      </c>
      <c r="E100" s="543">
        <v>50</v>
      </c>
      <c r="F100" s="544">
        <v>-1.9</v>
      </c>
      <c r="G100" s="544">
        <v>2.4</v>
      </c>
      <c r="H100" s="817"/>
      <c r="I100" s="1068" t="s">
        <v>481</v>
      </c>
      <c r="J100" s="24">
        <v>93</v>
      </c>
      <c r="K100" s="24" t="str">
        <f>IF(ID!$A$86=I100,J100,"")</f>
        <v/>
      </c>
      <c r="L100" s="24" t="str">
        <f>IFERROR(SMALL($K$8:$K$224,ROWS($K$8:K100)),"")</f>
        <v/>
      </c>
    </row>
    <row r="101" spans="1:12" ht="13.2" x14ac:dyDescent="0.2">
      <c r="B101" s="543">
        <v>30</v>
      </c>
      <c r="C101" s="544">
        <v>0</v>
      </c>
      <c r="D101" s="544">
        <v>0.2</v>
      </c>
      <c r="E101" s="543">
        <v>60</v>
      </c>
      <c r="F101" s="544">
        <v>-2.1</v>
      </c>
      <c r="G101" s="544">
        <v>2.4</v>
      </c>
      <c r="H101" s="817"/>
      <c r="I101" s="1068" t="s">
        <v>481</v>
      </c>
      <c r="J101" s="24">
        <v>94</v>
      </c>
      <c r="K101" s="24" t="str">
        <f>IF(ID!$A$86=I101,J101,"")</f>
        <v/>
      </c>
      <c r="L101" s="24" t="str">
        <f>IFERROR(SMALL($K$8:$K$224,ROWS($K$8:K101)),"")</f>
        <v/>
      </c>
    </row>
    <row r="102" spans="1:12" ht="13.2" x14ac:dyDescent="0.2">
      <c r="B102" s="543">
        <v>35</v>
      </c>
      <c r="C102" s="544">
        <v>0</v>
      </c>
      <c r="D102" s="544">
        <v>0.2</v>
      </c>
      <c r="E102" s="543">
        <v>70</v>
      </c>
      <c r="F102" s="544">
        <v>-2.2999999999999998</v>
      </c>
      <c r="G102" s="544">
        <v>2.4</v>
      </c>
      <c r="H102" s="817"/>
      <c r="I102" s="1068" t="s">
        <v>481</v>
      </c>
      <c r="J102" s="24">
        <v>95</v>
      </c>
      <c r="K102" s="24" t="str">
        <f>IF(ID!$A$86=I102,J102,"")</f>
        <v/>
      </c>
      <c r="L102" s="24" t="str">
        <f>IFERROR(SMALL($K$8:$K$224,ROWS($K$8:K102)),"")</f>
        <v/>
      </c>
    </row>
    <row r="103" spans="1:12" ht="13.2" x14ac:dyDescent="0.2">
      <c r="B103" s="547">
        <v>37</v>
      </c>
      <c r="C103" s="544">
        <v>0</v>
      </c>
      <c r="D103" s="544">
        <v>0.2</v>
      </c>
      <c r="E103" s="547">
        <v>80</v>
      </c>
      <c r="F103" s="544">
        <v>-2.6</v>
      </c>
      <c r="G103" s="544">
        <v>2.4</v>
      </c>
      <c r="H103" s="817"/>
      <c r="I103" s="1068" t="s">
        <v>481</v>
      </c>
      <c r="J103" s="24">
        <v>96</v>
      </c>
      <c r="K103" s="24" t="str">
        <f>IF(ID!$A$86=I103,J103,"")</f>
        <v/>
      </c>
      <c r="L103" s="24" t="str">
        <f>IFERROR(SMALL($K$8:$K$224,ROWS($K$8:K103)),"")</f>
        <v/>
      </c>
    </row>
    <row r="104" spans="1:12" ht="13.2" x14ac:dyDescent="0.2">
      <c r="A104" s="29"/>
      <c r="B104" s="547">
        <v>40</v>
      </c>
      <c r="C104" s="544">
        <v>0.1</v>
      </c>
      <c r="D104" s="544">
        <v>0.2</v>
      </c>
      <c r="E104" s="547">
        <v>90</v>
      </c>
      <c r="F104" s="554">
        <v>-3</v>
      </c>
      <c r="G104" s="544">
        <v>2.4</v>
      </c>
      <c r="H104" s="817"/>
      <c r="I104" s="1068" t="s">
        <v>481</v>
      </c>
      <c r="J104" s="24">
        <v>97</v>
      </c>
      <c r="K104" s="24" t="str">
        <f>IF(ID!$A$86=I104,J104,"")</f>
        <v/>
      </c>
      <c r="L104" s="24" t="str">
        <f>IFERROR(SMALL($K$8:$K$224,ROWS($K$8:K104)),"")</f>
        <v/>
      </c>
    </row>
    <row r="105" spans="1:12" x14ac:dyDescent="0.2">
      <c r="B105" s="550"/>
      <c r="C105" s="550"/>
      <c r="D105" s="550"/>
      <c r="E105" s="550"/>
      <c r="F105" s="550"/>
      <c r="G105" s="550"/>
      <c r="H105" s="550"/>
      <c r="I105" s="551"/>
      <c r="J105" s="24">
        <v>98</v>
      </c>
      <c r="K105" s="24" t="str">
        <f>IF(ID!$A$86=I105,J105,"")</f>
        <v/>
      </c>
      <c r="L105" s="24" t="str">
        <f>IFERROR(SMALL($K$8:$K$224,ROWS($K$8:K105)),"")</f>
        <v/>
      </c>
    </row>
    <row r="106" spans="1:12" x14ac:dyDescent="0.2">
      <c r="A106" s="27"/>
      <c r="B106" s="551"/>
      <c r="C106" s="551"/>
      <c r="D106" s="551"/>
      <c r="E106" s="551"/>
      <c r="F106" s="551"/>
      <c r="G106" s="551"/>
      <c r="H106" s="551"/>
      <c r="I106" s="551"/>
      <c r="J106" s="24">
        <v>99</v>
      </c>
      <c r="K106" s="24" t="str">
        <f>IF(ID!$A$86=I106,J106,"")</f>
        <v/>
      </c>
      <c r="L106" s="24" t="str">
        <f>IFERROR(SMALL($K$8:$K$224,ROWS($K$8:K106)),"")</f>
        <v/>
      </c>
    </row>
    <row r="107" spans="1:12" x14ac:dyDescent="0.2">
      <c r="B107" s="550"/>
      <c r="C107" s="550"/>
      <c r="D107" s="550"/>
      <c r="E107" s="550"/>
      <c r="F107" s="550"/>
      <c r="G107" s="550"/>
      <c r="H107" s="550"/>
      <c r="I107" s="551"/>
      <c r="J107" s="24">
        <v>100</v>
      </c>
      <c r="K107" s="24" t="str">
        <f>IF(ID!$A$86=I107,J107,"")</f>
        <v/>
      </c>
      <c r="L107" s="24" t="str">
        <f>IFERROR(SMALL($K$8:$K$224,ROWS($K$8:K107)),"")</f>
        <v/>
      </c>
    </row>
    <row r="108" spans="1:12" x14ac:dyDescent="0.2">
      <c r="B108" s="543">
        <v>15</v>
      </c>
      <c r="C108" s="544">
        <v>0</v>
      </c>
      <c r="D108" s="544">
        <v>0.3</v>
      </c>
      <c r="E108" s="543">
        <v>30</v>
      </c>
      <c r="F108" s="544">
        <v>-1.2</v>
      </c>
      <c r="G108" s="544">
        <v>2.4</v>
      </c>
      <c r="H108" s="553" t="s">
        <v>235</v>
      </c>
      <c r="I108" s="1068" t="s">
        <v>480</v>
      </c>
      <c r="J108" s="24">
        <v>101</v>
      </c>
      <c r="K108" s="24" t="str">
        <f>IF(ID!$A$86=I108,J108,"")</f>
        <v/>
      </c>
      <c r="L108" s="24" t="str">
        <f>IFERROR(SMALL($K$8:$K$224,ROWS($K$8:K108)),"")</f>
        <v/>
      </c>
    </row>
    <row r="109" spans="1:12" x14ac:dyDescent="0.2">
      <c r="B109" s="543">
        <v>20</v>
      </c>
      <c r="C109" s="544">
        <v>-0.2</v>
      </c>
      <c r="D109" s="544">
        <v>0.3</v>
      </c>
      <c r="E109" s="543">
        <v>40</v>
      </c>
      <c r="F109" s="544">
        <v>-1</v>
      </c>
      <c r="G109" s="544">
        <v>2.4</v>
      </c>
      <c r="H109" s="553"/>
      <c r="I109" s="1068" t="s">
        <v>480</v>
      </c>
      <c r="J109" s="24">
        <v>102</v>
      </c>
      <c r="K109" s="24" t="str">
        <f>IF(ID!$A$86=I109,J109,"")</f>
        <v/>
      </c>
      <c r="L109" s="24" t="str">
        <f>IFERROR(SMALL($K$8:$K$224,ROWS($K$8:K109)),"")</f>
        <v/>
      </c>
    </row>
    <row r="110" spans="1:12" x14ac:dyDescent="0.2">
      <c r="B110" s="543">
        <v>25</v>
      </c>
      <c r="C110" s="544">
        <v>-0.4</v>
      </c>
      <c r="D110" s="544">
        <v>0.3</v>
      </c>
      <c r="E110" s="543">
        <v>50</v>
      </c>
      <c r="F110" s="544">
        <v>-0.9</v>
      </c>
      <c r="G110" s="544">
        <v>2.4</v>
      </c>
      <c r="H110" s="553"/>
      <c r="I110" s="1068" t="s">
        <v>480</v>
      </c>
      <c r="J110" s="24">
        <v>103</v>
      </c>
      <c r="K110" s="24" t="str">
        <f>IF(ID!$A$86=I110,J110,"")</f>
        <v/>
      </c>
      <c r="L110" s="24" t="str">
        <f>IFERROR(SMALL($K$8:$K$224,ROWS($K$8:K110)),"")</f>
        <v/>
      </c>
    </row>
    <row r="111" spans="1:12" x14ac:dyDescent="0.2">
      <c r="B111" s="543">
        <v>30</v>
      </c>
      <c r="C111" s="544">
        <v>-0.5</v>
      </c>
      <c r="D111" s="544">
        <v>0.3</v>
      </c>
      <c r="E111" s="543">
        <v>60</v>
      </c>
      <c r="F111" s="544">
        <v>-0.8</v>
      </c>
      <c r="G111" s="544">
        <v>2.4</v>
      </c>
      <c r="H111" s="553"/>
      <c r="I111" s="1068" t="s">
        <v>480</v>
      </c>
      <c r="J111" s="24">
        <v>104</v>
      </c>
      <c r="K111" s="24" t="str">
        <f>IF(ID!$A$86=I111,J111,"")</f>
        <v/>
      </c>
      <c r="L111" s="24" t="str">
        <f>IFERROR(SMALL($K$8:$K$224,ROWS($K$8:K111)),"")</f>
        <v/>
      </c>
    </row>
    <row r="112" spans="1:12" x14ac:dyDescent="0.2">
      <c r="B112" s="543">
        <v>35</v>
      </c>
      <c r="C112" s="544">
        <v>-0.5</v>
      </c>
      <c r="D112" s="544">
        <v>0.3</v>
      </c>
      <c r="E112" s="543">
        <v>70</v>
      </c>
      <c r="F112" s="544">
        <v>-0.6</v>
      </c>
      <c r="G112" s="544">
        <v>2.4</v>
      </c>
      <c r="H112" s="553"/>
      <c r="I112" s="1068" t="s">
        <v>480</v>
      </c>
      <c r="J112" s="24">
        <v>105</v>
      </c>
      <c r="K112" s="24" t="str">
        <f>IF(ID!$A$86=I112,J112,"")</f>
        <v/>
      </c>
      <c r="L112" s="24" t="str">
        <f>IFERROR(SMALL($K$8:$K$224,ROWS($K$8:K112)),"")</f>
        <v/>
      </c>
    </row>
    <row r="113" spans="2:12" x14ac:dyDescent="0.2">
      <c r="B113" s="547">
        <v>37</v>
      </c>
      <c r="C113" s="544">
        <v>-0.5</v>
      </c>
      <c r="D113" s="544">
        <v>0.3</v>
      </c>
      <c r="E113" s="547">
        <v>80</v>
      </c>
      <c r="F113" s="544">
        <v>-0.5</v>
      </c>
      <c r="G113" s="544">
        <v>2.4</v>
      </c>
      <c r="H113" s="553"/>
      <c r="I113" s="1068" t="s">
        <v>480</v>
      </c>
      <c r="J113" s="24">
        <v>106</v>
      </c>
      <c r="K113" s="24" t="str">
        <f>IF(ID!$A$86=I113,J113,"")</f>
        <v/>
      </c>
      <c r="L113" s="24" t="str">
        <f>IFERROR(SMALL($K$8:$K$224,ROWS($K$8:K113)),"")</f>
        <v/>
      </c>
    </row>
    <row r="114" spans="2:12" x14ac:dyDescent="0.2">
      <c r="B114" s="547">
        <v>40</v>
      </c>
      <c r="C114" s="545">
        <v>-0.4</v>
      </c>
      <c r="D114" s="544">
        <v>0.3</v>
      </c>
      <c r="E114" s="547">
        <v>90</v>
      </c>
      <c r="F114" s="545">
        <v>-0.2</v>
      </c>
      <c r="G114" s="544">
        <v>2.4</v>
      </c>
      <c r="H114" s="553"/>
      <c r="I114" s="1068" t="s">
        <v>480</v>
      </c>
      <c r="J114" s="24">
        <v>107</v>
      </c>
      <c r="K114" s="24" t="str">
        <f>IF(ID!$A$86=I114,J114,"")</f>
        <v/>
      </c>
      <c r="L114" s="24" t="str">
        <f>IFERROR(SMALL($K$8:$K$224,ROWS($K$8:K114)),"")</f>
        <v/>
      </c>
    </row>
    <row r="115" spans="2:12" x14ac:dyDescent="0.2">
      <c r="B115" s="550"/>
      <c r="C115" s="550"/>
      <c r="D115" s="550"/>
      <c r="E115" s="550"/>
      <c r="F115" s="550"/>
      <c r="G115" s="550"/>
      <c r="H115" s="550"/>
      <c r="I115" s="551"/>
      <c r="J115" s="24">
        <v>108</v>
      </c>
      <c r="K115" s="24" t="str">
        <f>IF(ID!$A$86=I115,J115,"")</f>
        <v/>
      </c>
      <c r="L115" s="24" t="str">
        <f>IFERROR(SMALL($K$8:$K$224,ROWS($K$8:K115)),"")</f>
        <v/>
      </c>
    </row>
    <row r="116" spans="2:12" s="27" customFormat="1" x14ac:dyDescent="0.2">
      <c r="B116" s="551"/>
      <c r="C116" s="551"/>
      <c r="D116" s="551"/>
      <c r="E116" s="551"/>
      <c r="F116" s="551"/>
      <c r="G116" s="551"/>
      <c r="H116" s="551"/>
      <c r="I116" s="551"/>
      <c r="J116" s="24">
        <v>109</v>
      </c>
      <c r="K116" s="24" t="str">
        <f>IF(ID!$A$86=I116,J116,"")</f>
        <v/>
      </c>
      <c r="L116" s="24" t="str">
        <f>IFERROR(SMALL($K$8:$K$224,ROWS($K$8:K116)),"")</f>
        <v/>
      </c>
    </row>
    <row r="117" spans="2:12" x14ac:dyDescent="0.2">
      <c r="B117" s="550"/>
      <c r="C117" s="550"/>
      <c r="D117" s="550"/>
      <c r="E117" s="550"/>
      <c r="F117" s="550"/>
      <c r="G117" s="550"/>
      <c r="H117" s="550"/>
      <c r="I117" s="551"/>
      <c r="J117" s="24">
        <v>110</v>
      </c>
      <c r="K117" s="24" t="str">
        <f>IF(ID!$A$86=I117,J117,"")</f>
        <v/>
      </c>
      <c r="L117" s="24" t="str">
        <f>IFERROR(SMALL($K$8:$K$224,ROWS($K$8:K117)),"")</f>
        <v/>
      </c>
    </row>
    <row r="118" spans="2:12" x14ac:dyDescent="0.2">
      <c r="B118" s="543">
        <v>15</v>
      </c>
      <c r="C118" s="544">
        <v>0.5</v>
      </c>
      <c r="D118" s="544">
        <v>0.5</v>
      </c>
      <c r="E118" s="543">
        <v>30</v>
      </c>
      <c r="F118" s="544">
        <v>-0.8</v>
      </c>
      <c r="G118" s="544">
        <v>2.7</v>
      </c>
      <c r="H118" s="822" t="s">
        <v>458</v>
      </c>
      <c r="I118" s="1068" t="s">
        <v>268</v>
      </c>
      <c r="J118" s="24">
        <v>111</v>
      </c>
      <c r="K118" s="24" t="str">
        <f>IF(ID!$A$86=I118,J118,"")</f>
        <v/>
      </c>
      <c r="L118" s="24" t="str">
        <f>IFERROR(SMALL($K$8:$K$224,ROWS($K$8:K118)),"")</f>
        <v/>
      </c>
    </row>
    <row r="119" spans="2:12" x14ac:dyDescent="0.2">
      <c r="B119" s="543">
        <v>20</v>
      </c>
      <c r="C119" s="544">
        <v>0.2</v>
      </c>
      <c r="D119" s="544">
        <v>0.5</v>
      </c>
      <c r="E119" s="543">
        <v>40</v>
      </c>
      <c r="F119" s="544">
        <v>-0.4</v>
      </c>
      <c r="G119" s="544">
        <v>2.7</v>
      </c>
      <c r="H119" s="822"/>
      <c r="I119" s="1068" t="s">
        <v>268</v>
      </c>
      <c r="J119" s="24">
        <v>112</v>
      </c>
      <c r="K119" s="24" t="str">
        <f>IF(ID!$A$86=I119,J119,"")</f>
        <v/>
      </c>
      <c r="L119" s="24" t="str">
        <f>IFERROR(SMALL($K$8:$K$224,ROWS($K$8:K119)),"")</f>
        <v/>
      </c>
    </row>
    <row r="120" spans="2:12" x14ac:dyDescent="0.2">
      <c r="B120" s="543">
        <v>25</v>
      </c>
      <c r="C120" s="544">
        <v>-0.1</v>
      </c>
      <c r="D120" s="544">
        <v>0.5</v>
      </c>
      <c r="E120" s="543">
        <v>50</v>
      </c>
      <c r="F120" s="544">
        <v>0</v>
      </c>
      <c r="G120" s="544">
        <v>2.7</v>
      </c>
      <c r="H120" s="822"/>
      <c r="I120" s="1068" t="s">
        <v>268</v>
      </c>
      <c r="J120" s="24">
        <v>113</v>
      </c>
      <c r="K120" s="24" t="str">
        <f>IF(ID!$A$86=I120,J120,"")</f>
        <v/>
      </c>
      <c r="L120" s="24" t="str">
        <f>IFERROR(SMALL($K$8:$K$224,ROWS($K$8:K120)),"")</f>
        <v/>
      </c>
    </row>
    <row r="121" spans="2:12" x14ac:dyDescent="0.2">
      <c r="B121" s="543">
        <v>30</v>
      </c>
      <c r="C121" s="544">
        <v>-0.4</v>
      </c>
      <c r="D121" s="544">
        <v>0.5</v>
      </c>
      <c r="E121" s="543">
        <v>60</v>
      </c>
      <c r="F121" s="544">
        <v>0.3</v>
      </c>
      <c r="G121" s="544">
        <v>2.7</v>
      </c>
      <c r="H121" s="822"/>
      <c r="I121" s="1068" t="s">
        <v>268</v>
      </c>
      <c r="J121" s="24">
        <v>114</v>
      </c>
      <c r="K121" s="24" t="str">
        <f>IF(ID!$A$86=I121,J121,"")</f>
        <v/>
      </c>
      <c r="L121" s="24" t="str">
        <f>IFERROR(SMALL($K$8:$K$224,ROWS($K$8:K121)),"")</f>
        <v/>
      </c>
    </row>
    <row r="122" spans="2:12" x14ac:dyDescent="0.2">
      <c r="B122" s="543">
        <v>35</v>
      </c>
      <c r="C122" s="544">
        <v>-0.6</v>
      </c>
      <c r="D122" s="544">
        <v>0.5</v>
      </c>
      <c r="E122" s="543">
        <v>70</v>
      </c>
      <c r="F122" s="544">
        <v>0.7</v>
      </c>
      <c r="G122" s="544">
        <v>2.7</v>
      </c>
      <c r="H122" s="822"/>
      <c r="I122" s="1068" t="s">
        <v>268</v>
      </c>
      <c r="J122" s="24">
        <v>115</v>
      </c>
      <c r="K122" s="24" t="str">
        <f>IF(ID!$A$86=I122,J122,"")</f>
        <v/>
      </c>
      <c r="L122" s="24" t="str">
        <f>IFERROR(SMALL($K$8:$K$224,ROWS($K$8:K122)),"")</f>
        <v/>
      </c>
    </row>
    <row r="123" spans="2:12" x14ac:dyDescent="0.2">
      <c r="B123" s="547">
        <v>37</v>
      </c>
      <c r="C123" s="544">
        <v>-0.7</v>
      </c>
      <c r="D123" s="544">
        <v>0.5</v>
      </c>
      <c r="E123" s="547">
        <v>80</v>
      </c>
      <c r="F123" s="544">
        <v>1.1000000000000001</v>
      </c>
      <c r="G123" s="544">
        <v>2.7</v>
      </c>
      <c r="H123" s="822"/>
      <c r="I123" s="1068" t="s">
        <v>268</v>
      </c>
      <c r="J123" s="24">
        <v>116</v>
      </c>
      <c r="K123" s="24" t="str">
        <f>IF(ID!$A$86=I123,J123,"")</f>
        <v/>
      </c>
      <c r="L123" s="24" t="str">
        <f>IFERROR(SMALL($K$8:$K$224,ROWS($K$8:K123)),"")</f>
        <v/>
      </c>
    </row>
    <row r="124" spans="2:12" x14ac:dyDescent="0.2">
      <c r="B124" s="547">
        <v>40</v>
      </c>
      <c r="C124" s="545">
        <v>-0.8</v>
      </c>
      <c r="D124" s="544">
        <v>0.5</v>
      </c>
      <c r="E124" s="547">
        <v>90</v>
      </c>
      <c r="F124" s="545">
        <v>1.5</v>
      </c>
      <c r="G124" s="544">
        <v>2.7</v>
      </c>
      <c r="H124" s="822"/>
      <c r="I124" s="1068" t="s">
        <v>268</v>
      </c>
      <c r="J124" s="24">
        <v>117</v>
      </c>
      <c r="K124" s="24" t="str">
        <f>IF(ID!$A$86=I124,J124,"")</f>
        <v/>
      </c>
      <c r="L124" s="24" t="str">
        <f>IFERROR(SMALL($K$8:$K$224,ROWS($K$8:K124)),"")</f>
        <v/>
      </c>
    </row>
    <row r="125" spans="2:12" x14ac:dyDescent="0.2">
      <c r="B125" s="550"/>
      <c r="C125" s="550"/>
      <c r="D125" s="550"/>
      <c r="E125" s="550"/>
      <c r="F125" s="550"/>
      <c r="G125" s="550"/>
      <c r="H125" s="550"/>
      <c r="I125" s="551"/>
      <c r="J125" s="24">
        <v>118</v>
      </c>
      <c r="K125" s="24" t="str">
        <f>IF(ID!$A$86=I125,J125,"")</f>
        <v/>
      </c>
      <c r="L125" s="24" t="str">
        <f>IFERROR(SMALL($K$8:$K$224,ROWS($K$8:K125)),"")</f>
        <v/>
      </c>
    </row>
    <row r="126" spans="2:12" x14ac:dyDescent="0.2">
      <c r="B126" s="550"/>
      <c r="C126" s="550"/>
      <c r="D126" s="550"/>
      <c r="E126" s="550"/>
      <c r="F126" s="550"/>
      <c r="G126" s="550"/>
      <c r="H126" s="550"/>
      <c r="I126" s="551"/>
      <c r="J126" s="24">
        <v>119</v>
      </c>
      <c r="K126" s="24" t="str">
        <f>IF(ID!$A$86=I126,J126,"")</f>
        <v/>
      </c>
      <c r="L126" s="24" t="str">
        <f>IFERROR(SMALL($K$8:$K$224,ROWS($K$8:K126)),"")</f>
        <v/>
      </c>
    </row>
    <row r="127" spans="2:12" x14ac:dyDescent="0.2">
      <c r="B127" s="550"/>
      <c r="C127" s="550"/>
      <c r="D127" s="550"/>
      <c r="E127" s="550"/>
      <c r="F127" s="550"/>
      <c r="G127" s="550"/>
      <c r="H127" s="550"/>
      <c r="I127" s="551"/>
      <c r="J127" s="24">
        <v>120</v>
      </c>
      <c r="K127" s="24" t="str">
        <f>IF(ID!$A$86=I127,J127,"")</f>
        <v/>
      </c>
      <c r="L127" s="24" t="str">
        <f>IFERROR(SMALL($K$8:$K$224,ROWS($K$8:K127)),"")</f>
        <v/>
      </c>
    </row>
    <row r="128" spans="2:12" x14ac:dyDescent="0.2">
      <c r="B128" s="543">
        <v>15</v>
      </c>
      <c r="C128" s="544">
        <v>0.6</v>
      </c>
      <c r="D128" s="544">
        <v>0.5</v>
      </c>
      <c r="E128" s="543">
        <v>30</v>
      </c>
      <c r="F128" s="544">
        <v>-2</v>
      </c>
      <c r="G128" s="544">
        <v>2.6</v>
      </c>
      <c r="H128" s="822" t="s">
        <v>458</v>
      </c>
      <c r="I128" s="1068" t="s">
        <v>269</v>
      </c>
      <c r="J128" s="24">
        <v>121</v>
      </c>
      <c r="K128" s="24" t="str">
        <f>IF(ID!$A$86=I128,J128,"")</f>
        <v/>
      </c>
      <c r="L128" s="24" t="str">
        <f>IFERROR(SMALL($K$8:$K$224,ROWS($K$8:K128)),"")</f>
        <v/>
      </c>
    </row>
    <row r="129" spans="2:12" x14ac:dyDescent="0.2">
      <c r="B129" s="543">
        <v>20</v>
      </c>
      <c r="C129" s="544">
        <v>0.3</v>
      </c>
      <c r="D129" s="544">
        <v>0.5</v>
      </c>
      <c r="E129" s="543">
        <v>40</v>
      </c>
      <c r="F129" s="544">
        <v>-1.7</v>
      </c>
      <c r="G129" s="544">
        <v>2.6</v>
      </c>
      <c r="H129" s="822"/>
      <c r="I129" s="1068" t="s">
        <v>269</v>
      </c>
      <c r="J129" s="24">
        <v>122</v>
      </c>
      <c r="K129" s="24" t="str">
        <f>IF(ID!$A$86=I129,J129,"")</f>
        <v/>
      </c>
      <c r="L129" s="24" t="str">
        <f>IFERROR(SMALL($K$8:$K$224,ROWS($K$8:K129)),"")</f>
        <v/>
      </c>
    </row>
    <row r="130" spans="2:12" x14ac:dyDescent="0.2">
      <c r="B130" s="543">
        <v>25</v>
      </c>
      <c r="C130" s="544">
        <v>0.2</v>
      </c>
      <c r="D130" s="544">
        <v>0.5</v>
      </c>
      <c r="E130" s="543">
        <v>50</v>
      </c>
      <c r="F130" s="544">
        <v>-1.4</v>
      </c>
      <c r="G130" s="544">
        <v>2.6</v>
      </c>
      <c r="H130" s="822"/>
      <c r="I130" s="1068" t="s">
        <v>269</v>
      </c>
      <c r="J130" s="24">
        <v>123</v>
      </c>
      <c r="K130" s="24" t="str">
        <f>IF(ID!$A$86=I130,J130,"")</f>
        <v/>
      </c>
      <c r="L130" s="24" t="str">
        <f>IFERROR(SMALL($K$8:$K$224,ROWS($K$8:K130)),"")</f>
        <v/>
      </c>
    </row>
    <row r="131" spans="2:12" x14ac:dyDescent="0.2">
      <c r="B131" s="543">
        <v>30</v>
      </c>
      <c r="C131" s="544">
        <v>0.4</v>
      </c>
      <c r="D131" s="544">
        <v>0.5</v>
      </c>
      <c r="E131" s="543">
        <v>60</v>
      </c>
      <c r="F131" s="544">
        <v>-1.1000000000000001</v>
      </c>
      <c r="G131" s="544">
        <v>2.6</v>
      </c>
      <c r="H131" s="822"/>
      <c r="I131" s="1068" t="s">
        <v>269</v>
      </c>
      <c r="J131" s="24">
        <v>124</v>
      </c>
      <c r="K131" s="24" t="str">
        <f>IF(ID!$A$86=I131,J131,"")</f>
        <v/>
      </c>
      <c r="L131" s="24" t="str">
        <f>IFERROR(SMALL($K$8:$K$224,ROWS($K$8:K131)),"")</f>
        <v/>
      </c>
    </row>
    <row r="132" spans="2:12" x14ac:dyDescent="0.2">
      <c r="B132" s="543">
        <v>35</v>
      </c>
      <c r="C132" s="544">
        <v>0.8</v>
      </c>
      <c r="D132" s="544">
        <v>0.5</v>
      </c>
      <c r="E132" s="543">
        <v>70</v>
      </c>
      <c r="F132" s="544">
        <v>-0.7</v>
      </c>
      <c r="G132" s="544">
        <v>2.6</v>
      </c>
      <c r="H132" s="822"/>
      <c r="I132" s="1068" t="s">
        <v>269</v>
      </c>
      <c r="J132" s="24">
        <v>125</v>
      </c>
      <c r="K132" s="24" t="str">
        <f>IF(ID!$A$86=I132,J132,"")</f>
        <v/>
      </c>
      <c r="L132" s="24" t="str">
        <f>IFERROR(SMALL($K$8:$K$224,ROWS($K$8:K132)),"")</f>
        <v/>
      </c>
    </row>
    <row r="133" spans="2:12" x14ac:dyDescent="0.2">
      <c r="B133" s="547">
        <v>37</v>
      </c>
      <c r="C133" s="544">
        <v>1</v>
      </c>
      <c r="D133" s="544">
        <v>0.5</v>
      </c>
      <c r="E133" s="547">
        <v>80</v>
      </c>
      <c r="F133" s="544">
        <v>-0.4</v>
      </c>
      <c r="G133" s="544">
        <v>2.6</v>
      </c>
      <c r="H133" s="822"/>
      <c r="I133" s="1068" t="s">
        <v>269</v>
      </c>
      <c r="J133" s="24">
        <v>126</v>
      </c>
      <c r="K133" s="24" t="str">
        <f>IF(ID!$A$86=I133,J133,"")</f>
        <v/>
      </c>
      <c r="L133" s="24" t="str">
        <f>IFERROR(SMALL($K$8:$K$224,ROWS($K$8:K133)),"")</f>
        <v/>
      </c>
    </row>
    <row r="134" spans="2:12" x14ac:dyDescent="0.2">
      <c r="B134" s="547">
        <v>40</v>
      </c>
      <c r="C134" s="554">
        <v>1.4</v>
      </c>
      <c r="D134" s="544">
        <v>0.5</v>
      </c>
      <c r="E134" s="547">
        <v>90</v>
      </c>
      <c r="F134" s="545">
        <v>-0.1</v>
      </c>
      <c r="G134" s="544">
        <v>2.6</v>
      </c>
      <c r="H134" s="822"/>
      <c r="I134" s="1068" t="s">
        <v>269</v>
      </c>
      <c r="J134" s="24">
        <v>127</v>
      </c>
      <c r="K134" s="24" t="str">
        <f>IF(ID!$A$86=I134,J134,"")</f>
        <v/>
      </c>
      <c r="L134" s="24" t="str">
        <f>IFERROR(SMALL($K$8:$K$224,ROWS($K$8:K134)),"")</f>
        <v/>
      </c>
    </row>
    <row r="135" spans="2:12" x14ac:dyDescent="0.2">
      <c r="B135" s="550"/>
      <c r="C135" s="550"/>
      <c r="D135" s="550"/>
      <c r="E135" s="550"/>
      <c r="F135" s="550"/>
      <c r="G135" s="550"/>
      <c r="H135" s="550"/>
      <c r="I135" s="551"/>
      <c r="J135" s="24">
        <v>128</v>
      </c>
      <c r="K135" s="24" t="str">
        <f>IF(ID!$A$86=I135,J135,"")</f>
        <v/>
      </c>
      <c r="L135" s="24" t="str">
        <f>IFERROR(SMALL($K$8:$K$224,ROWS($K$8:K135)),"")</f>
        <v/>
      </c>
    </row>
    <row r="136" spans="2:12" x14ac:dyDescent="0.2">
      <c r="B136" s="550"/>
      <c r="C136" s="550"/>
      <c r="D136" s="550"/>
      <c r="E136" s="550"/>
      <c r="F136" s="550"/>
      <c r="G136" s="550"/>
      <c r="H136" s="550"/>
      <c r="I136" s="551"/>
      <c r="J136" s="24">
        <v>129</v>
      </c>
      <c r="K136" s="24" t="str">
        <f>IF(ID!$A$86=I136,J136,"")</f>
        <v/>
      </c>
      <c r="L136" s="24" t="str">
        <f>IFERROR(SMALL($K$8:$K$224,ROWS($K$8:K136)),"")</f>
        <v/>
      </c>
    </row>
    <row r="137" spans="2:12" x14ac:dyDescent="0.2">
      <c r="B137" s="550"/>
      <c r="C137" s="550"/>
      <c r="D137" s="550"/>
      <c r="E137" s="550"/>
      <c r="F137" s="550"/>
      <c r="G137" s="550"/>
      <c r="H137" s="550"/>
      <c r="I137" s="551"/>
      <c r="J137" s="24">
        <v>130</v>
      </c>
      <c r="K137" s="24" t="str">
        <f>IF(ID!$A$86=I137,J137,"")</f>
        <v/>
      </c>
      <c r="L137" s="24" t="str">
        <f>IFERROR(SMALL($K$8:$K$224,ROWS($K$8:K137)),"")</f>
        <v/>
      </c>
    </row>
    <row r="138" spans="2:12" x14ac:dyDescent="0.2">
      <c r="B138" s="543">
        <v>15</v>
      </c>
      <c r="C138" s="544">
        <v>0.5</v>
      </c>
      <c r="D138" s="544">
        <v>0.5</v>
      </c>
      <c r="E138" s="543">
        <v>30</v>
      </c>
      <c r="F138" s="544">
        <v>-2.2000000000000002</v>
      </c>
      <c r="G138" s="544">
        <v>2.2999999999999998</v>
      </c>
      <c r="H138" s="822" t="s">
        <v>450</v>
      </c>
      <c r="I138" s="1068" t="s">
        <v>270</v>
      </c>
      <c r="J138" s="24">
        <v>131</v>
      </c>
      <c r="K138" s="24" t="str">
        <f>IF(ID!$A$86=I138,J138,"")</f>
        <v/>
      </c>
      <c r="L138" s="24" t="str">
        <f>IFERROR(SMALL($K$8:$K$224,ROWS($K$8:K138)),"")</f>
        <v/>
      </c>
    </row>
    <row r="139" spans="2:12" x14ac:dyDescent="0.2">
      <c r="B139" s="543">
        <v>20</v>
      </c>
      <c r="C139" s="544">
        <v>0.2</v>
      </c>
      <c r="D139" s="544">
        <v>0.5</v>
      </c>
      <c r="E139" s="543">
        <v>40</v>
      </c>
      <c r="F139" s="544">
        <v>-2</v>
      </c>
      <c r="G139" s="544">
        <v>2.2999999999999998</v>
      </c>
      <c r="H139" s="822"/>
      <c r="I139" s="1068" t="s">
        <v>270</v>
      </c>
      <c r="J139" s="24">
        <v>132</v>
      </c>
      <c r="K139" s="24" t="str">
        <f>IF(ID!$A$86=I139,J139,"")</f>
        <v/>
      </c>
      <c r="L139" s="24" t="str">
        <f>IFERROR(SMALL($K$8:$K$224,ROWS($K$8:K139)),"")</f>
        <v/>
      </c>
    </row>
    <row r="140" spans="2:12" x14ac:dyDescent="0.2">
      <c r="B140" s="543">
        <v>25</v>
      </c>
      <c r="C140" s="544">
        <v>0.1</v>
      </c>
      <c r="D140" s="544">
        <v>0.5</v>
      </c>
      <c r="E140" s="543">
        <v>50</v>
      </c>
      <c r="F140" s="544">
        <v>-1.8</v>
      </c>
      <c r="G140" s="544">
        <v>2.2999999999999998</v>
      </c>
      <c r="H140" s="822"/>
      <c r="I140" s="1068" t="s">
        <v>270</v>
      </c>
      <c r="J140" s="24">
        <v>133</v>
      </c>
      <c r="K140" s="24" t="str">
        <f>IF(ID!$A$86=I140,J140,"")</f>
        <v/>
      </c>
      <c r="L140" s="24" t="str">
        <f>IFERROR(SMALL($K$8:$K$224,ROWS($K$8:K140)),"")</f>
        <v/>
      </c>
    </row>
    <row r="141" spans="2:12" x14ac:dyDescent="0.2">
      <c r="B141" s="543">
        <v>30</v>
      </c>
      <c r="C141" s="544">
        <v>-0.1</v>
      </c>
      <c r="D141" s="544">
        <v>0.5</v>
      </c>
      <c r="E141" s="543">
        <v>60</v>
      </c>
      <c r="F141" s="544">
        <v>-1.6</v>
      </c>
      <c r="G141" s="544">
        <v>2.2999999999999998</v>
      </c>
      <c r="H141" s="822"/>
      <c r="I141" s="1068" t="s">
        <v>270</v>
      </c>
      <c r="J141" s="24">
        <v>134</v>
      </c>
      <c r="K141" s="24" t="str">
        <f>IF(ID!$A$86=I141,J141,"")</f>
        <v/>
      </c>
      <c r="L141" s="24" t="str">
        <f>IFERROR(SMALL($K$8:$K$224,ROWS($K$8:K141)),"")</f>
        <v/>
      </c>
    </row>
    <row r="142" spans="2:12" x14ac:dyDescent="0.2">
      <c r="B142" s="543">
        <v>35</v>
      </c>
      <c r="C142" s="544">
        <v>-0.2</v>
      </c>
      <c r="D142" s="544">
        <v>0.5</v>
      </c>
      <c r="E142" s="543">
        <v>70</v>
      </c>
      <c r="F142" s="544">
        <v>-1.4</v>
      </c>
      <c r="G142" s="544">
        <v>2.2999999999999998</v>
      </c>
      <c r="H142" s="822"/>
      <c r="I142" s="1068" t="s">
        <v>270</v>
      </c>
      <c r="J142" s="24">
        <v>135</v>
      </c>
      <c r="K142" s="24" t="str">
        <f>IF(ID!$A$86=I142,J142,"")</f>
        <v/>
      </c>
      <c r="L142" s="24" t="str">
        <f>IFERROR(SMALL($K$8:$K$224,ROWS($K$8:K142)),"")</f>
        <v/>
      </c>
    </row>
    <row r="143" spans="2:12" x14ac:dyDescent="0.2">
      <c r="B143" s="547">
        <v>37</v>
      </c>
      <c r="C143" s="544">
        <v>-0.2</v>
      </c>
      <c r="D143" s="544">
        <v>0.5</v>
      </c>
      <c r="E143" s="547">
        <v>80</v>
      </c>
      <c r="F143" s="544">
        <v>-1.2</v>
      </c>
      <c r="G143" s="544">
        <v>2.2999999999999998</v>
      </c>
      <c r="H143" s="822"/>
      <c r="I143" s="1068" t="s">
        <v>270</v>
      </c>
      <c r="J143" s="24">
        <v>136</v>
      </c>
      <c r="K143" s="24" t="str">
        <f>IF(ID!$A$86=I143,J143,"")</f>
        <v/>
      </c>
      <c r="L143" s="24" t="str">
        <f>IFERROR(SMALL($K$8:$K$224,ROWS($K$8:K143)),"")</f>
        <v/>
      </c>
    </row>
    <row r="144" spans="2:12" x14ac:dyDescent="0.2">
      <c r="B144" s="547">
        <v>40</v>
      </c>
      <c r="C144" s="554">
        <v>-0.2</v>
      </c>
      <c r="D144" s="544">
        <v>0.5</v>
      </c>
      <c r="E144" s="547">
        <v>90</v>
      </c>
      <c r="F144" s="554">
        <v>-1</v>
      </c>
      <c r="G144" s="544">
        <v>2.2999999999999998</v>
      </c>
      <c r="H144" s="822"/>
      <c r="I144" s="1068" t="s">
        <v>270</v>
      </c>
      <c r="J144" s="24">
        <v>137</v>
      </c>
      <c r="K144" s="24" t="str">
        <f>IF(ID!$A$86=I144,J144,"")</f>
        <v/>
      </c>
      <c r="L144" s="24" t="str">
        <f>IFERROR(SMALL($K$8:$K$224,ROWS($K$8:K144)),"")</f>
        <v/>
      </c>
    </row>
    <row r="145" spans="2:12" x14ac:dyDescent="0.2">
      <c r="B145" s="550"/>
      <c r="C145" s="550"/>
      <c r="D145" s="550"/>
      <c r="E145" s="550"/>
      <c r="F145" s="550"/>
      <c r="G145" s="550"/>
      <c r="H145" s="550"/>
      <c r="I145" s="551"/>
      <c r="J145" s="24">
        <v>138</v>
      </c>
      <c r="K145" s="24" t="str">
        <f>IF(ID!$A$86=I145,J145,"")</f>
        <v/>
      </c>
      <c r="L145" s="24" t="str">
        <f>IFERROR(SMALL($K$8:$K$224,ROWS($K$8:K145)),"")</f>
        <v/>
      </c>
    </row>
    <row r="146" spans="2:12" x14ac:dyDescent="0.2">
      <c r="B146" s="550"/>
      <c r="C146" s="550"/>
      <c r="D146" s="550"/>
      <c r="E146" s="550"/>
      <c r="F146" s="550"/>
      <c r="G146" s="550"/>
      <c r="H146" s="550"/>
      <c r="I146" s="551"/>
      <c r="J146" s="24">
        <v>139</v>
      </c>
      <c r="K146" s="24" t="str">
        <f>IF(ID!$A$86=I146,J146,"")</f>
        <v/>
      </c>
      <c r="L146" s="24" t="str">
        <f>IFERROR(SMALL($K$8:$K$224,ROWS($K$8:K146)),"")</f>
        <v/>
      </c>
    </row>
    <row r="147" spans="2:12" x14ac:dyDescent="0.2">
      <c r="B147" s="550"/>
      <c r="C147" s="550"/>
      <c r="D147" s="550"/>
      <c r="E147" s="550"/>
      <c r="F147" s="550"/>
      <c r="G147" s="550"/>
      <c r="H147" s="550"/>
      <c r="I147" s="551"/>
      <c r="J147" s="24">
        <v>140</v>
      </c>
      <c r="K147" s="24" t="str">
        <f>IF(ID!$A$86=I147,J147,"")</f>
        <v/>
      </c>
      <c r="L147" s="24" t="str">
        <f>IFERROR(SMALL($K$8:$K$224,ROWS($K$8:K147)),"")</f>
        <v/>
      </c>
    </row>
    <row r="148" spans="2:12" x14ac:dyDescent="0.2">
      <c r="B148" s="543">
        <v>15</v>
      </c>
      <c r="C148" s="544">
        <v>0.4</v>
      </c>
      <c r="D148" s="544">
        <v>0.5</v>
      </c>
      <c r="E148" s="543">
        <v>30</v>
      </c>
      <c r="F148" s="544">
        <v>-6.6</v>
      </c>
      <c r="G148" s="544">
        <v>2.9</v>
      </c>
      <c r="H148" s="822" t="s">
        <v>271</v>
      </c>
      <c r="I148" s="1068" t="s">
        <v>602</v>
      </c>
      <c r="J148" s="24">
        <v>141</v>
      </c>
      <c r="K148" s="24" t="str">
        <f>IF(ID!$A$86=I148,J148,"")</f>
        <v/>
      </c>
      <c r="L148" s="24" t="str">
        <f>IFERROR(SMALL($K$8:$K$224,ROWS($K$8:K148)),"")</f>
        <v/>
      </c>
    </row>
    <row r="149" spans="2:12" x14ac:dyDescent="0.2">
      <c r="B149" s="543">
        <v>20</v>
      </c>
      <c r="C149" s="544">
        <v>0.4</v>
      </c>
      <c r="D149" s="544">
        <v>0.5</v>
      </c>
      <c r="E149" s="543">
        <v>40</v>
      </c>
      <c r="F149" s="544">
        <v>-5.8</v>
      </c>
      <c r="G149" s="544">
        <v>2.9</v>
      </c>
      <c r="H149" s="822"/>
      <c r="I149" s="1068" t="s">
        <v>602</v>
      </c>
      <c r="J149" s="24">
        <v>142</v>
      </c>
      <c r="K149" s="24" t="str">
        <f>IF(ID!$A$86=I149,J149,"")</f>
        <v/>
      </c>
      <c r="L149" s="24" t="str">
        <f>IFERROR(SMALL($K$8:$K$224,ROWS($K$8:K149)),"")</f>
        <v/>
      </c>
    </row>
    <row r="150" spans="2:12" x14ac:dyDescent="0.2">
      <c r="B150" s="543">
        <v>25</v>
      </c>
      <c r="C150" s="544">
        <v>0.4</v>
      </c>
      <c r="D150" s="544">
        <v>0.5</v>
      </c>
      <c r="E150" s="543">
        <v>50</v>
      </c>
      <c r="F150" s="544">
        <v>-5.0999999999999996</v>
      </c>
      <c r="G150" s="544">
        <v>2.9</v>
      </c>
      <c r="H150" s="822"/>
      <c r="I150" s="1068" t="s">
        <v>602</v>
      </c>
      <c r="J150" s="24">
        <v>143</v>
      </c>
      <c r="K150" s="24" t="str">
        <f>IF(ID!$A$86=I150,J150,"")</f>
        <v/>
      </c>
      <c r="L150" s="24" t="str">
        <f>IFERROR(SMALL($K$8:$K$224,ROWS($K$8:K150)),"")</f>
        <v/>
      </c>
    </row>
    <row r="151" spans="2:12" x14ac:dyDescent="0.2">
      <c r="B151" s="543">
        <v>30</v>
      </c>
      <c r="C151" s="544">
        <v>0.3</v>
      </c>
      <c r="D151" s="544">
        <v>0.5</v>
      </c>
      <c r="E151" s="543">
        <v>60</v>
      </c>
      <c r="F151" s="544">
        <v>-4.4000000000000004</v>
      </c>
      <c r="G151" s="544">
        <v>2.9</v>
      </c>
      <c r="H151" s="822"/>
      <c r="I151" s="1068" t="s">
        <v>602</v>
      </c>
      <c r="J151" s="24">
        <v>144</v>
      </c>
      <c r="K151" s="24" t="str">
        <f>IF(ID!$A$86=I151,J151,"")</f>
        <v/>
      </c>
      <c r="L151" s="24" t="str">
        <f>IFERROR(SMALL($K$8:$K$224,ROWS($K$8:K151)),"")</f>
        <v/>
      </c>
    </row>
    <row r="152" spans="2:12" x14ac:dyDescent="0.2">
      <c r="B152" s="543">
        <v>35</v>
      </c>
      <c r="C152" s="544">
        <v>0.2</v>
      </c>
      <c r="D152" s="544">
        <v>0.5</v>
      </c>
      <c r="E152" s="543">
        <v>70</v>
      </c>
      <c r="F152" s="544">
        <v>-3.6</v>
      </c>
      <c r="G152" s="544">
        <v>2.9</v>
      </c>
      <c r="H152" s="822"/>
      <c r="I152" s="1068" t="s">
        <v>602</v>
      </c>
      <c r="J152" s="24">
        <v>145</v>
      </c>
      <c r="K152" s="24" t="str">
        <f>IF(ID!$A$86=I152,J152,"")</f>
        <v/>
      </c>
      <c r="L152" s="24" t="str">
        <f>IFERROR(SMALL($K$8:$K$224,ROWS($K$8:K152)),"")</f>
        <v/>
      </c>
    </row>
    <row r="153" spans="2:12" x14ac:dyDescent="0.2">
      <c r="B153" s="547">
        <v>37</v>
      </c>
      <c r="C153" s="544">
        <v>0.2</v>
      </c>
      <c r="D153" s="544">
        <v>0.5</v>
      </c>
      <c r="E153" s="547">
        <v>80</v>
      </c>
      <c r="F153" s="544">
        <v>-2.9</v>
      </c>
      <c r="G153" s="544">
        <v>2.9</v>
      </c>
      <c r="H153" s="822"/>
      <c r="I153" s="1068" t="s">
        <v>602</v>
      </c>
      <c r="J153" s="24">
        <v>146</v>
      </c>
      <c r="K153" s="24" t="str">
        <f>IF(ID!$A$86=I153,J153,"")</f>
        <v/>
      </c>
      <c r="L153" s="24" t="str">
        <f>IFERROR(SMALL($K$8:$K$224,ROWS($K$8:K153)),"")</f>
        <v/>
      </c>
    </row>
    <row r="154" spans="2:12" x14ac:dyDescent="0.2">
      <c r="B154" s="547">
        <v>40</v>
      </c>
      <c r="C154" s="554">
        <v>0.1</v>
      </c>
      <c r="D154" s="544">
        <v>0.5</v>
      </c>
      <c r="E154" s="547">
        <v>90</v>
      </c>
      <c r="F154" s="545">
        <v>-2.2999999999999998</v>
      </c>
      <c r="G154" s="544">
        <v>2.9</v>
      </c>
      <c r="H154" s="823"/>
      <c r="I154" s="1068" t="s">
        <v>602</v>
      </c>
      <c r="J154" s="24">
        <v>147</v>
      </c>
      <c r="K154" s="24" t="str">
        <f>IF(ID!$A$86=I154,J154,"")</f>
        <v/>
      </c>
      <c r="L154" s="24" t="str">
        <f>IFERROR(SMALL($K$8:$K$224,ROWS($K$8:K154)),"")</f>
        <v/>
      </c>
    </row>
    <row r="155" spans="2:12" x14ac:dyDescent="0.2">
      <c r="B155" s="550"/>
      <c r="C155" s="550"/>
      <c r="D155" s="550"/>
      <c r="E155" s="550"/>
      <c r="F155" s="550"/>
      <c r="G155" s="550"/>
      <c r="H155" s="550"/>
      <c r="I155" s="551"/>
      <c r="J155" s="24">
        <v>148</v>
      </c>
      <c r="K155" s="24" t="str">
        <f>IF(ID!$A$86=I155,J155,"")</f>
        <v/>
      </c>
      <c r="L155" s="24" t="str">
        <f>IFERROR(SMALL($K$8:$K$224,ROWS($K$8:K155)),"")</f>
        <v/>
      </c>
    </row>
    <row r="156" spans="2:12" x14ac:dyDescent="0.2">
      <c r="B156" s="550"/>
      <c r="C156" s="550"/>
      <c r="D156" s="550"/>
      <c r="E156" s="550"/>
      <c r="F156" s="550"/>
      <c r="G156" s="550"/>
      <c r="H156" s="550"/>
      <c r="I156" s="551"/>
      <c r="J156" s="24">
        <v>149</v>
      </c>
      <c r="K156" s="24" t="str">
        <f>IF(ID!$A$86=I156,J156,"")</f>
        <v/>
      </c>
      <c r="L156" s="24" t="str">
        <f>IFERROR(SMALL($K$8:$K$224,ROWS($K$8:K156)),"")</f>
        <v/>
      </c>
    </row>
    <row r="157" spans="2:12" x14ac:dyDescent="0.2">
      <c r="B157" s="550"/>
      <c r="C157" s="550"/>
      <c r="D157" s="550"/>
      <c r="E157" s="550"/>
      <c r="F157" s="550"/>
      <c r="G157" s="550"/>
      <c r="H157" s="550"/>
      <c r="I157" s="551"/>
      <c r="J157" s="24">
        <v>150</v>
      </c>
      <c r="K157" s="24" t="str">
        <f>IF(ID!$A$86=I157,J157,"")</f>
        <v/>
      </c>
      <c r="L157" s="24" t="str">
        <f>IFERROR(SMALL($K$8:$K$224,ROWS($K$8:K157)),"")</f>
        <v/>
      </c>
    </row>
    <row r="158" spans="2:12" x14ac:dyDescent="0.2">
      <c r="B158" s="543">
        <v>15</v>
      </c>
      <c r="C158" s="544">
        <v>0.2</v>
      </c>
      <c r="D158" s="544">
        <v>0.7</v>
      </c>
      <c r="E158" s="543">
        <v>30</v>
      </c>
      <c r="F158" s="544">
        <v>-6.2</v>
      </c>
      <c r="G158" s="544">
        <v>2.7</v>
      </c>
      <c r="H158" s="822" t="s">
        <v>271</v>
      </c>
      <c r="I158" s="1068" t="s">
        <v>272</v>
      </c>
      <c r="J158" s="24">
        <v>151</v>
      </c>
      <c r="K158" s="24" t="str">
        <f>IF(ID!$A$86=I158,J158,"")</f>
        <v/>
      </c>
      <c r="L158" s="24" t="str">
        <f>IFERROR(SMALL($K$8:$K$224,ROWS($K$8:K158)),"")</f>
        <v/>
      </c>
    </row>
    <row r="159" spans="2:12" x14ac:dyDescent="0.2">
      <c r="B159" s="543">
        <v>20</v>
      </c>
      <c r="C159" s="544">
        <v>0.2</v>
      </c>
      <c r="D159" s="544">
        <v>0.7</v>
      </c>
      <c r="E159" s="543">
        <v>40</v>
      </c>
      <c r="F159" s="544">
        <v>-5.7</v>
      </c>
      <c r="G159" s="544">
        <v>2.7</v>
      </c>
      <c r="H159" s="822"/>
      <c r="I159" s="1068" t="s">
        <v>272</v>
      </c>
      <c r="J159" s="24">
        <v>152</v>
      </c>
      <c r="K159" s="24" t="str">
        <f>IF(ID!$A$86=I159,J159,"")</f>
        <v/>
      </c>
      <c r="L159" s="24" t="str">
        <f>IFERROR(SMALL($K$8:$K$224,ROWS($K$8:K159)),"")</f>
        <v/>
      </c>
    </row>
    <row r="160" spans="2:12" x14ac:dyDescent="0.2">
      <c r="B160" s="543">
        <v>25</v>
      </c>
      <c r="C160" s="544">
        <v>0.1</v>
      </c>
      <c r="D160" s="544">
        <v>0.7</v>
      </c>
      <c r="E160" s="543">
        <v>50</v>
      </c>
      <c r="F160" s="544">
        <v>-5.2</v>
      </c>
      <c r="G160" s="544">
        <v>2.7</v>
      </c>
      <c r="H160" s="822"/>
      <c r="I160" s="1068" t="s">
        <v>272</v>
      </c>
      <c r="J160" s="24">
        <v>153</v>
      </c>
      <c r="K160" s="24" t="str">
        <f>IF(ID!$A$86=I160,J160,"")</f>
        <v/>
      </c>
      <c r="L160" s="24" t="str">
        <f>IFERROR(SMALL($K$8:$K$224,ROWS($K$8:K160)),"")</f>
        <v/>
      </c>
    </row>
    <row r="161" spans="2:12" x14ac:dyDescent="0.2">
      <c r="B161" s="543">
        <v>30</v>
      </c>
      <c r="C161" s="544">
        <v>0.2</v>
      </c>
      <c r="D161" s="544">
        <v>0.7</v>
      </c>
      <c r="E161" s="543">
        <v>60</v>
      </c>
      <c r="F161" s="544">
        <v>-4.5999999999999996</v>
      </c>
      <c r="G161" s="544">
        <v>2.7</v>
      </c>
      <c r="H161" s="822"/>
      <c r="I161" s="1068" t="s">
        <v>272</v>
      </c>
      <c r="J161" s="24">
        <v>154</v>
      </c>
      <c r="K161" s="24" t="str">
        <f>IF(ID!$A$86=I161,J161,"")</f>
        <v/>
      </c>
      <c r="L161" s="24" t="str">
        <f>IFERROR(SMALL($K$8:$K$224,ROWS($K$8:K161)),"")</f>
        <v/>
      </c>
    </row>
    <row r="162" spans="2:12" x14ac:dyDescent="0.2">
      <c r="B162" s="543">
        <v>35</v>
      </c>
      <c r="C162" s="544">
        <v>0.3</v>
      </c>
      <c r="D162" s="544">
        <v>0.7</v>
      </c>
      <c r="E162" s="543">
        <v>70</v>
      </c>
      <c r="F162" s="544">
        <v>-3.9</v>
      </c>
      <c r="G162" s="544">
        <v>2.7</v>
      </c>
      <c r="H162" s="822"/>
      <c r="I162" s="1068" t="s">
        <v>272</v>
      </c>
      <c r="J162" s="24">
        <v>155</v>
      </c>
      <c r="K162" s="24" t="str">
        <f>IF(ID!$A$86=I162,J162,"")</f>
        <v/>
      </c>
      <c r="L162" s="24" t="str">
        <f>IFERROR(SMALL($K$8:$K$224,ROWS($K$8:K162)),"")</f>
        <v/>
      </c>
    </row>
    <row r="163" spans="2:12" x14ac:dyDescent="0.2">
      <c r="B163" s="547">
        <v>37</v>
      </c>
      <c r="C163" s="544">
        <v>0.4</v>
      </c>
      <c r="D163" s="544">
        <v>0.7</v>
      </c>
      <c r="E163" s="547">
        <v>80</v>
      </c>
      <c r="F163" s="544">
        <v>-3.2</v>
      </c>
      <c r="G163" s="544">
        <v>2.7</v>
      </c>
      <c r="H163" s="822"/>
      <c r="I163" s="1068" t="s">
        <v>272</v>
      </c>
      <c r="J163" s="24">
        <v>156</v>
      </c>
      <c r="K163" s="24" t="str">
        <f>IF(ID!$A$86=I163,J163,"")</f>
        <v/>
      </c>
      <c r="L163" s="24" t="str">
        <f>IFERROR(SMALL($K$8:$K$224,ROWS($K$8:K163)),"")</f>
        <v/>
      </c>
    </row>
    <row r="164" spans="2:12" x14ac:dyDescent="0.2">
      <c r="B164" s="547">
        <v>40</v>
      </c>
      <c r="C164" s="545">
        <v>0.5</v>
      </c>
      <c r="D164" s="544">
        <v>0.7</v>
      </c>
      <c r="E164" s="547">
        <v>90</v>
      </c>
      <c r="F164" s="545">
        <v>-2.4</v>
      </c>
      <c r="G164" s="544">
        <v>2.7</v>
      </c>
      <c r="H164" s="822"/>
      <c r="I164" s="1068" t="s">
        <v>272</v>
      </c>
      <c r="J164" s="24">
        <v>157</v>
      </c>
      <c r="K164" s="24" t="str">
        <f>IF(ID!$A$86=I164,J164,"")</f>
        <v/>
      </c>
      <c r="L164" s="24" t="str">
        <f>IFERROR(SMALL($K$8:$K$224,ROWS($K$8:K164)),"")</f>
        <v/>
      </c>
    </row>
    <row r="165" spans="2:12" x14ac:dyDescent="0.2">
      <c r="B165" s="550"/>
      <c r="C165" s="550"/>
      <c r="D165" s="550"/>
      <c r="E165" s="550"/>
      <c r="F165" s="550"/>
      <c r="G165" s="550"/>
      <c r="H165" s="550"/>
      <c r="I165" s="551"/>
      <c r="J165" s="24">
        <v>158</v>
      </c>
      <c r="K165" s="24" t="str">
        <f>IF(ID!$A$86=I165,J165,"")</f>
        <v/>
      </c>
      <c r="L165" s="24" t="str">
        <f>IFERROR(SMALL($K$8:$K$224,ROWS($K$8:K165)),"")</f>
        <v/>
      </c>
    </row>
    <row r="166" spans="2:12" x14ac:dyDescent="0.2">
      <c r="B166" s="550"/>
      <c r="C166" s="550"/>
      <c r="D166" s="550"/>
      <c r="E166" s="550"/>
      <c r="F166" s="550"/>
      <c r="G166" s="550"/>
      <c r="H166" s="550"/>
      <c r="I166" s="551"/>
      <c r="J166" s="24">
        <v>159</v>
      </c>
      <c r="K166" s="24" t="str">
        <f>IF(ID!$A$86=I166,J166,"")</f>
        <v/>
      </c>
      <c r="L166" s="24" t="str">
        <f>IFERROR(SMALL($K$8:$K$224,ROWS($K$8:K166)),"")</f>
        <v/>
      </c>
    </row>
    <row r="167" spans="2:12" x14ac:dyDescent="0.2">
      <c r="B167" s="550"/>
      <c r="C167" s="550"/>
      <c r="D167" s="550"/>
      <c r="E167" s="550"/>
      <c r="F167" s="550"/>
      <c r="G167" s="550"/>
      <c r="H167" s="550"/>
      <c r="I167" s="551"/>
      <c r="J167" s="24">
        <v>160</v>
      </c>
      <c r="K167" s="24" t="str">
        <f>IF(ID!$A$86=I167,J167,"")</f>
        <v/>
      </c>
      <c r="L167" s="24" t="str">
        <f>IFERROR(SMALL($K$8:$K$224,ROWS($K$8:K167)),"")</f>
        <v/>
      </c>
    </row>
    <row r="168" spans="2:12" x14ac:dyDescent="0.2">
      <c r="B168" s="543">
        <v>15</v>
      </c>
      <c r="C168" s="544">
        <v>0.2</v>
      </c>
      <c r="D168" s="544">
        <v>0.5</v>
      </c>
      <c r="E168" s="543">
        <v>30</v>
      </c>
      <c r="F168" s="544">
        <v>-3.8</v>
      </c>
      <c r="G168" s="544">
        <v>2.2000000000000002</v>
      </c>
      <c r="H168" s="822" t="s">
        <v>271</v>
      </c>
      <c r="I168" s="1068" t="s">
        <v>273</v>
      </c>
      <c r="J168" s="24">
        <v>161</v>
      </c>
      <c r="K168" s="24" t="str">
        <f>IF(ID!$A$86=I168,J168,"")</f>
        <v/>
      </c>
      <c r="L168" s="24" t="str">
        <f>IFERROR(SMALL($K$8:$K$224,ROWS($K$8:K168)),"")</f>
        <v/>
      </c>
    </row>
    <row r="169" spans="2:12" x14ac:dyDescent="0.2">
      <c r="B169" s="543">
        <v>20</v>
      </c>
      <c r="C169" s="544">
        <v>0.2</v>
      </c>
      <c r="D169" s="544">
        <v>0.5</v>
      </c>
      <c r="E169" s="543">
        <v>40</v>
      </c>
      <c r="F169" s="544">
        <v>-4</v>
      </c>
      <c r="G169" s="544">
        <v>2.2000000000000002</v>
      </c>
      <c r="H169" s="822"/>
      <c r="I169" s="1068" t="s">
        <v>273</v>
      </c>
      <c r="J169" s="24">
        <v>162</v>
      </c>
      <c r="K169" s="24" t="str">
        <f>IF(ID!$A$86=I169,J169,"")</f>
        <v/>
      </c>
      <c r="L169" s="24" t="str">
        <f>IFERROR(SMALL($K$8:$K$224,ROWS($K$8:K169)),"")</f>
        <v/>
      </c>
    </row>
    <row r="170" spans="2:12" x14ac:dyDescent="0.2">
      <c r="B170" s="543">
        <v>25</v>
      </c>
      <c r="C170" s="544">
        <v>0.1</v>
      </c>
      <c r="D170" s="544">
        <v>0.5</v>
      </c>
      <c r="E170" s="543">
        <v>50</v>
      </c>
      <c r="F170" s="544">
        <v>-4.0999999999999996</v>
      </c>
      <c r="G170" s="544">
        <v>2.2000000000000002</v>
      </c>
      <c r="H170" s="822"/>
      <c r="I170" s="1068" t="s">
        <v>273</v>
      </c>
      <c r="J170" s="24">
        <v>163</v>
      </c>
      <c r="K170" s="24" t="str">
        <f>IF(ID!$A$86=I170,J170,"")</f>
        <v/>
      </c>
      <c r="L170" s="24" t="str">
        <f>IFERROR(SMALL($K$8:$K$224,ROWS($K$8:K170)),"")</f>
        <v/>
      </c>
    </row>
    <row r="171" spans="2:12" x14ac:dyDescent="0.2">
      <c r="B171" s="543">
        <v>30</v>
      </c>
      <c r="C171" s="544">
        <v>-0.1</v>
      </c>
      <c r="D171" s="544">
        <v>0.5</v>
      </c>
      <c r="E171" s="543">
        <v>60</v>
      </c>
      <c r="F171" s="544">
        <v>-4.0999999999999996</v>
      </c>
      <c r="G171" s="544">
        <v>2.2000000000000002</v>
      </c>
      <c r="H171" s="822"/>
      <c r="I171" s="1068" t="s">
        <v>273</v>
      </c>
      <c r="J171" s="24">
        <v>164</v>
      </c>
      <c r="K171" s="24" t="str">
        <f>IF(ID!$A$86=I171,J171,"")</f>
        <v/>
      </c>
      <c r="L171" s="24" t="str">
        <f>IFERROR(SMALL($K$8:$K$224,ROWS($K$8:K171)),"")</f>
        <v/>
      </c>
    </row>
    <row r="172" spans="2:12" x14ac:dyDescent="0.2">
      <c r="B172" s="543">
        <v>35</v>
      </c>
      <c r="C172" s="544">
        <v>-0.3</v>
      </c>
      <c r="D172" s="544">
        <v>0.5</v>
      </c>
      <c r="E172" s="543">
        <v>70</v>
      </c>
      <c r="F172" s="544">
        <v>-4</v>
      </c>
      <c r="G172" s="544">
        <v>2.2000000000000002</v>
      </c>
      <c r="H172" s="822"/>
      <c r="I172" s="1068" t="s">
        <v>273</v>
      </c>
      <c r="J172" s="24">
        <v>165</v>
      </c>
      <c r="K172" s="24" t="str">
        <f>IF(ID!$A$86=I172,J172,"")</f>
        <v/>
      </c>
      <c r="L172" s="24" t="str">
        <f>IFERROR(SMALL($K$8:$K$224,ROWS($K$8:K172)),"")</f>
        <v/>
      </c>
    </row>
    <row r="173" spans="2:12" x14ac:dyDescent="0.2">
      <c r="B173" s="547">
        <v>37</v>
      </c>
      <c r="C173" s="544">
        <v>-0.4</v>
      </c>
      <c r="D173" s="544">
        <v>0.5</v>
      </c>
      <c r="E173" s="547">
        <v>80</v>
      </c>
      <c r="F173" s="544">
        <v>-3.9</v>
      </c>
      <c r="G173" s="544">
        <v>2.2000000000000002</v>
      </c>
      <c r="H173" s="822"/>
      <c r="I173" s="1068" t="s">
        <v>273</v>
      </c>
      <c r="J173" s="24">
        <v>166</v>
      </c>
      <c r="K173" s="24" t="str">
        <f>IF(ID!$A$86=I173,J173,"")</f>
        <v/>
      </c>
      <c r="L173" s="24" t="str">
        <f>IFERROR(SMALL($K$8:$K$224,ROWS($K$8:K173)),"")</f>
        <v/>
      </c>
    </row>
    <row r="174" spans="2:12" x14ac:dyDescent="0.2">
      <c r="B174" s="547">
        <v>40</v>
      </c>
      <c r="C174" s="545">
        <v>-0.5</v>
      </c>
      <c r="D174" s="544">
        <v>0.5</v>
      </c>
      <c r="E174" s="547">
        <v>90</v>
      </c>
      <c r="F174" s="545">
        <v>-3.7</v>
      </c>
      <c r="G174" s="544">
        <v>2.2000000000000002</v>
      </c>
      <c r="H174" s="822"/>
      <c r="I174" s="1068" t="s">
        <v>273</v>
      </c>
      <c r="J174" s="24">
        <v>167</v>
      </c>
      <c r="K174" s="24" t="str">
        <f>IF(ID!$A$86=I174,J174,"")</f>
        <v/>
      </c>
      <c r="L174" s="24" t="str">
        <f>IFERROR(SMALL($K$8:$K$224,ROWS($K$8:K174)),"")</f>
        <v/>
      </c>
    </row>
    <row r="175" spans="2:12" x14ac:dyDescent="0.2">
      <c r="B175" s="550"/>
      <c r="C175" s="550"/>
      <c r="D175" s="550"/>
      <c r="E175" s="550"/>
      <c r="F175" s="550"/>
      <c r="G175" s="550"/>
      <c r="H175" s="550"/>
      <c r="I175" s="551"/>
      <c r="J175" s="24">
        <v>168</v>
      </c>
      <c r="K175" s="24" t="str">
        <f>IF(ID!$A$86=I175,J175,"")</f>
        <v/>
      </c>
      <c r="L175" s="24" t="str">
        <f>IFERROR(SMALL($K$8:$K$224,ROWS($K$8:K175)),"")</f>
        <v/>
      </c>
    </row>
    <row r="176" spans="2:12" x14ac:dyDescent="0.2">
      <c r="B176" s="550"/>
      <c r="C176" s="550"/>
      <c r="D176" s="550"/>
      <c r="E176" s="550"/>
      <c r="F176" s="550"/>
      <c r="G176" s="550"/>
      <c r="H176" s="550"/>
      <c r="I176" s="551"/>
      <c r="J176" s="24">
        <v>169</v>
      </c>
      <c r="K176" s="24" t="str">
        <f>IF(ID!$A$86=I176,J176,"")</f>
        <v/>
      </c>
      <c r="L176" s="24" t="str">
        <f>IFERROR(SMALL($K$8:$K$224,ROWS($K$8:K176)),"")</f>
        <v/>
      </c>
    </row>
    <row r="177" spans="2:12" x14ac:dyDescent="0.2">
      <c r="B177" s="550"/>
      <c r="C177" s="550"/>
      <c r="D177" s="550"/>
      <c r="E177" s="550"/>
      <c r="F177" s="550"/>
      <c r="G177" s="550"/>
      <c r="H177" s="550"/>
      <c r="I177" s="551"/>
      <c r="J177" s="24">
        <v>170</v>
      </c>
      <c r="K177" s="24" t="str">
        <f>IF(ID!$A$86=I177,J177,"")</f>
        <v/>
      </c>
      <c r="L177" s="24" t="str">
        <f>IFERROR(SMALL($K$8:$K$224,ROWS($K$8:K177)),"")</f>
        <v/>
      </c>
    </row>
    <row r="178" spans="2:12" x14ac:dyDescent="0.2">
      <c r="B178" s="543">
        <v>15</v>
      </c>
      <c r="C178" s="544">
        <v>0</v>
      </c>
      <c r="D178" s="544">
        <v>0.3</v>
      </c>
      <c r="E178" s="543">
        <v>30</v>
      </c>
      <c r="F178" s="544">
        <v>-0.4</v>
      </c>
      <c r="G178" s="544">
        <v>2</v>
      </c>
      <c r="H178" s="682" t="s">
        <v>316</v>
      </c>
      <c r="I178" s="1068" t="s">
        <v>312</v>
      </c>
      <c r="J178" s="24">
        <v>171</v>
      </c>
      <c r="K178" s="24" t="str">
        <f>IF(ID!$A$86=I178,J178,"")</f>
        <v/>
      </c>
      <c r="L178" s="24" t="str">
        <f>IFERROR(SMALL($K$8:$K$224,ROWS($K$8:K178)),"")</f>
        <v/>
      </c>
    </row>
    <row r="179" spans="2:12" x14ac:dyDescent="0.2">
      <c r="B179" s="543">
        <v>20</v>
      </c>
      <c r="C179" s="544">
        <v>0</v>
      </c>
      <c r="D179" s="544">
        <v>0.3</v>
      </c>
      <c r="E179" s="543">
        <v>40</v>
      </c>
      <c r="F179" s="544">
        <v>-0.1</v>
      </c>
      <c r="G179" s="544">
        <v>2</v>
      </c>
      <c r="H179" s="824"/>
      <c r="I179" s="1068" t="s">
        <v>312</v>
      </c>
      <c r="J179" s="24">
        <v>172</v>
      </c>
      <c r="K179" s="24" t="str">
        <f>IF(ID!$A$86=I179,J179,"")</f>
        <v/>
      </c>
      <c r="L179" s="24" t="str">
        <f>IFERROR(SMALL($K$8:$K$224,ROWS($K$8:K179)),"")</f>
        <v/>
      </c>
    </row>
    <row r="180" spans="2:12" x14ac:dyDescent="0.2">
      <c r="B180" s="543">
        <v>25</v>
      </c>
      <c r="C180" s="544">
        <v>0</v>
      </c>
      <c r="D180" s="544">
        <v>0.3</v>
      </c>
      <c r="E180" s="543">
        <v>50</v>
      </c>
      <c r="F180" s="544">
        <v>0</v>
      </c>
      <c r="G180" s="544">
        <v>2</v>
      </c>
      <c r="H180" s="824"/>
      <c r="I180" s="1068" t="s">
        <v>312</v>
      </c>
      <c r="J180" s="24">
        <v>173</v>
      </c>
      <c r="K180" s="24" t="str">
        <f>IF(ID!$A$86=I180,J180,"")</f>
        <v/>
      </c>
      <c r="L180" s="24" t="str">
        <f>IFERROR(SMALL($K$8:$K$224,ROWS($K$8:K180)),"")</f>
        <v/>
      </c>
    </row>
    <row r="181" spans="2:12" x14ac:dyDescent="0.2">
      <c r="B181" s="543">
        <v>30</v>
      </c>
      <c r="C181" s="544">
        <v>-0.1</v>
      </c>
      <c r="D181" s="544">
        <v>0.3</v>
      </c>
      <c r="E181" s="543">
        <v>60</v>
      </c>
      <c r="F181" s="544">
        <v>0</v>
      </c>
      <c r="G181" s="544">
        <v>2</v>
      </c>
      <c r="H181" s="824"/>
      <c r="I181" s="1068" t="s">
        <v>312</v>
      </c>
      <c r="J181" s="24">
        <v>174</v>
      </c>
      <c r="K181" s="24" t="str">
        <f>IF(ID!$A$86=I181,J181,"")</f>
        <v/>
      </c>
      <c r="L181" s="24" t="str">
        <f>IFERROR(SMALL($K$8:$K$224,ROWS($K$8:K181)),"")</f>
        <v/>
      </c>
    </row>
    <row r="182" spans="2:12" x14ac:dyDescent="0.2">
      <c r="B182" s="543">
        <v>35</v>
      </c>
      <c r="C182" s="544">
        <v>-0.2</v>
      </c>
      <c r="D182" s="544">
        <v>0.3</v>
      </c>
      <c r="E182" s="543">
        <v>70</v>
      </c>
      <c r="F182" s="544">
        <v>-0.1</v>
      </c>
      <c r="G182" s="544">
        <v>2</v>
      </c>
      <c r="H182" s="824"/>
      <c r="I182" s="1068" t="s">
        <v>312</v>
      </c>
      <c r="J182" s="24">
        <v>175</v>
      </c>
      <c r="K182" s="24" t="str">
        <f>IF(ID!$A$86=I182,J182,"")</f>
        <v/>
      </c>
      <c r="L182" s="24" t="str">
        <f>IFERROR(SMALL($K$8:$K$224,ROWS($K$8:K182)),"")</f>
        <v/>
      </c>
    </row>
    <row r="183" spans="2:12" x14ac:dyDescent="0.2">
      <c r="B183" s="547">
        <v>37</v>
      </c>
      <c r="C183" s="544">
        <v>-0.3</v>
      </c>
      <c r="D183" s="544">
        <v>0.3</v>
      </c>
      <c r="E183" s="547">
        <v>80</v>
      </c>
      <c r="F183" s="544">
        <v>-0.5</v>
      </c>
      <c r="G183" s="544">
        <v>2</v>
      </c>
      <c r="H183" s="824"/>
      <c r="I183" s="1068" t="s">
        <v>312</v>
      </c>
      <c r="J183" s="24">
        <v>176</v>
      </c>
      <c r="K183" s="24" t="str">
        <f>IF(ID!$A$86=I183,J183,"")</f>
        <v/>
      </c>
      <c r="L183" s="24" t="str">
        <f>IFERROR(SMALL($K$8:$K$224,ROWS($K$8:K183)),"")</f>
        <v/>
      </c>
    </row>
    <row r="184" spans="2:12" x14ac:dyDescent="0.2">
      <c r="B184" s="547">
        <v>40</v>
      </c>
      <c r="C184" s="545">
        <v>-0.4</v>
      </c>
      <c r="D184" s="544">
        <v>0.3</v>
      </c>
      <c r="E184" s="547">
        <v>90</v>
      </c>
      <c r="F184" s="545">
        <v>-0.9</v>
      </c>
      <c r="G184" s="544">
        <v>2</v>
      </c>
      <c r="H184" s="824"/>
      <c r="I184" s="1068" t="s">
        <v>312</v>
      </c>
      <c r="J184" s="24">
        <v>177</v>
      </c>
      <c r="K184" s="24" t="str">
        <f>IF(ID!$A$86=I184,J184,"")</f>
        <v/>
      </c>
      <c r="L184" s="24" t="str">
        <f>IFERROR(SMALL($K$8:$K$224,ROWS($K$8:K184)),"")</f>
        <v/>
      </c>
    </row>
    <row r="185" spans="2:12" x14ac:dyDescent="0.2">
      <c r="B185" s="550"/>
      <c r="C185" s="550"/>
      <c r="D185" s="550"/>
      <c r="E185" s="550"/>
      <c r="F185" s="550"/>
      <c r="G185" s="550"/>
      <c r="H185" s="550"/>
      <c r="I185" s="551"/>
      <c r="J185" s="24">
        <v>178</v>
      </c>
      <c r="K185" s="24" t="str">
        <f>IF(ID!$A$86=I185,J185,"")</f>
        <v/>
      </c>
      <c r="L185" s="24" t="str">
        <f>IFERROR(SMALL($K$8:$K$224,ROWS($K$8:K185)),"")</f>
        <v/>
      </c>
    </row>
    <row r="186" spans="2:12" x14ac:dyDescent="0.2">
      <c r="B186" s="550"/>
      <c r="C186" s="550"/>
      <c r="D186" s="550"/>
      <c r="E186" s="550"/>
      <c r="F186" s="550"/>
      <c r="G186" s="550"/>
      <c r="H186" s="550"/>
      <c r="I186" s="551"/>
      <c r="J186" s="24">
        <v>179</v>
      </c>
      <c r="K186" s="24" t="str">
        <f>IF(ID!$A$86=I186,J186,"")</f>
        <v/>
      </c>
      <c r="L186" s="24" t="str">
        <f>IFERROR(SMALL($K$8:$K$224,ROWS($K$8:K186)),"")</f>
        <v/>
      </c>
    </row>
    <row r="187" spans="2:12" x14ac:dyDescent="0.2">
      <c r="B187" s="550"/>
      <c r="C187" s="550"/>
      <c r="D187" s="550"/>
      <c r="E187" s="550"/>
      <c r="F187" s="550"/>
      <c r="G187" s="550"/>
      <c r="H187" s="550"/>
      <c r="I187" s="551"/>
      <c r="J187" s="24">
        <v>180</v>
      </c>
      <c r="K187" s="24" t="str">
        <f>IF(ID!$A$86=I187,J187,"")</f>
        <v/>
      </c>
      <c r="L187" s="24" t="str">
        <f>IFERROR(SMALL($K$8:$K$224,ROWS($K$8:K187)),"")</f>
        <v/>
      </c>
    </row>
    <row r="188" spans="2:12" x14ac:dyDescent="0.2">
      <c r="B188" s="543">
        <v>15</v>
      </c>
      <c r="C188" s="544">
        <v>0.1</v>
      </c>
      <c r="D188" s="544">
        <v>0.4</v>
      </c>
      <c r="E188" s="543">
        <v>30</v>
      </c>
      <c r="F188" s="544">
        <v>-1.6</v>
      </c>
      <c r="G188" s="544">
        <v>2.2000000000000002</v>
      </c>
      <c r="H188" s="682" t="s">
        <v>316</v>
      </c>
      <c r="I188" s="1068" t="s">
        <v>313</v>
      </c>
      <c r="J188" s="24">
        <v>181</v>
      </c>
      <c r="K188" s="24" t="str">
        <f>IF(ID!$A$86=I188,J188,"")</f>
        <v/>
      </c>
      <c r="L188" s="24" t="str">
        <f>IFERROR(SMALL($K$8:$K$224,ROWS($K$8:K188)),"")</f>
        <v/>
      </c>
    </row>
    <row r="189" spans="2:12" x14ac:dyDescent="0.2">
      <c r="B189" s="543">
        <v>20</v>
      </c>
      <c r="C189" s="544">
        <v>0.2</v>
      </c>
      <c r="D189" s="544">
        <v>0.4</v>
      </c>
      <c r="E189" s="543">
        <v>40</v>
      </c>
      <c r="F189" s="544">
        <v>-1.4</v>
      </c>
      <c r="G189" s="544">
        <v>2.2000000000000002</v>
      </c>
      <c r="H189" s="824"/>
      <c r="I189" s="1068" t="s">
        <v>313</v>
      </c>
      <c r="J189" s="24">
        <v>182</v>
      </c>
      <c r="K189" s="24" t="str">
        <f>IF(ID!$A$86=I189,J189,"")</f>
        <v/>
      </c>
      <c r="L189" s="24" t="str">
        <f>IFERROR(SMALL($K$8:$K$224,ROWS($K$8:K189)),"")</f>
        <v/>
      </c>
    </row>
    <row r="190" spans="2:12" x14ac:dyDescent="0.2">
      <c r="B190" s="543">
        <v>25</v>
      </c>
      <c r="C190" s="544">
        <v>0.2</v>
      </c>
      <c r="D190" s="544">
        <v>0.4</v>
      </c>
      <c r="E190" s="543">
        <v>50</v>
      </c>
      <c r="F190" s="544">
        <v>-1.4</v>
      </c>
      <c r="G190" s="544">
        <v>2.2000000000000002</v>
      </c>
      <c r="H190" s="824"/>
      <c r="I190" s="1068" t="s">
        <v>313</v>
      </c>
      <c r="J190" s="24">
        <v>183</v>
      </c>
      <c r="K190" s="24" t="str">
        <f>IF(ID!$A$86=I190,J190,"")</f>
        <v/>
      </c>
      <c r="L190" s="24" t="str">
        <f>IFERROR(SMALL($K$8:$K$224,ROWS($K$8:K190)),"")</f>
        <v/>
      </c>
    </row>
    <row r="191" spans="2:12" x14ac:dyDescent="0.2">
      <c r="B191" s="543">
        <v>30</v>
      </c>
      <c r="C191" s="544">
        <v>0.2</v>
      </c>
      <c r="D191" s="544">
        <v>0.4</v>
      </c>
      <c r="E191" s="543">
        <v>60</v>
      </c>
      <c r="F191" s="544">
        <v>-1.5</v>
      </c>
      <c r="G191" s="544">
        <v>2.2000000000000002</v>
      </c>
      <c r="H191" s="824"/>
      <c r="I191" s="1068" t="s">
        <v>313</v>
      </c>
      <c r="J191" s="24">
        <v>184</v>
      </c>
      <c r="K191" s="24" t="str">
        <f>IF(ID!$A$86=I191,J191,"")</f>
        <v/>
      </c>
      <c r="L191" s="24" t="str">
        <f>IFERROR(SMALL($K$8:$K$224,ROWS($K$8:K191)),"")</f>
        <v/>
      </c>
    </row>
    <row r="192" spans="2:12" x14ac:dyDescent="0.2">
      <c r="B192" s="543">
        <v>35</v>
      </c>
      <c r="C192" s="544">
        <v>0.1</v>
      </c>
      <c r="D192" s="544">
        <v>0.4</v>
      </c>
      <c r="E192" s="543">
        <v>70</v>
      </c>
      <c r="F192" s="544">
        <v>-1.8</v>
      </c>
      <c r="G192" s="544">
        <v>2.2000000000000002</v>
      </c>
      <c r="H192" s="824"/>
      <c r="I192" s="1068" t="s">
        <v>313</v>
      </c>
      <c r="J192" s="24">
        <v>185</v>
      </c>
      <c r="K192" s="24" t="str">
        <f>IF(ID!$A$86=I192,J192,"")</f>
        <v/>
      </c>
      <c r="L192" s="24" t="str">
        <f>IFERROR(SMALL($K$8:$K$224,ROWS($K$8:K192)),"")</f>
        <v/>
      </c>
    </row>
    <row r="193" spans="2:12" x14ac:dyDescent="0.2">
      <c r="B193" s="547">
        <v>37</v>
      </c>
      <c r="C193" s="544">
        <v>0</v>
      </c>
      <c r="D193" s="544">
        <v>0.4</v>
      </c>
      <c r="E193" s="547">
        <v>80</v>
      </c>
      <c r="F193" s="544">
        <v>-2.2999999999999998</v>
      </c>
      <c r="G193" s="544">
        <v>2.2000000000000002</v>
      </c>
      <c r="H193" s="824"/>
      <c r="I193" s="1068" t="s">
        <v>313</v>
      </c>
      <c r="J193" s="24">
        <v>186</v>
      </c>
      <c r="K193" s="24" t="str">
        <f>IF(ID!$A$86=I193,J193,"")</f>
        <v/>
      </c>
      <c r="L193" s="24" t="str">
        <f>IFERROR(SMALL($K$8:$K$224,ROWS($K$8:K193)),"")</f>
        <v/>
      </c>
    </row>
    <row r="194" spans="2:12" x14ac:dyDescent="0.2">
      <c r="B194" s="547">
        <v>40</v>
      </c>
      <c r="C194" s="554">
        <v>0</v>
      </c>
      <c r="D194" s="544">
        <v>0.4</v>
      </c>
      <c r="E194" s="547">
        <v>90</v>
      </c>
      <c r="F194" s="554">
        <v>-3</v>
      </c>
      <c r="G194" s="544">
        <v>2.2000000000000002</v>
      </c>
      <c r="H194" s="824"/>
      <c r="I194" s="1068" t="s">
        <v>313</v>
      </c>
      <c r="J194" s="24">
        <v>187</v>
      </c>
      <c r="K194" s="24" t="str">
        <f>IF(ID!$A$86=I194,J194,"")</f>
        <v/>
      </c>
      <c r="L194" s="24" t="str">
        <f>IFERROR(SMALL($K$8:$K$224,ROWS($K$8:K194)),"")</f>
        <v/>
      </c>
    </row>
    <row r="195" spans="2:12" x14ac:dyDescent="0.2">
      <c r="J195" s="24">
        <v>188</v>
      </c>
      <c r="K195" s="24" t="str">
        <f>IF(ID!$A$86=I195,J195,"")</f>
        <v/>
      </c>
      <c r="L195" s="24" t="str">
        <f>IFERROR(SMALL($K$8:$K$224,ROWS($K$8:K195)),"")</f>
        <v/>
      </c>
    </row>
    <row r="196" spans="2:12" x14ac:dyDescent="0.2">
      <c r="J196" s="24">
        <v>189</v>
      </c>
      <c r="K196" s="24" t="str">
        <f>IF(ID!$A$86=I196,J196,"")</f>
        <v/>
      </c>
      <c r="L196" s="24" t="str">
        <f>IFERROR(SMALL($K$8:$K$224,ROWS($K$8:K196)),"")</f>
        <v/>
      </c>
    </row>
    <row r="197" spans="2:12" x14ac:dyDescent="0.2">
      <c r="J197" s="24">
        <v>190</v>
      </c>
      <c r="K197" s="24" t="str">
        <f>IF(ID!$A$86=I197,J197,"")</f>
        <v/>
      </c>
      <c r="L197" s="24" t="str">
        <f>IFERROR(SMALL($K$8:$K$224,ROWS($K$8:K197)),"")</f>
        <v/>
      </c>
    </row>
    <row r="198" spans="2:12" x14ac:dyDescent="0.2">
      <c r="B198" s="543">
        <v>15</v>
      </c>
      <c r="C198" s="544">
        <v>0</v>
      </c>
      <c r="D198" s="544">
        <v>0.3</v>
      </c>
      <c r="E198" s="543">
        <v>30</v>
      </c>
      <c r="F198" s="544">
        <v>-0.4</v>
      </c>
      <c r="G198" s="544">
        <v>1.6</v>
      </c>
      <c r="H198" s="682" t="s">
        <v>316</v>
      </c>
      <c r="I198" s="1068" t="s">
        <v>314</v>
      </c>
      <c r="J198" s="24">
        <v>191</v>
      </c>
      <c r="K198" s="24" t="str">
        <f>IF(ID!$A$86=I198,J198,"")</f>
        <v/>
      </c>
      <c r="L198" s="24" t="str">
        <f>IFERROR(SMALL($K$8:$K$224,ROWS($K$8:K198)),"")</f>
        <v/>
      </c>
    </row>
    <row r="199" spans="2:12" x14ac:dyDescent="0.2">
      <c r="B199" s="543">
        <v>20</v>
      </c>
      <c r="C199" s="544">
        <v>-0.1</v>
      </c>
      <c r="D199" s="544">
        <v>0.3</v>
      </c>
      <c r="E199" s="543">
        <v>40</v>
      </c>
      <c r="F199" s="544">
        <v>-0.2</v>
      </c>
      <c r="G199" s="544">
        <v>1.6</v>
      </c>
      <c r="H199" s="824"/>
      <c r="I199" s="1068" t="s">
        <v>314</v>
      </c>
      <c r="J199" s="24">
        <v>192</v>
      </c>
      <c r="K199" s="24" t="str">
        <f>IF(ID!$A$86=I199,J199,"")</f>
        <v/>
      </c>
      <c r="L199" s="24" t="str">
        <f>IFERROR(SMALL($K$8:$K$224,ROWS($K$8:K199)),"")</f>
        <v/>
      </c>
    </row>
    <row r="200" spans="2:12" x14ac:dyDescent="0.2">
      <c r="B200" s="543">
        <v>25</v>
      </c>
      <c r="C200" s="544">
        <v>-0.2</v>
      </c>
      <c r="D200" s="544">
        <v>0.3</v>
      </c>
      <c r="E200" s="543">
        <v>50</v>
      </c>
      <c r="F200" s="544">
        <v>-0.2</v>
      </c>
      <c r="G200" s="544">
        <v>1.6</v>
      </c>
      <c r="H200" s="824"/>
      <c r="I200" s="1068" t="s">
        <v>314</v>
      </c>
      <c r="J200" s="24">
        <v>193</v>
      </c>
      <c r="K200" s="24" t="str">
        <f>IF(ID!$A$86=I200,J200,"")</f>
        <v/>
      </c>
      <c r="L200" s="24" t="str">
        <f>IFERROR(SMALL($K$8:$K$224,ROWS($K$8:K200)),"")</f>
        <v/>
      </c>
    </row>
    <row r="201" spans="2:12" x14ac:dyDescent="0.2">
      <c r="B201" s="543">
        <v>30</v>
      </c>
      <c r="C201" s="544">
        <v>-0.2</v>
      </c>
      <c r="D201" s="544">
        <v>0.3</v>
      </c>
      <c r="E201" s="543">
        <v>60</v>
      </c>
      <c r="F201" s="544">
        <v>-0.2</v>
      </c>
      <c r="G201" s="544">
        <v>1.6</v>
      </c>
      <c r="H201" s="824"/>
      <c r="I201" s="1068" t="s">
        <v>314</v>
      </c>
      <c r="J201" s="24">
        <v>194</v>
      </c>
      <c r="K201" s="24" t="str">
        <f>IF(ID!$A$86=I201,J201,"")</f>
        <v/>
      </c>
      <c r="L201" s="24" t="str">
        <f>IFERROR(SMALL($K$8:$K$224,ROWS($K$8:K201)),"")</f>
        <v/>
      </c>
    </row>
    <row r="202" spans="2:12" x14ac:dyDescent="0.2">
      <c r="B202" s="543">
        <v>35</v>
      </c>
      <c r="C202" s="544">
        <v>-0.3</v>
      </c>
      <c r="D202" s="544">
        <v>0.3</v>
      </c>
      <c r="E202" s="543">
        <v>70</v>
      </c>
      <c r="F202" s="544">
        <v>-0.3</v>
      </c>
      <c r="G202" s="544">
        <v>1.6</v>
      </c>
      <c r="H202" s="824"/>
      <c r="I202" s="1068" t="s">
        <v>314</v>
      </c>
      <c r="J202" s="24">
        <v>195</v>
      </c>
      <c r="K202" s="24" t="str">
        <f>IF(ID!$A$86=I202,J202,"")</f>
        <v/>
      </c>
      <c r="L202" s="24" t="str">
        <f>IFERROR(SMALL($K$8:$K$224,ROWS($K$8:K202)),"")</f>
        <v/>
      </c>
    </row>
    <row r="203" spans="2:12" x14ac:dyDescent="0.2">
      <c r="B203" s="547">
        <v>37</v>
      </c>
      <c r="C203" s="544">
        <v>-0.3</v>
      </c>
      <c r="D203" s="544">
        <v>0.3</v>
      </c>
      <c r="E203" s="547">
        <v>80</v>
      </c>
      <c r="F203" s="544">
        <v>-0.5</v>
      </c>
      <c r="G203" s="544">
        <v>1.6</v>
      </c>
      <c r="H203" s="824"/>
      <c r="I203" s="1068" t="s">
        <v>314</v>
      </c>
      <c r="J203" s="24">
        <v>196</v>
      </c>
      <c r="K203" s="24" t="str">
        <f>IF(ID!$A$86=I203,J203,"")</f>
        <v/>
      </c>
      <c r="L203" s="24" t="str">
        <f>IFERROR(SMALL($K$8:$K$224,ROWS($K$8:K203)),"")</f>
        <v/>
      </c>
    </row>
    <row r="204" spans="2:12" x14ac:dyDescent="0.2">
      <c r="B204" s="547">
        <v>40</v>
      </c>
      <c r="C204" s="554">
        <v>-0.4</v>
      </c>
      <c r="D204" s="544">
        <v>0.3</v>
      </c>
      <c r="E204" s="547">
        <v>90</v>
      </c>
      <c r="F204" s="554">
        <v>-0.8</v>
      </c>
      <c r="G204" s="544">
        <v>1.6</v>
      </c>
      <c r="H204" s="824"/>
      <c r="I204" s="1068" t="s">
        <v>314</v>
      </c>
      <c r="J204" s="24">
        <v>197</v>
      </c>
      <c r="K204" s="24" t="str">
        <f>IF(ID!$A$86=I204,J204,"")</f>
        <v/>
      </c>
      <c r="L204" s="24" t="str">
        <f>IFERROR(SMALL($K$8:$K$224,ROWS($K$8:K204)),"")</f>
        <v/>
      </c>
    </row>
    <row r="205" spans="2:12" x14ac:dyDescent="0.2">
      <c r="J205" s="24">
        <v>198</v>
      </c>
      <c r="K205" s="24" t="str">
        <f>IF(ID!$A$86=I205,J205,"")</f>
        <v/>
      </c>
      <c r="L205" s="24" t="str">
        <f>IFERROR(SMALL($K$8:$K$224,ROWS($K$8:K205)),"")</f>
        <v/>
      </c>
    </row>
    <row r="206" spans="2:12" x14ac:dyDescent="0.2">
      <c r="J206" s="24">
        <v>199</v>
      </c>
      <c r="K206" s="24" t="str">
        <f>IF(ID!$A$86=I206,J206,"")</f>
        <v/>
      </c>
      <c r="L206" s="24" t="str">
        <f>IFERROR(SMALL($K$8:$K$224,ROWS($K$8:K206)),"")</f>
        <v/>
      </c>
    </row>
    <row r="207" spans="2:12" x14ac:dyDescent="0.2">
      <c r="J207" s="24">
        <v>200</v>
      </c>
      <c r="K207" s="24" t="str">
        <f>IF(ID!$A$86=I207,J207,"")</f>
        <v/>
      </c>
      <c r="L207" s="24" t="str">
        <f>IFERROR(SMALL($K$8:$K$224,ROWS($K$8:K207)),"")</f>
        <v/>
      </c>
    </row>
    <row r="208" spans="2:12" x14ac:dyDescent="0.2">
      <c r="B208" s="543">
        <v>15</v>
      </c>
      <c r="C208" s="544">
        <v>0.1</v>
      </c>
      <c r="D208" s="544">
        <v>0.3</v>
      </c>
      <c r="E208" s="543">
        <v>30</v>
      </c>
      <c r="F208" s="544">
        <v>0.1</v>
      </c>
      <c r="G208" s="544">
        <v>2.8</v>
      </c>
      <c r="H208" s="824" t="s">
        <v>386</v>
      </c>
      <c r="I208" s="1068" t="s">
        <v>315</v>
      </c>
      <c r="J208" s="24">
        <v>201</v>
      </c>
      <c r="K208" s="24" t="str">
        <f>IF(ID!$A$86=I208,J208,"")</f>
        <v/>
      </c>
      <c r="L208" s="24" t="str">
        <f>IFERROR(SMALL($K$8:$K$224,ROWS($K$8:K208)),"")</f>
        <v/>
      </c>
    </row>
    <row r="209" spans="2:12" x14ac:dyDescent="0.2">
      <c r="B209" s="543">
        <v>20</v>
      </c>
      <c r="C209" s="544">
        <v>0.1</v>
      </c>
      <c r="D209" s="544">
        <v>0.3</v>
      </c>
      <c r="E209" s="543">
        <v>40</v>
      </c>
      <c r="F209" s="544">
        <v>0.2</v>
      </c>
      <c r="G209" s="544">
        <v>2.8</v>
      </c>
      <c r="H209" s="824"/>
      <c r="I209" s="1068" t="s">
        <v>315</v>
      </c>
      <c r="J209" s="24">
        <v>202</v>
      </c>
      <c r="K209" s="24" t="str">
        <f>IF(ID!$A$86=I209,J209,"")</f>
        <v/>
      </c>
      <c r="L209" s="24" t="str">
        <f>IFERROR(SMALL($K$8:$K$224,ROWS($K$8:K209)),"")</f>
        <v/>
      </c>
    </row>
    <row r="210" spans="2:12" x14ac:dyDescent="0.2">
      <c r="B210" s="543">
        <v>25</v>
      </c>
      <c r="C210" s="544">
        <v>0</v>
      </c>
      <c r="D210" s="544">
        <v>0.3</v>
      </c>
      <c r="E210" s="543">
        <v>50</v>
      </c>
      <c r="F210" s="544">
        <v>0.2</v>
      </c>
      <c r="G210" s="544">
        <v>2.8</v>
      </c>
      <c r="H210" s="824"/>
      <c r="I210" s="1068" t="s">
        <v>315</v>
      </c>
      <c r="J210" s="24">
        <v>203</v>
      </c>
      <c r="K210" s="24" t="str">
        <f>IF(ID!$A$86=I210,J210,"")</f>
        <v/>
      </c>
      <c r="L210" s="24" t="str">
        <f>IFERROR(SMALL($K$8:$K$224,ROWS($K$8:K210)),"")</f>
        <v/>
      </c>
    </row>
    <row r="211" spans="2:12" x14ac:dyDescent="0.2">
      <c r="B211" s="543">
        <v>30</v>
      </c>
      <c r="C211" s="544">
        <v>-0.2</v>
      </c>
      <c r="D211" s="544">
        <v>0.3</v>
      </c>
      <c r="E211" s="543">
        <v>60</v>
      </c>
      <c r="F211" s="544">
        <v>0</v>
      </c>
      <c r="G211" s="544">
        <v>2.8</v>
      </c>
      <c r="H211" s="824"/>
      <c r="I211" s="1068" t="s">
        <v>315</v>
      </c>
      <c r="J211" s="24">
        <v>204</v>
      </c>
      <c r="K211" s="24" t="str">
        <f>IF(ID!$A$86=I211,J211,"")</f>
        <v/>
      </c>
      <c r="L211" s="24" t="str">
        <f>IFERROR(SMALL($K$8:$K$224,ROWS($K$8:K211)),"")</f>
        <v/>
      </c>
    </row>
    <row r="212" spans="2:12" x14ac:dyDescent="0.2">
      <c r="B212" s="543">
        <v>35</v>
      </c>
      <c r="C212" s="544">
        <v>-0.5</v>
      </c>
      <c r="D212" s="544">
        <v>0.3</v>
      </c>
      <c r="E212" s="543">
        <v>70</v>
      </c>
      <c r="F212" s="544">
        <v>-0.3</v>
      </c>
      <c r="G212" s="544">
        <v>2.8</v>
      </c>
      <c r="H212" s="824"/>
      <c r="I212" s="1068" t="s">
        <v>315</v>
      </c>
      <c r="J212" s="24">
        <v>205</v>
      </c>
      <c r="K212" s="24" t="str">
        <f>IF(ID!$A$86=I212,J212,"")</f>
        <v/>
      </c>
      <c r="L212" s="24" t="str">
        <f>IFERROR(SMALL($K$8:$K$224,ROWS($K$8:K212)),"")</f>
        <v/>
      </c>
    </row>
    <row r="213" spans="2:12" x14ac:dyDescent="0.2">
      <c r="B213" s="547">
        <v>37</v>
      </c>
      <c r="C213" s="544">
        <v>-0.6</v>
      </c>
      <c r="D213" s="544">
        <v>0.3</v>
      </c>
      <c r="E213" s="547">
        <v>80</v>
      </c>
      <c r="F213" s="544">
        <v>-0.8</v>
      </c>
      <c r="G213" s="544">
        <v>2.8</v>
      </c>
      <c r="H213" s="824"/>
      <c r="I213" s="1068" t="s">
        <v>315</v>
      </c>
      <c r="J213" s="24">
        <v>206</v>
      </c>
      <c r="K213" s="24" t="str">
        <f>IF(ID!$A$86=I213,J213,"")</f>
        <v/>
      </c>
      <c r="L213" s="24" t="str">
        <f>IFERROR(SMALL($K$8:$K$224,ROWS($K$8:K213)),"")</f>
        <v/>
      </c>
    </row>
    <row r="214" spans="2:12" x14ac:dyDescent="0.2">
      <c r="B214" s="547">
        <v>40</v>
      </c>
      <c r="C214" s="554">
        <v>-0.8</v>
      </c>
      <c r="D214" s="544">
        <v>0.3</v>
      </c>
      <c r="E214" s="547">
        <v>90</v>
      </c>
      <c r="F214" s="554">
        <v>-1.4</v>
      </c>
      <c r="G214" s="544">
        <v>2.8</v>
      </c>
      <c r="H214" s="824"/>
      <c r="I214" s="1068" t="s">
        <v>315</v>
      </c>
      <c r="J214" s="24">
        <v>207</v>
      </c>
      <c r="K214" s="24" t="str">
        <f>IF(ID!$A$86=I214,J214,"")</f>
        <v/>
      </c>
      <c r="L214" s="24" t="str">
        <f>IFERROR(SMALL($K$8:$K$224,ROWS($K$8:K214)),"")</f>
        <v/>
      </c>
    </row>
    <row r="215" spans="2:12" x14ac:dyDescent="0.2">
      <c r="J215" s="24">
        <v>208</v>
      </c>
      <c r="K215" s="24" t="str">
        <f>IF(ID!$A$86=I215,J215,"")</f>
        <v/>
      </c>
      <c r="L215" s="24" t="str">
        <f>IFERROR(SMALL($K$8:$K$224,ROWS($K$8:K215)),"")</f>
        <v/>
      </c>
    </row>
    <row r="216" spans="2:12" x14ac:dyDescent="0.2">
      <c r="J216" s="24">
        <v>209</v>
      </c>
      <c r="K216" s="24" t="str">
        <f>IF(ID!$A$86=I216,J216,"")</f>
        <v/>
      </c>
      <c r="L216" s="24" t="str">
        <f>IFERROR(SMALL($K$8:$K$224,ROWS($K$8:K216)),"")</f>
        <v/>
      </c>
    </row>
    <row r="217" spans="2:12" x14ac:dyDescent="0.2">
      <c r="J217" s="24">
        <v>210</v>
      </c>
      <c r="K217" s="24" t="str">
        <f>IF(ID!$A$86=I217,J217,"")</f>
        <v/>
      </c>
      <c r="L217" s="24" t="str">
        <f>IFERROR(SMALL($K$8:$K$224,ROWS($K$8:K217)),"")</f>
        <v/>
      </c>
    </row>
    <row r="218" spans="2:12" x14ac:dyDescent="0.2">
      <c r="B218" s="543">
        <v>15.1</v>
      </c>
      <c r="C218" s="544">
        <v>0</v>
      </c>
      <c r="D218" s="544">
        <v>0.1</v>
      </c>
      <c r="E218" s="543">
        <v>36.299999999999997</v>
      </c>
      <c r="F218" s="544">
        <v>-1.5</v>
      </c>
      <c r="G218" s="888">
        <v>1.5</v>
      </c>
      <c r="H218" s="819" t="s">
        <v>558</v>
      </c>
      <c r="I218" s="1068" t="s">
        <v>376</v>
      </c>
      <c r="J218" s="24">
        <v>211</v>
      </c>
      <c r="K218" s="24" t="str">
        <f>IF(ID!$A$86=I218,J218,"")</f>
        <v/>
      </c>
      <c r="L218" s="24" t="str">
        <f>IFERROR(SMALL($K$8:$K$224,ROWS($K$8:K218)),"")</f>
        <v/>
      </c>
    </row>
    <row r="219" spans="2:12" x14ac:dyDescent="0.2">
      <c r="B219" s="543">
        <v>20.2</v>
      </c>
      <c r="C219" s="544">
        <v>0.1</v>
      </c>
      <c r="D219" s="544">
        <v>0.1</v>
      </c>
      <c r="E219" s="543">
        <v>40.5</v>
      </c>
      <c r="F219" s="544">
        <v>-0.8</v>
      </c>
      <c r="G219" s="888">
        <v>1.5</v>
      </c>
      <c r="H219" s="819"/>
      <c r="I219" s="1068" t="s">
        <v>376</v>
      </c>
      <c r="J219" s="24">
        <v>212</v>
      </c>
      <c r="K219" s="24" t="str">
        <f>IF(ID!$A$86=I219,J219,"")</f>
        <v/>
      </c>
      <c r="L219" s="24" t="str">
        <f>IFERROR(SMALL($K$8:$K$224,ROWS($K$8:K219)),"")</f>
        <v/>
      </c>
    </row>
    <row r="220" spans="2:12" x14ac:dyDescent="0.2">
      <c r="B220" s="543">
        <v>25</v>
      </c>
      <c r="C220" s="544">
        <v>0</v>
      </c>
      <c r="D220" s="544">
        <v>0.1</v>
      </c>
      <c r="E220" s="543">
        <v>49.8</v>
      </c>
      <c r="F220" s="544">
        <v>-0.2</v>
      </c>
      <c r="G220" s="888">
        <v>1.5</v>
      </c>
      <c r="H220" s="819"/>
      <c r="I220" s="1068" t="s">
        <v>376</v>
      </c>
      <c r="J220" s="24">
        <v>213</v>
      </c>
      <c r="K220" s="24" t="str">
        <f>IF(ID!$A$86=I220,J220,"")</f>
        <v/>
      </c>
      <c r="L220" s="24" t="str">
        <f>IFERROR(SMALL($K$8:$K$224,ROWS($K$8:K220)),"")</f>
        <v/>
      </c>
    </row>
    <row r="221" spans="2:12" x14ac:dyDescent="0.2">
      <c r="B221" s="543">
        <v>30.5</v>
      </c>
      <c r="C221" s="544">
        <v>-0.1</v>
      </c>
      <c r="D221" s="544">
        <v>0.1</v>
      </c>
      <c r="E221" s="543">
        <v>59.2</v>
      </c>
      <c r="F221" s="544">
        <v>0.4</v>
      </c>
      <c r="G221" s="888">
        <v>1.5</v>
      </c>
      <c r="H221" s="819"/>
      <c r="I221" s="1068" t="s">
        <v>376</v>
      </c>
      <c r="J221" s="24">
        <v>214</v>
      </c>
      <c r="K221" s="24" t="str">
        <f>IF(ID!$A$86=I221,J221,"")</f>
        <v/>
      </c>
      <c r="L221" s="24" t="str">
        <f>IFERROR(SMALL($K$8:$K$224,ROWS($K$8:K221)),"")</f>
        <v/>
      </c>
    </row>
    <row r="222" spans="2:12" x14ac:dyDescent="0.2">
      <c r="B222" s="543">
        <v>35.5</v>
      </c>
      <c r="C222" s="544">
        <v>-0.1</v>
      </c>
      <c r="D222" s="544">
        <v>0.1</v>
      </c>
      <c r="E222" s="543">
        <v>70.599999999999994</v>
      </c>
      <c r="F222" s="544">
        <v>-0.7</v>
      </c>
      <c r="G222" s="888">
        <v>1.5</v>
      </c>
      <c r="H222" s="819"/>
      <c r="I222" s="1068" t="s">
        <v>376</v>
      </c>
      <c r="J222" s="24">
        <v>215</v>
      </c>
      <c r="K222" s="24" t="str">
        <f>IF(ID!$A$86=I222,J222,"")</f>
        <v/>
      </c>
      <c r="L222" s="24" t="str">
        <f>IFERROR(SMALL($K$8:$K$224,ROWS($K$8:K222)),"")</f>
        <v/>
      </c>
    </row>
    <row r="223" spans="2:12" x14ac:dyDescent="0.2">
      <c r="B223" s="547">
        <v>37.200000000000003</v>
      </c>
      <c r="C223" s="544">
        <v>0</v>
      </c>
      <c r="D223" s="544">
        <v>0.1</v>
      </c>
      <c r="E223" s="547">
        <v>80.900000000000006</v>
      </c>
      <c r="F223" s="544">
        <v>-0.9</v>
      </c>
      <c r="G223" s="888">
        <v>1.5</v>
      </c>
      <c r="H223" s="819"/>
      <c r="I223" s="1068" t="s">
        <v>376</v>
      </c>
      <c r="J223" s="24">
        <v>216</v>
      </c>
      <c r="K223" s="24" t="str">
        <f>IF(ID!$A$86=I223,J223,"")</f>
        <v/>
      </c>
      <c r="L223" s="24" t="str">
        <f>IFERROR(SMALL($K$8:$K$224,ROWS($K$8:K223)),"")</f>
        <v/>
      </c>
    </row>
    <row r="224" spans="2:12" x14ac:dyDescent="0.2">
      <c r="B224" s="547">
        <v>39.700000000000003</v>
      </c>
      <c r="C224" s="554">
        <v>0.2</v>
      </c>
      <c r="D224" s="544">
        <v>0.1</v>
      </c>
      <c r="E224" s="547">
        <v>90.4</v>
      </c>
      <c r="F224" s="545">
        <v>-0.6</v>
      </c>
      <c r="G224" s="888">
        <v>1.5</v>
      </c>
      <c r="H224" s="819"/>
      <c r="I224" s="1068" t="s">
        <v>376</v>
      </c>
      <c r="J224" s="24">
        <v>217</v>
      </c>
      <c r="K224" s="24" t="str">
        <f>IF(ID!$A$86=I224,J224,"")</f>
        <v/>
      </c>
      <c r="L224" s="24" t="str">
        <f>IFERROR(SMALL($K$8:$K$224,ROWS($K$8:K224)),"")</f>
        <v/>
      </c>
    </row>
  </sheetData>
  <phoneticPr fontId="110"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dimension ref="A1:W27"/>
  <sheetViews>
    <sheetView workbookViewId="0">
      <selection activeCell="J10" sqref="J10"/>
    </sheetView>
  </sheetViews>
  <sheetFormatPr defaultColWidth="9.21875" defaultRowHeight="13.2" x14ac:dyDescent="0.25"/>
  <cols>
    <col min="1" max="7" width="9.21875" style="128"/>
    <col min="8" max="8" width="13.5546875" style="128" customWidth="1"/>
    <col min="9" max="9" width="9.21875" style="128"/>
    <col min="10" max="10" width="12.21875" style="128" customWidth="1"/>
    <col min="11" max="16384" width="9.21875" style="128"/>
  </cols>
  <sheetData>
    <row r="1" spans="1:23" x14ac:dyDescent="0.25">
      <c r="B1" s="1241" t="s">
        <v>175</v>
      </c>
      <c r="C1" s="1242"/>
      <c r="D1" s="1242"/>
      <c r="E1" s="1242"/>
      <c r="F1" s="1242"/>
      <c r="G1" s="1242"/>
      <c r="H1" s="1242"/>
      <c r="I1" s="1242"/>
      <c r="J1" s="1242"/>
      <c r="K1" s="1242"/>
      <c r="L1" s="1242"/>
      <c r="M1" s="1242"/>
      <c r="N1" s="1242"/>
      <c r="O1" s="1243"/>
    </row>
    <row r="2" spans="1:23" x14ac:dyDescent="0.25">
      <c r="B2" s="1244"/>
      <c r="C2" s="1245"/>
      <c r="D2" s="1245"/>
      <c r="E2" s="1245"/>
      <c r="F2" s="1245"/>
      <c r="G2" s="1245"/>
      <c r="H2" s="1245"/>
      <c r="I2" s="1245"/>
      <c r="J2" s="1245"/>
      <c r="K2" s="1245"/>
      <c r="L2" s="1245"/>
      <c r="M2" s="1245"/>
      <c r="N2" s="1245"/>
      <c r="O2" s="1246"/>
    </row>
    <row r="4" spans="1:23" s="118" customFormat="1" ht="15.6" x14ac:dyDescent="0.25">
      <c r="A4" s="116"/>
      <c r="B4" s="1240" t="s">
        <v>174</v>
      </c>
      <c r="C4" s="1240"/>
      <c r="D4" s="1240"/>
      <c r="E4" s="1240"/>
      <c r="F4" s="1240"/>
      <c r="G4" s="1240"/>
      <c r="H4" s="1240"/>
      <c r="I4" s="117"/>
      <c r="J4" s="1233" t="s">
        <v>109</v>
      </c>
      <c r="K4" s="1234"/>
      <c r="L4" s="1234"/>
      <c r="M4" s="1234"/>
      <c r="N4" s="1234"/>
      <c r="O4" s="1235"/>
      <c r="Q4" s="116"/>
    </row>
    <row r="5" spans="1:23" s="118" customFormat="1" ht="27.6" x14ac:dyDescent="0.25">
      <c r="A5" s="116">
        <v>-0.1</v>
      </c>
      <c r="B5" s="119" t="s">
        <v>48</v>
      </c>
      <c r="C5" s="953" t="s">
        <v>39</v>
      </c>
      <c r="D5" s="954" t="s">
        <v>43</v>
      </c>
      <c r="E5" s="954" t="s">
        <v>159</v>
      </c>
      <c r="F5" s="956" t="s">
        <v>154</v>
      </c>
      <c r="G5" s="957" t="s">
        <v>153</v>
      </c>
      <c r="H5" s="957" t="s">
        <v>160</v>
      </c>
      <c r="I5" s="164"/>
      <c r="J5" s="120" t="s">
        <v>57</v>
      </c>
      <c r="K5" s="120" t="s">
        <v>59</v>
      </c>
      <c r="L5" s="120" t="s">
        <v>61</v>
      </c>
      <c r="M5" s="120" t="s">
        <v>58</v>
      </c>
      <c r="N5" s="120" t="s">
        <v>60</v>
      </c>
      <c r="O5" s="120" t="s">
        <v>62</v>
      </c>
      <c r="Q5" s="116"/>
    </row>
    <row r="6" spans="1:23" s="118" customFormat="1" ht="15.6" x14ac:dyDescent="0.25">
      <c r="A6" s="116"/>
      <c r="B6" s="121">
        <f>'SERTIFIKAT DPM'!AK11</f>
        <v>0</v>
      </c>
      <c r="C6" s="955">
        <f>'SERTIFIKAT DPM'!AN11</f>
        <v>0</v>
      </c>
      <c r="D6" s="955">
        <f>'SERTIFIKAT DPM'!AP11</f>
        <v>0.4</v>
      </c>
      <c r="E6" s="955">
        <f>'SERTIFIKAT DPM'!AO11</f>
        <v>0</v>
      </c>
      <c r="F6" s="958">
        <f>'SERTIFIKAT DPM'!AS11</f>
        <v>0</v>
      </c>
      <c r="G6" s="958">
        <f>'SERTIFIKAT DPM'!AU11</f>
        <v>0.4</v>
      </c>
      <c r="H6" s="958">
        <f>'SERTIFIKAT DPM'!AT11</f>
        <v>0</v>
      </c>
      <c r="I6" s="116"/>
      <c r="J6" s="121">
        <f>'SERTIFIKAT THERMOHYGROMETER'!O8</f>
        <v>15</v>
      </c>
      <c r="K6" s="121">
        <f>'SERTIFIKAT THERMOHYGROMETER'!P8</f>
        <v>0.2</v>
      </c>
      <c r="L6" s="121">
        <f>'SERTIFIKAT THERMOHYGROMETER'!Q8</f>
        <v>0.3</v>
      </c>
      <c r="M6" s="121">
        <f>'SERTIFIKAT THERMOHYGROMETER'!R8</f>
        <v>30</v>
      </c>
      <c r="N6" s="121">
        <f>'SERTIFIKAT THERMOHYGROMETER'!S8</f>
        <v>-2.9</v>
      </c>
      <c r="O6" s="121">
        <f>'SERTIFIKAT THERMOHYGROMETER'!T8</f>
        <v>1.5</v>
      </c>
      <c r="Q6" s="116"/>
      <c r="V6" s="122"/>
      <c r="W6" s="122"/>
    </row>
    <row r="7" spans="1:23" s="118" customFormat="1" ht="15.6" x14ac:dyDescent="0.25">
      <c r="A7" s="116"/>
      <c r="B7" s="121">
        <f>'SERTIFIKAT DPM'!AK12</f>
        <v>50</v>
      </c>
      <c r="C7" s="955">
        <f>'SERTIFIKAT DPM'!AN12</f>
        <v>-0.1</v>
      </c>
      <c r="D7" s="955">
        <f>'SERTIFIKAT DPM'!AP12</f>
        <v>0.4</v>
      </c>
      <c r="E7" s="955">
        <f>'SERTIFIKAT DPM'!AO12</f>
        <v>0.1</v>
      </c>
      <c r="F7" s="958">
        <f>'SERTIFIKAT DPM'!AS12</f>
        <v>-0.3</v>
      </c>
      <c r="G7" s="958">
        <f>'SERTIFIKAT DPM'!AU12</f>
        <v>0.4</v>
      </c>
      <c r="H7" s="958">
        <f>'SERTIFIKAT DPM'!AT12</f>
        <v>0.25</v>
      </c>
      <c r="I7" s="116"/>
      <c r="J7" s="121">
        <f>'SERTIFIKAT THERMOHYGROMETER'!O9</f>
        <v>20</v>
      </c>
      <c r="K7" s="121">
        <f>'SERTIFIKAT THERMOHYGROMETER'!P9</f>
        <v>0.2</v>
      </c>
      <c r="L7" s="121">
        <f>'SERTIFIKAT THERMOHYGROMETER'!Q9</f>
        <v>0.3</v>
      </c>
      <c r="M7" s="121">
        <f>'SERTIFIKAT THERMOHYGROMETER'!R9</f>
        <v>40</v>
      </c>
      <c r="N7" s="121">
        <f>'SERTIFIKAT THERMOHYGROMETER'!S9</f>
        <v>-3.3</v>
      </c>
      <c r="O7" s="121">
        <f>'SERTIFIKAT THERMOHYGROMETER'!T9</f>
        <v>1.5</v>
      </c>
      <c r="Q7" s="116"/>
    </row>
    <row r="8" spans="1:23" s="118" customFormat="1" ht="15.6" x14ac:dyDescent="0.25">
      <c r="A8" s="116"/>
      <c r="B8" s="121">
        <f>'SERTIFIKAT DPM'!AK13</f>
        <v>100</v>
      </c>
      <c r="C8" s="955">
        <f>'SERTIFIKAT DPM'!AN13</f>
        <v>-0.1</v>
      </c>
      <c r="D8" s="955">
        <f>'SERTIFIKAT DPM'!AP13</f>
        <v>0.4</v>
      </c>
      <c r="E8" s="955">
        <f>'SERTIFIKAT DPM'!AO13</f>
        <v>0.05</v>
      </c>
      <c r="F8" s="958">
        <f>'SERTIFIKAT DPM'!AS13</f>
        <v>-0.3</v>
      </c>
      <c r="G8" s="958">
        <f>'SERTIFIKAT DPM'!AU13</f>
        <v>0.4</v>
      </c>
      <c r="H8" s="958">
        <f>'SERTIFIKAT DPM'!AT13</f>
        <v>0.2</v>
      </c>
      <c r="I8" s="116"/>
      <c r="J8" s="121">
        <f>'SERTIFIKAT THERMOHYGROMETER'!O10</f>
        <v>25</v>
      </c>
      <c r="K8" s="121">
        <f>'SERTIFIKAT THERMOHYGROMETER'!P10</f>
        <v>0.1</v>
      </c>
      <c r="L8" s="121">
        <f>'SERTIFIKAT THERMOHYGROMETER'!Q10</f>
        <v>0.3</v>
      </c>
      <c r="M8" s="121">
        <f>'SERTIFIKAT THERMOHYGROMETER'!R10</f>
        <v>50</v>
      </c>
      <c r="N8" s="121">
        <f>'SERTIFIKAT THERMOHYGROMETER'!S10</f>
        <v>-3.1</v>
      </c>
      <c r="O8" s="121">
        <f>'SERTIFIKAT THERMOHYGROMETER'!T10</f>
        <v>1.5</v>
      </c>
      <c r="Q8" s="116"/>
    </row>
    <row r="9" spans="1:23" s="118" customFormat="1" ht="15.6" x14ac:dyDescent="0.25">
      <c r="A9" s="116"/>
      <c r="B9" s="121">
        <f>'SERTIFIKAT DPM'!AK14</f>
        <v>150</v>
      </c>
      <c r="C9" s="955">
        <f>'SERTIFIKAT DPM'!AN14</f>
        <v>0.2</v>
      </c>
      <c r="D9" s="955">
        <f>'SERTIFIKAT DPM'!AP14</f>
        <v>0.4</v>
      </c>
      <c r="E9" s="955">
        <f>'SERTIFIKAT DPM'!AO14</f>
        <v>0.2</v>
      </c>
      <c r="F9" s="958">
        <f>'SERTIFIKAT DPM'!AS14</f>
        <v>0</v>
      </c>
      <c r="G9" s="958">
        <f>'SERTIFIKAT DPM'!AU14</f>
        <v>0.4</v>
      </c>
      <c r="H9" s="958">
        <f>'SERTIFIKAT DPM'!AT14</f>
        <v>0.15000000000000002</v>
      </c>
      <c r="I9" s="116"/>
      <c r="J9" s="121">
        <f>'SERTIFIKAT THERMOHYGROMETER'!O11</f>
        <v>30</v>
      </c>
      <c r="K9" s="121">
        <f>'SERTIFIKAT THERMOHYGROMETER'!P11</f>
        <v>0.1</v>
      </c>
      <c r="L9" s="121">
        <f>'SERTIFIKAT THERMOHYGROMETER'!Q11</f>
        <v>0.3</v>
      </c>
      <c r="M9" s="121">
        <f>'SERTIFIKAT THERMOHYGROMETER'!R11</f>
        <v>60</v>
      </c>
      <c r="N9" s="121">
        <f>'SERTIFIKAT THERMOHYGROMETER'!S11</f>
        <v>-2.1</v>
      </c>
      <c r="O9" s="121">
        <f>'SERTIFIKAT THERMOHYGROMETER'!T11</f>
        <v>1.5</v>
      </c>
      <c r="Q9" s="116"/>
    </row>
    <row r="10" spans="1:23" s="118" customFormat="1" ht="15.6" x14ac:dyDescent="0.25">
      <c r="A10" s="116"/>
      <c r="B10" s="121">
        <f>'SERTIFIKAT DPM'!AK15</f>
        <v>200</v>
      </c>
      <c r="C10" s="955">
        <f>'SERTIFIKAT DPM'!AN15</f>
        <v>0.2</v>
      </c>
      <c r="D10" s="955">
        <f>'SERTIFIKAT DPM'!AP15</f>
        <v>0.4</v>
      </c>
      <c r="E10" s="955">
        <f>'SERTIFIKAT DPM'!AO15</f>
        <v>0.2</v>
      </c>
      <c r="F10" s="958">
        <f>'SERTIFIKAT DPM'!AS15</f>
        <v>0</v>
      </c>
      <c r="G10" s="958">
        <f>'SERTIFIKAT DPM'!AU15</f>
        <v>0.4</v>
      </c>
      <c r="H10" s="958">
        <f>'SERTIFIKAT DPM'!AT15</f>
        <v>0.15000000000000002</v>
      </c>
      <c r="I10" s="116"/>
      <c r="J10" s="121">
        <f>'SERTIFIKAT THERMOHYGROMETER'!O12</f>
        <v>35</v>
      </c>
      <c r="K10" s="121">
        <f>'SERTIFIKAT THERMOHYGROMETER'!P12</f>
        <v>0.2</v>
      </c>
      <c r="L10" s="121">
        <f>'SERTIFIKAT THERMOHYGROMETER'!Q12</f>
        <v>0.3</v>
      </c>
      <c r="M10" s="121">
        <f>'SERTIFIKAT THERMOHYGROMETER'!R12</f>
        <v>70</v>
      </c>
      <c r="N10" s="121">
        <f>'SERTIFIKAT THERMOHYGROMETER'!S12</f>
        <v>-0.3</v>
      </c>
      <c r="O10" s="121">
        <f>'SERTIFIKAT THERMOHYGROMETER'!T12</f>
        <v>1.5</v>
      </c>
      <c r="Q10" s="116"/>
    </row>
    <row r="11" spans="1:23" s="118" customFormat="1" ht="15.6" x14ac:dyDescent="0.25">
      <c r="A11" s="116"/>
      <c r="B11" s="121">
        <f>'SERTIFIKAT DPM'!AK16</f>
        <v>250</v>
      </c>
      <c r="C11" s="955">
        <f>'SERTIFIKAT DPM'!AN16</f>
        <v>0.2</v>
      </c>
      <c r="D11" s="955">
        <f>'SERTIFIKAT DPM'!AP16</f>
        <v>0.4</v>
      </c>
      <c r="E11" s="955">
        <f>'SERTIFIKAT DPM'!AO16</f>
        <v>0.25</v>
      </c>
      <c r="F11" s="958">
        <f>'SERTIFIKAT DPM'!AS16</f>
        <v>0</v>
      </c>
      <c r="G11" s="958">
        <f>'SERTIFIKAT DPM'!AU16</f>
        <v>0.4</v>
      </c>
      <c r="H11" s="958">
        <f>'SERTIFIKAT DPM'!AT16</f>
        <v>0.2</v>
      </c>
      <c r="I11" s="116"/>
      <c r="J11" s="121">
        <f>'SERTIFIKAT THERMOHYGROMETER'!O13</f>
        <v>37</v>
      </c>
      <c r="K11" s="121">
        <f>'SERTIFIKAT THERMOHYGROMETER'!P13</f>
        <v>0.2</v>
      </c>
      <c r="L11" s="121">
        <f>'SERTIFIKAT THERMOHYGROMETER'!Q13</f>
        <v>0.3</v>
      </c>
      <c r="M11" s="121">
        <f>'SERTIFIKAT THERMOHYGROMETER'!R13</f>
        <v>80</v>
      </c>
      <c r="N11" s="121">
        <f>'SERTIFIKAT THERMOHYGROMETER'!S13</f>
        <v>2.2000000000000002</v>
      </c>
      <c r="O11" s="121">
        <f>'SERTIFIKAT THERMOHYGROMETER'!T13</f>
        <v>1.5</v>
      </c>
      <c r="Q11" s="116"/>
    </row>
    <row r="12" spans="1:23" s="118" customFormat="1" ht="15.6" x14ac:dyDescent="0.25">
      <c r="A12" s="116"/>
      <c r="B12" s="121">
        <f>'SERTIFIKAT DPM'!AK17</f>
        <v>300</v>
      </c>
      <c r="C12" s="955">
        <f>'SERTIFIKAT DPM'!AN17</f>
        <v>0.1</v>
      </c>
      <c r="D12" s="955">
        <f>'SERTIFIKAT DPM'!AP17</f>
        <v>0.4</v>
      </c>
      <c r="E12" s="955">
        <f>'SERTIFIKAT DPM'!AO17</f>
        <v>0.15000000000000002</v>
      </c>
      <c r="F12" s="958">
        <f>'SERTIFIKAT DPM'!AS17</f>
        <v>0</v>
      </c>
      <c r="G12" s="958">
        <f>'SERTIFIKAT DPM'!AU17</f>
        <v>0.4</v>
      </c>
      <c r="H12" s="958">
        <f>'SERTIFIKAT DPM'!AT17</f>
        <v>0.1</v>
      </c>
      <c r="I12" s="116"/>
      <c r="J12" s="121">
        <f>'SERTIFIKAT THERMOHYGROMETER'!O14</f>
        <v>40</v>
      </c>
      <c r="K12" s="121">
        <f>'SERTIFIKAT THERMOHYGROMETER'!P14</f>
        <v>0.2</v>
      </c>
      <c r="L12" s="121">
        <f>'SERTIFIKAT THERMOHYGROMETER'!Q14</f>
        <v>0.3</v>
      </c>
      <c r="M12" s="121">
        <f>'SERTIFIKAT THERMOHYGROMETER'!R14</f>
        <v>90</v>
      </c>
      <c r="N12" s="121">
        <f>'SERTIFIKAT THERMOHYGROMETER'!S14</f>
        <v>5.4</v>
      </c>
      <c r="O12" s="121">
        <f>'SERTIFIKAT THERMOHYGROMETER'!T14</f>
        <v>1.5</v>
      </c>
      <c r="Q12" s="116"/>
    </row>
    <row r="13" spans="1:23" s="118" customFormat="1" ht="15.6" x14ac:dyDescent="0.25">
      <c r="A13" s="116"/>
      <c r="B13" s="121">
        <f>'SERTIFIKAT DPM'!AK18</f>
        <v>0</v>
      </c>
      <c r="C13" s="805">
        <f>'SERTIFIKAT DPM'!AN18</f>
        <v>0</v>
      </c>
      <c r="D13" s="805">
        <f>'SERTIFIKAT DPM'!AP18</f>
        <v>0</v>
      </c>
      <c r="E13" s="805">
        <f>'SERTIFIKAT DPM'!AO18</f>
        <v>0</v>
      </c>
      <c r="F13" s="805">
        <f>'SERTIFIKAT DPM'!AS18</f>
        <v>0</v>
      </c>
      <c r="G13" s="805">
        <f>'SERTIFIKAT DPM'!AU18</f>
        <v>0</v>
      </c>
      <c r="H13" s="805">
        <f>'SERTIFIKAT DPM'!AT18</f>
        <v>0</v>
      </c>
      <c r="I13" s="116"/>
      <c r="J13" s="123"/>
      <c r="K13" s="124"/>
      <c r="L13" s="125"/>
      <c r="M13" s="126"/>
      <c r="N13" s="127"/>
      <c r="O13" s="125"/>
      <c r="P13" s="126"/>
      <c r="Q13" s="116"/>
    </row>
    <row r="14" spans="1:23" s="118" customFormat="1" ht="15.6" x14ac:dyDescent="0.25">
      <c r="A14" s="116"/>
      <c r="B14" s="121">
        <f>'SERTIFIKAT DPM'!AK19</f>
        <v>0</v>
      </c>
      <c r="C14" s="805">
        <f>'SERTIFIKAT DPM'!AN19</f>
        <v>0</v>
      </c>
      <c r="D14" s="805">
        <f>'SERTIFIKAT DPM'!AP19</f>
        <v>0</v>
      </c>
      <c r="E14" s="805">
        <f>'SERTIFIKAT DPM'!AO19</f>
        <v>0</v>
      </c>
      <c r="F14" s="805">
        <f>'SERTIFIKAT DPM'!AS19</f>
        <v>0</v>
      </c>
      <c r="G14" s="805">
        <f>'SERTIFIKAT DPM'!AU19</f>
        <v>0</v>
      </c>
      <c r="H14" s="805">
        <f>'SERTIFIKAT DPM'!AT19</f>
        <v>0</v>
      </c>
      <c r="I14" s="126"/>
      <c r="J14" s="126"/>
      <c r="K14" s="127"/>
      <c r="L14" s="125"/>
      <c r="M14" s="126"/>
      <c r="N14" s="127"/>
      <c r="O14" s="125"/>
      <c r="P14" s="126"/>
      <c r="Q14" s="116"/>
    </row>
    <row r="18" spans="2:16" x14ac:dyDescent="0.25">
      <c r="B18" s="128" t="s">
        <v>54</v>
      </c>
      <c r="K18" s="1236"/>
      <c r="L18" s="1237"/>
    </row>
    <row r="19" spans="2:16" x14ac:dyDescent="0.25">
      <c r="B19" s="881">
        <f>FORECAST(ID!B43,'DATA 1'!C6:C14,'DATA 1'!B6:B14)</f>
        <v>-9.404232804232842E-3</v>
      </c>
      <c r="K19" s="1238"/>
      <c r="L19" s="1239"/>
    </row>
    <row r="20" spans="2:16" ht="13.8" x14ac:dyDescent="0.25">
      <c r="K20" s="93"/>
    </row>
    <row r="21" spans="2:16" x14ac:dyDescent="0.25">
      <c r="B21" s="128" t="s">
        <v>493</v>
      </c>
      <c r="H21" s="1232" t="s">
        <v>488</v>
      </c>
      <c r="I21" s="1232"/>
      <c r="J21" s="1232"/>
      <c r="M21" s="1232" t="s">
        <v>490</v>
      </c>
      <c r="N21" s="1232"/>
      <c r="O21" s="1232"/>
      <c r="P21" s="1232"/>
    </row>
    <row r="22" spans="2:16" x14ac:dyDescent="0.25">
      <c r="B22" s="128">
        <f>FORECAST('BUDGET NAIK'!C9,'DATA 1'!D6:D14,'DATA 1'!B6:B14)</f>
        <v>0.20740740740740737</v>
      </c>
      <c r="H22" s="882" t="s">
        <v>488</v>
      </c>
      <c r="I22" s="882"/>
      <c r="J22" s="882" t="s">
        <v>487</v>
      </c>
      <c r="M22" s="1230" t="s">
        <v>490</v>
      </c>
      <c r="N22" s="1230"/>
      <c r="O22" s="1230" t="s">
        <v>491</v>
      </c>
      <c r="P22" s="1230"/>
    </row>
    <row r="23" spans="2:16" x14ac:dyDescent="0.25">
      <c r="H23" s="883">
        <f>ID!B22</f>
        <v>22.5</v>
      </c>
      <c r="I23" s="882"/>
      <c r="J23" s="884">
        <f>FORECAST(H23,K6:K12,J6:J12)</f>
        <v>0.16807713651498335</v>
      </c>
      <c r="M23" s="1230">
        <f>ID!B23</f>
        <v>55.9</v>
      </c>
      <c r="N23" s="1230"/>
      <c r="O23" s="1231">
        <f>FORECAST(M23,N6:N12,M6:M12)</f>
        <v>-1.152392857142857</v>
      </c>
      <c r="P23" s="1231"/>
    </row>
    <row r="25" spans="2:16" x14ac:dyDescent="0.25">
      <c r="H25" s="1232" t="s">
        <v>489</v>
      </c>
      <c r="I25" s="1232"/>
      <c r="J25" s="1232"/>
      <c r="M25" s="1232" t="s">
        <v>492</v>
      </c>
      <c r="N25" s="1232"/>
      <c r="O25" s="1232"/>
      <c r="P25" s="1232"/>
    </row>
    <row r="26" spans="2:16" x14ac:dyDescent="0.25">
      <c r="H26" s="882" t="s">
        <v>489</v>
      </c>
      <c r="I26" s="882"/>
      <c r="J26" s="882" t="s">
        <v>487</v>
      </c>
      <c r="M26" s="1230" t="s">
        <v>492</v>
      </c>
      <c r="N26" s="1230"/>
      <c r="O26" s="882" t="s">
        <v>491</v>
      </c>
      <c r="P26" s="882"/>
    </row>
    <row r="27" spans="2:16" x14ac:dyDescent="0.25">
      <c r="H27" s="883">
        <f>ID!C22</f>
        <v>22.5</v>
      </c>
      <c r="I27" s="882"/>
      <c r="J27" s="884">
        <f>FORECAST(H27,K6:K12,J6:J12)</f>
        <v>0.16807713651498335</v>
      </c>
      <c r="M27" s="1230">
        <f>ID!C23</f>
        <v>55.7</v>
      </c>
      <c r="N27" s="1230"/>
      <c r="O27" s="1231">
        <f>FORECAST(M27,N6:N12,M6:M12)</f>
        <v>-1.1800357142857143</v>
      </c>
      <c r="P27" s="1231"/>
    </row>
  </sheetData>
  <mergeCells count="15">
    <mergeCell ref="B4:H4"/>
    <mergeCell ref="B1:O2"/>
    <mergeCell ref="H21:J21"/>
    <mergeCell ref="M21:P21"/>
    <mergeCell ref="M22:N22"/>
    <mergeCell ref="M23:N23"/>
    <mergeCell ref="O22:P22"/>
    <mergeCell ref="O23:P23"/>
    <mergeCell ref="J4:O4"/>
    <mergeCell ref="K18:L19"/>
    <mergeCell ref="M26:N26"/>
    <mergeCell ref="M27:N27"/>
    <mergeCell ref="O27:P27"/>
    <mergeCell ref="M25:P25"/>
    <mergeCell ref="H25:J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0:DS26"/>
  <sheetViews>
    <sheetView topLeftCell="BU4" zoomScale="70" zoomScaleNormal="70" workbookViewId="0">
      <selection activeCell="CF18" sqref="CF18"/>
    </sheetView>
  </sheetViews>
  <sheetFormatPr defaultColWidth="8.77734375" defaultRowHeight="13.8" x14ac:dyDescent="0.25"/>
  <cols>
    <col min="1" max="6" width="8.77734375" style="904"/>
    <col min="7" max="7" width="11" style="904" bestFit="1" customWidth="1"/>
    <col min="8" max="10" width="8.77734375" style="904"/>
    <col min="11" max="11" width="11" style="904" customWidth="1"/>
    <col min="12" max="16" width="1" style="904" customWidth="1"/>
    <col min="17" max="17" width="13.77734375" style="904" bestFit="1" customWidth="1"/>
    <col min="18" max="21" width="8.77734375" style="904"/>
    <col min="22" max="22" width="10.77734375" style="904" customWidth="1"/>
    <col min="23" max="35" width="8.77734375" style="904"/>
    <col min="36" max="36" width="11.21875" style="904" customWidth="1"/>
    <col min="37" max="41" width="1.5546875" style="904" customWidth="1"/>
    <col min="42" max="42" width="12.5546875" style="904" bestFit="1" customWidth="1"/>
    <col min="43" max="46" width="8.77734375" style="904"/>
    <col min="47" max="47" width="10.77734375" style="904" customWidth="1"/>
    <col min="48" max="55" width="8.77734375" style="904"/>
    <col min="56" max="56" width="10.21875" style="904" customWidth="1"/>
    <col min="57" max="58" width="8.77734375" style="904"/>
    <col min="59" max="59" width="9.21875" style="904" customWidth="1"/>
    <col min="60" max="60" width="8.77734375" style="904"/>
    <col min="61" max="61" width="12.21875" style="904" customWidth="1"/>
    <col min="62" max="66" width="1.5546875" style="904" customWidth="1"/>
    <col min="67" max="67" width="10.21875" style="904" customWidth="1"/>
    <col min="68" max="71" width="8.77734375" style="904"/>
    <col min="72" max="72" width="12.21875" style="904" customWidth="1"/>
    <col min="73" max="85" width="8.77734375" style="904"/>
    <col min="86" max="86" width="11.77734375" style="904" customWidth="1"/>
    <col min="87" max="91" width="1.5546875" style="904" customWidth="1"/>
    <col min="92" max="96" width="8.77734375" style="904"/>
    <col min="97" max="97" width="12.5546875" style="904" customWidth="1"/>
    <col min="98" max="110" width="8.77734375" style="904"/>
    <col min="111" max="111" width="11.44140625" style="904" customWidth="1"/>
    <col min="112" max="116" width="3" style="904" customWidth="1"/>
    <col min="117" max="121" width="8.77734375" style="904"/>
    <col min="122" max="122" width="12.44140625" style="904" customWidth="1"/>
    <col min="123" max="16384" width="8.77734375" style="904"/>
  </cols>
  <sheetData>
    <row r="10" spans="1:123" x14ac:dyDescent="0.25">
      <c r="A10" s="904" t="s">
        <v>499</v>
      </c>
      <c r="B10" s="902" t="s">
        <v>494</v>
      </c>
      <c r="CC10" s="904" t="s">
        <v>578</v>
      </c>
    </row>
    <row r="11" spans="1:123" ht="14.4" thickBot="1" x14ac:dyDescent="0.3"/>
    <row r="12" spans="1:123" x14ac:dyDescent="0.25">
      <c r="E12" s="1248" t="s">
        <v>511</v>
      </c>
      <c r="F12" s="1249"/>
      <c r="G12" s="1249"/>
      <c r="H12" s="1249"/>
      <c r="I12" s="1249"/>
      <c r="J12" s="1249"/>
      <c r="K12" s="1249"/>
      <c r="L12" s="1249"/>
      <c r="M12" s="1249"/>
      <c r="N12" s="1249"/>
      <c r="O12" s="1249"/>
      <c r="P12" s="1249"/>
      <c r="Q12" s="1249"/>
      <c r="R12" s="1249"/>
      <c r="S12" s="1249"/>
      <c r="T12" s="1249"/>
      <c r="U12" s="1249"/>
      <c r="V12" s="1249"/>
      <c r="W12" s="1250"/>
      <c r="AD12" s="1248" t="s">
        <v>516</v>
      </c>
      <c r="AE12" s="1249"/>
      <c r="AF12" s="1249"/>
      <c r="AG12" s="1249"/>
      <c r="AH12" s="1249"/>
      <c r="AI12" s="1249"/>
      <c r="AJ12" s="1249"/>
      <c r="AK12" s="1249"/>
      <c r="AL12" s="1249"/>
      <c r="AM12" s="1249"/>
      <c r="AN12" s="1249"/>
      <c r="AO12" s="1249"/>
      <c r="AP12" s="1249"/>
      <c r="AQ12" s="1249"/>
      <c r="AR12" s="1249"/>
      <c r="AS12" s="1249"/>
      <c r="AT12" s="1249"/>
      <c r="AU12" s="1249"/>
      <c r="AV12" s="1250"/>
      <c r="BC12" s="1248" t="s">
        <v>517</v>
      </c>
      <c r="BD12" s="1249"/>
      <c r="BE12" s="1249"/>
      <c r="BF12" s="1249"/>
      <c r="BG12" s="1249"/>
      <c r="BH12" s="1249"/>
      <c r="BI12" s="1249"/>
      <c r="BJ12" s="1249"/>
      <c r="BK12" s="1249"/>
      <c r="BL12" s="1249"/>
      <c r="BM12" s="1249"/>
      <c r="BN12" s="1249"/>
      <c r="BO12" s="1249"/>
      <c r="BP12" s="1249"/>
      <c r="BQ12" s="1249"/>
      <c r="BR12" s="1249"/>
      <c r="BS12" s="1249"/>
      <c r="BT12" s="1249"/>
      <c r="BU12" s="1250"/>
      <c r="CB12" s="1248" t="s">
        <v>533</v>
      </c>
      <c r="CC12" s="1249"/>
      <c r="CD12" s="1249"/>
      <c r="CE12" s="1249"/>
      <c r="CF12" s="1249"/>
      <c r="CG12" s="1249"/>
      <c r="CH12" s="1249"/>
      <c r="CI12" s="1249"/>
      <c r="CJ12" s="1249"/>
      <c r="CK12" s="1249"/>
      <c r="CL12" s="1249"/>
      <c r="CM12" s="1249"/>
      <c r="CN12" s="1249"/>
      <c r="CO12" s="1249"/>
      <c r="CP12" s="1249"/>
      <c r="CQ12" s="1249"/>
      <c r="CR12" s="1249"/>
      <c r="CS12" s="1249"/>
      <c r="CT12" s="1250"/>
      <c r="DA12" s="1248" t="s">
        <v>535</v>
      </c>
      <c r="DB12" s="1249"/>
      <c r="DC12" s="1249"/>
      <c r="DD12" s="1249"/>
      <c r="DE12" s="1249"/>
      <c r="DF12" s="1249"/>
      <c r="DG12" s="1249"/>
      <c r="DH12" s="1250"/>
      <c r="DL12" s="1248" t="s">
        <v>536</v>
      </c>
      <c r="DM12" s="1249"/>
      <c r="DN12" s="1249"/>
      <c r="DO12" s="1249"/>
      <c r="DP12" s="1249"/>
      <c r="DQ12" s="1249"/>
      <c r="DR12" s="1249"/>
      <c r="DS12" s="1250"/>
    </row>
    <row r="13" spans="1:123" ht="14.4" thickBot="1" x14ac:dyDescent="0.3">
      <c r="E13" s="1251"/>
      <c r="F13" s="1252"/>
      <c r="G13" s="1252"/>
      <c r="H13" s="1252"/>
      <c r="I13" s="1252"/>
      <c r="J13" s="1252"/>
      <c r="K13" s="1252"/>
      <c r="L13" s="1252"/>
      <c r="M13" s="1252"/>
      <c r="N13" s="1252"/>
      <c r="O13" s="1252"/>
      <c r="P13" s="1252"/>
      <c r="Q13" s="1252"/>
      <c r="R13" s="1252"/>
      <c r="S13" s="1252"/>
      <c r="T13" s="1252"/>
      <c r="U13" s="1252"/>
      <c r="V13" s="1252"/>
      <c r="W13" s="1253"/>
      <c r="AD13" s="1251"/>
      <c r="AE13" s="1252"/>
      <c r="AF13" s="1252"/>
      <c r="AG13" s="1252"/>
      <c r="AH13" s="1252"/>
      <c r="AI13" s="1252"/>
      <c r="AJ13" s="1252"/>
      <c r="AK13" s="1252"/>
      <c r="AL13" s="1252"/>
      <c r="AM13" s="1252"/>
      <c r="AN13" s="1252"/>
      <c r="AO13" s="1252"/>
      <c r="AP13" s="1252"/>
      <c r="AQ13" s="1252"/>
      <c r="AR13" s="1252"/>
      <c r="AS13" s="1252"/>
      <c r="AT13" s="1252"/>
      <c r="AU13" s="1252"/>
      <c r="AV13" s="1253"/>
      <c r="BC13" s="1251"/>
      <c r="BD13" s="1252"/>
      <c r="BE13" s="1252"/>
      <c r="BF13" s="1252"/>
      <c r="BG13" s="1252"/>
      <c r="BH13" s="1252"/>
      <c r="BI13" s="1252"/>
      <c r="BJ13" s="1252"/>
      <c r="BK13" s="1252"/>
      <c r="BL13" s="1252"/>
      <c r="BM13" s="1252"/>
      <c r="BN13" s="1252"/>
      <c r="BO13" s="1252"/>
      <c r="BP13" s="1252"/>
      <c r="BQ13" s="1252"/>
      <c r="BR13" s="1252"/>
      <c r="BS13" s="1252"/>
      <c r="BT13" s="1252"/>
      <c r="BU13" s="1253"/>
      <c r="CB13" s="1251"/>
      <c r="CC13" s="1252"/>
      <c r="CD13" s="1252"/>
      <c r="CE13" s="1252"/>
      <c r="CF13" s="1252"/>
      <c r="CG13" s="1252"/>
      <c r="CH13" s="1252"/>
      <c r="CI13" s="1252"/>
      <c r="CJ13" s="1252"/>
      <c r="CK13" s="1252"/>
      <c r="CL13" s="1252"/>
      <c r="CM13" s="1252"/>
      <c r="CN13" s="1252"/>
      <c r="CO13" s="1252"/>
      <c r="CP13" s="1252"/>
      <c r="CQ13" s="1252"/>
      <c r="CR13" s="1252"/>
      <c r="CS13" s="1252"/>
      <c r="CT13" s="1253"/>
      <c r="DA13" s="1251"/>
      <c r="DB13" s="1252"/>
      <c r="DC13" s="1252"/>
      <c r="DD13" s="1252"/>
      <c r="DE13" s="1252"/>
      <c r="DF13" s="1252"/>
      <c r="DG13" s="1252"/>
      <c r="DH13" s="1253"/>
      <c r="DL13" s="1251"/>
      <c r="DM13" s="1252"/>
      <c r="DN13" s="1252"/>
      <c r="DO13" s="1252"/>
      <c r="DP13" s="1252"/>
      <c r="DQ13" s="1252"/>
      <c r="DR13" s="1252"/>
      <c r="DS13" s="1253"/>
    </row>
    <row r="14" spans="1:123" x14ac:dyDescent="0.25">
      <c r="E14" s="905"/>
      <c r="F14" s="906"/>
      <c r="G14" s="906"/>
      <c r="H14" s="906"/>
      <c r="I14" s="906"/>
      <c r="J14" s="906"/>
      <c r="K14" s="906"/>
      <c r="L14" s="906"/>
      <c r="M14" s="906"/>
      <c r="N14" s="906"/>
      <c r="O14" s="906"/>
      <c r="P14" s="906"/>
      <c r="Q14" s="906"/>
      <c r="R14" s="906"/>
      <c r="S14" s="906"/>
      <c r="T14" s="906"/>
      <c r="U14" s="906"/>
      <c r="V14" s="906"/>
      <c r="W14" s="907"/>
      <c r="AD14" s="905"/>
      <c r="AE14" s="906"/>
      <c r="AF14" s="906"/>
      <c r="AG14" s="906"/>
      <c r="AH14" s="906"/>
      <c r="AI14" s="906"/>
      <c r="AJ14" s="906"/>
      <c r="AK14" s="906"/>
      <c r="AL14" s="906"/>
      <c r="AM14" s="906"/>
      <c r="AN14" s="906"/>
      <c r="AO14" s="906"/>
      <c r="AP14" s="906"/>
      <c r="AQ14" s="906"/>
      <c r="AR14" s="906"/>
      <c r="AS14" s="906"/>
      <c r="AT14" s="906"/>
      <c r="AU14" s="906"/>
      <c r="AV14" s="907"/>
      <c r="BC14" s="921"/>
      <c r="BD14" s="922"/>
      <c r="BE14" s="922"/>
      <c r="BF14" s="922"/>
      <c r="BG14" s="922"/>
      <c r="BH14" s="922"/>
      <c r="BI14" s="922"/>
      <c r="BJ14" s="922"/>
      <c r="BK14" s="922"/>
      <c r="BL14" s="922"/>
      <c r="BM14" s="922"/>
      <c r="BN14" s="922"/>
      <c r="BO14" s="922"/>
      <c r="BP14" s="922"/>
      <c r="BQ14" s="922"/>
      <c r="BR14" s="922"/>
      <c r="BS14" s="922"/>
      <c r="BT14" s="922"/>
      <c r="BU14" s="923"/>
      <c r="CB14" s="905"/>
      <c r="CT14" s="907"/>
      <c r="DA14" s="905"/>
      <c r="DH14" s="907"/>
      <c r="DL14" s="905"/>
      <c r="DS14" s="907"/>
    </row>
    <row r="15" spans="1:123" ht="12.75" customHeight="1" x14ac:dyDescent="0.25">
      <c r="E15" s="905"/>
      <c r="F15" s="1254" t="s">
        <v>512</v>
      </c>
      <c r="G15" s="1254"/>
      <c r="H15" s="1254"/>
      <c r="I15" s="1254"/>
      <c r="J15" s="1254"/>
      <c r="K15" s="1254"/>
      <c r="R15" s="1254" t="s">
        <v>513</v>
      </c>
      <c r="S15" s="1254"/>
      <c r="T15" s="1254"/>
      <c r="U15" s="1254"/>
      <c r="V15" s="1254"/>
      <c r="W15" s="907"/>
      <c r="AD15" s="905"/>
      <c r="AE15" s="1247" t="s">
        <v>514</v>
      </c>
      <c r="AF15" s="1247"/>
      <c r="AG15" s="1247"/>
      <c r="AH15" s="1247"/>
      <c r="AI15" s="1247"/>
      <c r="AJ15" s="1247"/>
      <c r="AQ15" s="1254" t="s">
        <v>515</v>
      </c>
      <c r="AR15" s="1254"/>
      <c r="AS15" s="1254"/>
      <c r="AT15" s="1254"/>
      <c r="AU15" s="1254"/>
      <c r="AV15" s="907"/>
      <c r="BC15" s="921"/>
      <c r="BD15" s="1247" t="s">
        <v>508</v>
      </c>
      <c r="BE15" s="1247"/>
      <c r="BF15" s="1247"/>
      <c r="BG15" s="1247"/>
      <c r="BH15" s="1247"/>
      <c r="BI15" s="1247"/>
      <c r="BJ15" s="924"/>
      <c r="BK15" s="924"/>
      <c r="BL15" s="924"/>
      <c r="BM15" s="924"/>
      <c r="BN15" s="924"/>
      <c r="BO15" s="924"/>
      <c r="BP15" s="1254" t="s">
        <v>152</v>
      </c>
      <c r="BQ15" s="1254"/>
      <c r="BR15" s="1254"/>
      <c r="BS15" s="1254"/>
      <c r="BT15" s="1254"/>
      <c r="BU15" s="923"/>
      <c r="CB15" s="905"/>
      <c r="CC15" s="1254" t="s">
        <v>530</v>
      </c>
      <c r="CD15" s="1254"/>
      <c r="CE15" s="1254"/>
      <c r="CF15" s="1254"/>
      <c r="CG15" s="1254"/>
      <c r="CH15" s="1254"/>
      <c r="CN15" s="1254" t="s">
        <v>532</v>
      </c>
      <c r="CO15" s="1254"/>
      <c r="CP15" s="1254"/>
      <c r="CQ15" s="1254"/>
      <c r="CR15" s="1254"/>
      <c r="CS15" s="1254"/>
      <c r="CT15" s="907"/>
      <c r="DA15" s="905"/>
      <c r="DB15" s="1254" t="s">
        <v>534</v>
      </c>
      <c r="DC15" s="1254"/>
      <c r="DD15" s="1254"/>
      <c r="DE15" s="1254"/>
      <c r="DF15" s="1254"/>
      <c r="DG15" s="1254"/>
      <c r="DH15" s="907"/>
      <c r="DL15" s="905"/>
      <c r="DM15" s="1254" t="s">
        <v>546</v>
      </c>
      <c r="DN15" s="1254"/>
      <c r="DO15" s="1254"/>
      <c r="DP15" s="1254"/>
      <c r="DQ15" s="1254"/>
      <c r="DR15" s="1254"/>
      <c r="DS15" s="907"/>
    </row>
    <row r="16" spans="1:123" x14ac:dyDescent="0.25">
      <c r="E16" s="905"/>
      <c r="F16" s="1255" t="s">
        <v>509</v>
      </c>
      <c r="G16" s="1255" t="s">
        <v>505</v>
      </c>
      <c r="H16" s="1255" t="s">
        <v>506</v>
      </c>
      <c r="I16" s="1255" t="s">
        <v>504</v>
      </c>
      <c r="J16" s="1255" t="s">
        <v>507</v>
      </c>
      <c r="K16" s="1256" t="s">
        <v>510</v>
      </c>
      <c r="Q16" s="1255" t="s">
        <v>509</v>
      </c>
      <c r="R16" s="1255" t="s">
        <v>505</v>
      </c>
      <c r="S16" s="1255" t="s">
        <v>506</v>
      </c>
      <c r="T16" s="1255" t="s">
        <v>504</v>
      </c>
      <c r="U16" s="1255" t="s">
        <v>507</v>
      </c>
      <c r="V16" s="1256" t="s">
        <v>510</v>
      </c>
      <c r="W16" s="907"/>
      <c r="AD16" s="905"/>
      <c r="AE16" s="1255" t="s">
        <v>509</v>
      </c>
      <c r="AF16" s="1255" t="s">
        <v>505</v>
      </c>
      <c r="AG16" s="1255" t="s">
        <v>506</v>
      </c>
      <c r="AH16" s="1255" t="s">
        <v>504</v>
      </c>
      <c r="AI16" s="1255" t="s">
        <v>507</v>
      </c>
      <c r="AJ16" s="1256" t="s">
        <v>510</v>
      </c>
      <c r="AP16" s="1255" t="s">
        <v>509</v>
      </c>
      <c r="AQ16" s="1255" t="s">
        <v>505</v>
      </c>
      <c r="AR16" s="1255" t="s">
        <v>506</v>
      </c>
      <c r="AS16" s="1255" t="s">
        <v>504</v>
      </c>
      <c r="AT16" s="1255" t="s">
        <v>507</v>
      </c>
      <c r="AU16" s="1256" t="s">
        <v>510</v>
      </c>
      <c r="AV16" s="907"/>
      <c r="BC16" s="905"/>
      <c r="BD16" s="1255" t="s">
        <v>509</v>
      </c>
      <c r="BE16" s="1255" t="s">
        <v>505</v>
      </c>
      <c r="BF16" s="1255" t="s">
        <v>506</v>
      </c>
      <c r="BG16" s="1255" t="s">
        <v>504</v>
      </c>
      <c r="BH16" s="1255" t="s">
        <v>507</v>
      </c>
      <c r="BI16" s="1256" t="s">
        <v>510</v>
      </c>
      <c r="BO16" s="1255" t="s">
        <v>509</v>
      </c>
      <c r="BP16" s="1255" t="s">
        <v>505</v>
      </c>
      <c r="BQ16" s="1255" t="s">
        <v>506</v>
      </c>
      <c r="BR16" s="1255" t="s">
        <v>504</v>
      </c>
      <c r="BS16" s="1255" t="s">
        <v>507</v>
      </c>
      <c r="BT16" s="1256" t="s">
        <v>510</v>
      </c>
      <c r="BU16" s="907"/>
      <c r="CB16" s="905"/>
      <c r="CC16" s="1255" t="s">
        <v>509</v>
      </c>
      <c r="CD16" s="1255" t="s">
        <v>505</v>
      </c>
      <c r="CE16" s="1255" t="s">
        <v>506</v>
      </c>
      <c r="CF16" s="1255" t="s">
        <v>504</v>
      </c>
      <c r="CG16" s="1255" t="s">
        <v>507</v>
      </c>
      <c r="CH16" s="1256" t="s">
        <v>510</v>
      </c>
      <c r="CN16" s="1255" t="s">
        <v>509</v>
      </c>
      <c r="CO16" s="1255" t="s">
        <v>505</v>
      </c>
      <c r="CP16" s="1255" t="s">
        <v>506</v>
      </c>
      <c r="CQ16" s="1255" t="s">
        <v>504</v>
      </c>
      <c r="CR16" s="1255" t="s">
        <v>507</v>
      </c>
      <c r="CS16" s="1256" t="s">
        <v>510</v>
      </c>
      <c r="CT16" s="907"/>
      <c r="DA16" s="905"/>
      <c r="DB16" s="1255" t="s">
        <v>509</v>
      </c>
      <c r="DC16" s="1255" t="s">
        <v>505</v>
      </c>
      <c r="DD16" s="1255" t="s">
        <v>506</v>
      </c>
      <c r="DE16" s="1255" t="s">
        <v>504</v>
      </c>
      <c r="DF16" s="1255" t="s">
        <v>507</v>
      </c>
      <c r="DG16" s="1256" t="s">
        <v>510</v>
      </c>
      <c r="DH16" s="907"/>
      <c r="DL16" s="905"/>
      <c r="DM16" s="1255" t="s">
        <v>509</v>
      </c>
      <c r="DN16" s="1255" t="s">
        <v>505</v>
      </c>
      <c r="DO16" s="1255" t="s">
        <v>506</v>
      </c>
      <c r="DP16" s="1255" t="s">
        <v>504</v>
      </c>
      <c r="DQ16" s="1255" t="s">
        <v>507</v>
      </c>
      <c r="DR16" s="1256" t="s">
        <v>510</v>
      </c>
      <c r="DS16" s="907"/>
    </row>
    <row r="17" spans="5:123" x14ac:dyDescent="0.25">
      <c r="E17" s="905"/>
      <c r="F17" s="1255"/>
      <c r="G17" s="1255"/>
      <c r="H17" s="1255"/>
      <c r="I17" s="1255"/>
      <c r="J17" s="1255"/>
      <c r="K17" s="1256"/>
      <c r="Q17" s="1255"/>
      <c r="R17" s="1255"/>
      <c r="S17" s="1255"/>
      <c r="T17" s="1255"/>
      <c r="U17" s="1255"/>
      <c r="V17" s="1256"/>
      <c r="W17" s="907"/>
      <c r="AD17" s="905"/>
      <c r="AE17" s="1255"/>
      <c r="AF17" s="1255"/>
      <c r="AG17" s="1255"/>
      <c r="AH17" s="1255"/>
      <c r="AI17" s="1255"/>
      <c r="AJ17" s="1256"/>
      <c r="AP17" s="1255"/>
      <c r="AQ17" s="1255"/>
      <c r="AR17" s="1255"/>
      <c r="AS17" s="1255"/>
      <c r="AT17" s="1255"/>
      <c r="AU17" s="1256"/>
      <c r="AV17" s="907"/>
      <c r="BC17" s="905"/>
      <c r="BD17" s="1255"/>
      <c r="BE17" s="1255"/>
      <c r="BF17" s="1255"/>
      <c r="BG17" s="1255"/>
      <c r="BH17" s="1255"/>
      <c r="BI17" s="1256"/>
      <c r="BO17" s="1255"/>
      <c r="BP17" s="1255"/>
      <c r="BQ17" s="1255"/>
      <c r="BR17" s="1255"/>
      <c r="BS17" s="1255"/>
      <c r="BT17" s="1256"/>
      <c r="BU17" s="907"/>
      <c r="CB17" s="905"/>
      <c r="CC17" s="1255"/>
      <c r="CD17" s="1255"/>
      <c r="CE17" s="1255"/>
      <c r="CF17" s="1255"/>
      <c r="CG17" s="1255"/>
      <c r="CH17" s="1256"/>
      <c r="CN17" s="1255"/>
      <c r="CO17" s="1255"/>
      <c r="CP17" s="1255"/>
      <c r="CQ17" s="1255"/>
      <c r="CR17" s="1255"/>
      <c r="CS17" s="1256"/>
      <c r="CT17" s="907"/>
      <c r="DA17" s="905"/>
      <c r="DB17" s="1255"/>
      <c r="DC17" s="1255"/>
      <c r="DD17" s="1255"/>
      <c r="DE17" s="1255"/>
      <c r="DF17" s="1255"/>
      <c r="DG17" s="1256"/>
      <c r="DH17" s="907"/>
      <c r="DL17" s="905"/>
      <c r="DM17" s="1255"/>
      <c r="DN17" s="1255"/>
      <c r="DO17" s="1255"/>
      <c r="DP17" s="1255"/>
      <c r="DQ17" s="1255"/>
      <c r="DR17" s="1256"/>
      <c r="DS17" s="907"/>
    </row>
    <row r="18" spans="5:123" ht="19.5" customHeight="1" x14ac:dyDescent="0.25">
      <c r="E18" s="905"/>
      <c r="F18" s="908">
        <f>IF(ID!H68=0,0.000001,ID!H68)</f>
        <v>9.9999999999999995E-7</v>
      </c>
      <c r="G18" s="909">
        <f>IF(INDEX('DATA 1'!$C$6:$C$14,MATCH(F18,'DATA 1'!$B$6:$B$14,1)+1)=0,0.000001,INDEX('DATA 1'!$C$6:$C$14,MATCH(F18,'DATA 1'!$B$6:$B$14,1)))</f>
        <v>0</v>
      </c>
      <c r="H18" s="909">
        <f>IF(INDEX('DATA 1'!$C$6:$C$14,MATCH(F18,'DATA 1'!$B$6:$B$14,1)+1)=0,0.000001,INDEX('DATA 1'!$C$6:$C$14,MATCH(F18,'DATA 1'!$B$6:$B$14,1)+1))</f>
        <v>-0.1</v>
      </c>
      <c r="I18" s="912">
        <f>INDEX('DATA 1'!$B$6:$B$14,MATCH(F18,'DATA 1'!$B$6:$B$14,1))</f>
        <v>0</v>
      </c>
      <c r="J18" s="767">
        <f>INDEX('DATA 1'!$B$6:$B$14,MATCH(F18,'DATA 1'!$B$6:$B$14,1)+1)</f>
        <v>50</v>
      </c>
      <c r="K18" s="767">
        <f>(((F18-I18)*(H18-G18))/(J18-I18))+G18</f>
        <v>-1.9999999999999997E-9</v>
      </c>
      <c r="Q18" s="908">
        <f>IF(ID!I68=0,0.000001,ID!I68)</f>
        <v>9.9999999999999995E-7</v>
      </c>
      <c r="R18" s="903">
        <f>IF(INDEX('DATA 1'!$F$6:$F$14,MATCH(Q18,'DATA 1'!$B$6:$B$14,1)+1)=0,0.000001,INDEX('DATA 1'!$F$6:$F$14,MATCH(Q18,'DATA 1'!$B$6:$B$14,1)))</f>
        <v>0</v>
      </c>
      <c r="S18" s="903">
        <f>IF(INDEX('DATA 1'!$F$6:$F$14,MATCH(Q18,'DATA 1'!$B$6:$B$14,1)+1)=0,0.0000001,INDEX('DATA 1'!$F$6:$F$14,MATCH(Q18,'DATA 1'!$B$6:$B$14,1)+1))</f>
        <v>-0.3</v>
      </c>
      <c r="T18" s="913">
        <f>INDEX('DATA 1'!$B$6:$B$14,MATCH(Q18,'DATA 1'!$B$6:$B$14,1))</f>
        <v>0</v>
      </c>
      <c r="U18" s="911">
        <f>INDEX('DATA 1'!$B$6:$B$14,MATCH(Q18,'DATA 1'!$B$6:$B$14,1)+1)</f>
        <v>50</v>
      </c>
      <c r="V18" s="767">
        <f>(((Q18-T18)*(S18-R18))/(U18-T18))+R18</f>
        <v>-6E-9</v>
      </c>
      <c r="W18" s="907"/>
      <c r="AD18" s="905"/>
      <c r="AE18" s="908">
        <f>IF('BUDGET NAIK'!$C$9=0,0.000001,'BUDGET NAIK'!$C$9)</f>
        <v>9.9999999999999995E-7</v>
      </c>
      <c r="AF18" s="909">
        <f>IF(INDEX('DATA 1'!$D$6:$D$14,MATCH(AE18,'DATA 1'!$B$6:$B$14,1)+1)=0,0.000001,INDEX('DATA 1'!$D$6:$D$14,MATCH(AE18,'DATA 1'!$B$6:$B$14,1)))</f>
        <v>0.4</v>
      </c>
      <c r="AG18" s="909">
        <f>IF(INDEX('DATA 1'!$D$6:$D$14,MATCH(AE18,'DATA 1'!$B$6:$B$14,1)+1)=0,0.000001,INDEX('DATA 1'!$D$6:$D$14,MATCH(AE18,'DATA 1'!$B$6:$B$14,1)+1))</f>
        <v>0.4</v>
      </c>
      <c r="AH18" s="912">
        <f>INDEX('DATA 1'!$B$6:$B$14,MATCH(AE18,'DATA 1'!$B$6:$B$14,1))</f>
        <v>0</v>
      </c>
      <c r="AI18" s="767">
        <f>INDEX('DATA 1'!$B$6:$B$14,MATCH(AE18,'DATA 1'!$B$6:$B$14,1)+1)</f>
        <v>50</v>
      </c>
      <c r="AJ18" s="767">
        <f>(((AE18-AH18)*(AG18-AF18))/(AI18-AH18))+AF18</f>
        <v>0.4</v>
      </c>
      <c r="AP18" s="908">
        <f>IF('BUDGET TURUN'!$C$9=0,0.000001,'BUDGET TURUN'!$C$9)</f>
        <v>9.9999999999999995E-7</v>
      </c>
      <c r="AQ18" s="903">
        <f>IF(INDEX('DATA 1'!$G$6:$G$14,MATCH(AP18,'DATA 1'!$B$6:$B$14,1)+1)=0,0.000001,INDEX('DATA 1'!$G$6:$G$14,MATCH(AP18,'DATA 1'!$B$6:$B$14,1)))</f>
        <v>0.4</v>
      </c>
      <c r="AR18" s="903">
        <f>IF(INDEX('DATA 1'!$G$6:$G$14,MATCH(AP18,'DATA 1'!$B$6:$B$14,1)+1)=0,0.000001,INDEX('DATA 1'!$G$6:$G$14,MATCH(AP18,'DATA 1'!$B$6:$B$14,1)+1))</f>
        <v>0.4</v>
      </c>
      <c r="AS18" s="913">
        <f>INDEX('DATA 1'!$B$6:$B$14,MATCH(AP18,'DATA 1'!$B$6:$B$14,1))</f>
        <v>0</v>
      </c>
      <c r="AT18" s="911">
        <f>INDEX('DATA 1'!$B$6:$B$14,MATCH(AP18,'DATA 1'!$B$6:$B$14,1)+1)</f>
        <v>50</v>
      </c>
      <c r="AU18" s="767">
        <f>(((AP18-AS18)*(AR18-AQ18))/(AT18-AS18))+AQ18</f>
        <v>0.4</v>
      </c>
      <c r="AV18" s="907"/>
      <c r="BC18" s="905"/>
      <c r="BD18" s="908">
        <f>IF('BUDGET NAIK'!$C$9=0,0.000001,'BUDGET NAIK'!$C$9)</f>
        <v>9.9999999999999995E-7</v>
      </c>
      <c r="BE18" s="909">
        <f>IF(INDEX('DATA 1'!$E$6:$E$14,MATCH(BD18,'DATA 1'!$B$6:$B$14,1)+1)=0,0.000001,INDEX('DATA 1'!$E$6:$E$14,MATCH(BD18,'DATA 1'!$B$6:$B$14,1)))</f>
        <v>0</v>
      </c>
      <c r="BF18" s="909">
        <f>IF(INDEX('DATA 1'!$E$6:$E$14,MATCH(BD18,'DATA 1'!$B$6:$B$14,1)+1)=0,0.000001,INDEX('DATA 1'!$E$6:$E$14,MATCH(BD18,'DATA 1'!$B$6:$B$14,1)+1))</f>
        <v>0.1</v>
      </c>
      <c r="BG18" s="912">
        <f>INDEX('DATA 1'!$B$6:$B$14,MATCH(BD18,'DATA 1'!$B$6:$B$14,1))</f>
        <v>0</v>
      </c>
      <c r="BH18" s="767">
        <f>INDEX('DATA 1'!$B$6:$B$14,MATCH(BD18,'DATA 1'!$B$6:$B$14,1)+1)</f>
        <v>50</v>
      </c>
      <c r="BI18" s="767">
        <f>(((BD18-BG18)*(BF18-BE18))/(BH18-BG18))+BE18</f>
        <v>1.9999999999999997E-9</v>
      </c>
      <c r="BO18" s="908">
        <f>IF('BUDGET TURUN'!$C$9=0,0.000001,'BUDGET TURUN'!$C$9)</f>
        <v>9.9999999999999995E-7</v>
      </c>
      <c r="BP18" s="903">
        <f>IF(INDEX('DATA 1'!$H$6:$H$14,MATCH(BO18,'DATA 1'!$B$6:$B$14,1)+1)=0,0.000001,INDEX('DATA 1'!$H$6:$H$14,MATCH(BO18,'DATA 1'!$B$6:$B$14,1)))</f>
        <v>0</v>
      </c>
      <c r="BQ18" s="903">
        <f>IF(INDEX('DATA 1'!$H$6:$H$14,MATCH(BO18,'DATA 1'!$B$6:$B$14,1)+1)=0,0.000001,INDEX('DATA 1'!$H$6:$H$14,MATCH(BO18,'DATA 1'!$B$6:$B$14,1)+1))</f>
        <v>0.25</v>
      </c>
      <c r="BR18" s="913">
        <f>INDEX('DATA 1'!$B$6:$B$14,MATCH(BO18,'DATA 1'!$B$6:$B$14,1))</f>
        <v>0</v>
      </c>
      <c r="BS18" s="911">
        <f>INDEX('DATA 1'!$B$6:$B$14,MATCH(BO18,'DATA 1'!$B$6:$B$14,1)+1)</f>
        <v>50</v>
      </c>
      <c r="BT18" s="767">
        <f>(((BO18-BR18)*(BQ18-BP18))/(BS18-BR18))+BP18</f>
        <v>5.0000000000000001E-9</v>
      </c>
      <c r="BU18" s="907"/>
      <c r="CB18" s="905"/>
      <c r="CC18" s="908">
        <f>IF(ID!B22=0,0.000001,ID!B22)</f>
        <v>22.5</v>
      </c>
      <c r="CD18" s="909">
        <f>IF(INDEX('DATA 1'!$K$6:$K$12,MATCH(CC18,'DATA 1'!$J$6:$J$12,1)+1)=0,0.000001,INDEX('DATA 1'!$K$6:$K$12,MATCH(CC18,'DATA 1'!$J$6:$J$12,1)))</f>
        <v>0.2</v>
      </c>
      <c r="CE18" s="909">
        <f>IF(INDEX('DATA 1'!$K$6:$K$12,MATCH(CC18,'DATA 1'!$J$6:$J$12)+1)=0,0.000001,INDEX('DATA 1'!$K$6:$K$12,MATCH(CC18,'DATA 1'!$J$6:$J$12,1)+1))</f>
        <v>0.1</v>
      </c>
      <c r="CF18" s="910">
        <f>IF(INDEX('DATA 1'!$J$6:$J$12,MATCH(CC18,'DATA 1'!$J$6:$J$12,1)+1)=0,0.000001,INDEX('DATA 1'!$J$6:$J$12,MATCH(CC18,'DATA 1'!$J$6:$J$12,1)))</f>
        <v>20</v>
      </c>
      <c r="CG18" s="767">
        <f>INDEX('DATA 1'!$J$6:$J$12,MATCH(CC18,'DATA 1'!$J$6:$J$12,1)+1)</f>
        <v>25</v>
      </c>
      <c r="CH18" s="767">
        <f>(((CC18-CF18)*(CE18-CD18))/(CG18-CF18))+CD18</f>
        <v>0.15000000000000002</v>
      </c>
      <c r="CN18" s="908">
        <f>IF(ID!B23=0,0.000001,ID!B23)</f>
        <v>55.9</v>
      </c>
      <c r="CO18" s="909">
        <f>IF(INDEX('DATA 1'!$N$6:$N$12,MATCH(CN18,'DATA 1'!$M$6:$M$12,1)+1)=0,0.000001,INDEX('DATA 1'!$N$6:$N$12,MATCH(CN18,'DATA 1'!$M$6:$M$12,1)))</f>
        <v>-3.1</v>
      </c>
      <c r="CP18" s="909">
        <f>IF(INDEX('DATA 1'!$N$6:$N$12,MATCH(CN18,'DATA 1'!$M$6:$M$12)+1)=0,0.000001,INDEX('DATA 1'!$N$6:$N$12,MATCH(CN18,'DATA 1'!$M$6:$M$12,1)+1))</f>
        <v>-2.1</v>
      </c>
      <c r="CQ18" s="910">
        <f>IF(INDEX('DATA 1'!$M$6:$M$12,MATCH(CN18,'DATA 1'!$M$6:$M$12,1)+1)=0,0.000001,INDEX('DATA 1'!$M$6:$M$12,MATCH(CN18,'DATA 1'!$M$6:$M$12,1)))</f>
        <v>50</v>
      </c>
      <c r="CR18" s="767">
        <f>INDEX('DATA 1'!$M$6:$M$12,MATCH(CN18,'DATA 1'!$M$6:$M$12,1)+1)</f>
        <v>60</v>
      </c>
      <c r="CS18" s="767">
        <f>(((CN18-CQ18)*(CP18-CO18))/(CR18-CQ18))+CO18</f>
        <v>-2.5100000000000002</v>
      </c>
      <c r="CT18" s="907"/>
      <c r="DA18" s="905"/>
      <c r="DB18" s="908">
        <f>IF(ID!B43=0,0.000001,ID!B43)</f>
        <v>27.7</v>
      </c>
      <c r="DC18" s="909">
        <f>IF(INDEX('DATA 1'!$F$6:$F$14,MATCH(DB18,'DATA 1'!$B$6:$B$14,1)+1)=0,0.000001,INDEX('DATA 1'!$F$6:$F$14,MATCH(DB18,'DATA 1'!$B$6:$B$14,1)))</f>
        <v>0</v>
      </c>
      <c r="DD18" s="909">
        <f>IF(INDEX('DATA 1'!$F$6:$F$14,MATCH(DB18,'DATA 1'!$B$6:$B$14)+1)=0,0.000001,INDEX('DATA 1'!$F$6:$F$14,MATCH(DB18,'DATA 1'!$B$6:$B$14,1)+1))</f>
        <v>-0.3</v>
      </c>
      <c r="DE18" s="910">
        <f>IF(INDEX('DATA 1'!$B$6:$B$14,MATCH(DB18,'DATA 1'!$B$6:$B$14,1)+1)=0,0.000001,INDEX('DATA 1'!$B$6:$B$14,MATCH(DB18,'DATA 1'!$B$6:$B$14,1)))</f>
        <v>0</v>
      </c>
      <c r="DF18" s="767">
        <f>INDEX('DATA 1'!$B$6:$B$14,MATCH(DB18,'DATA 1'!$B$6:$B$14,1)+1)</f>
        <v>50</v>
      </c>
      <c r="DG18" s="767">
        <f>(((DB18-DE18)*(DD18-DC18))/(DF18-DE18))+DC18</f>
        <v>-0.16619999999999999</v>
      </c>
      <c r="DH18" s="907"/>
      <c r="DL18" s="905"/>
      <c r="DM18" s="908">
        <f>IF(ID!B54=0,0.000001,ID!B54)</f>
        <v>1.79</v>
      </c>
      <c r="DN18" s="909">
        <f>IF(INDEX('SERTIFIKAT STOPWATCH'!S37:S39,MATCH(DM18,'SERTIFIKAT STOPWATCH'!R37:R39,1)+1)=0,0.000001,INDEX('SERTIFIKAT STOPWATCH'!S37:S39,MATCH(DM18,'SERTIFIKAT STOPWATCH'!R37:R39,1)))</f>
        <v>0</v>
      </c>
      <c r="DO18" s="909">
        <f>IF(INDEX('SERTIFIKAT STOPWATCH'!S37:S39,MATCH(DM18,'SERTIFIKAT STOPWATCH'!R37:R39)+1)=0,0.000001,INDEX('SERTIFIKAT STOPWATCH'!S37:S39,MATCH(DM18,'SERTIFIKAT STOPWATCH'!R37:R39,1)+1))</f>
        <v>-0.01</v>
      </c>
      <c r="DP18" s="910">
        <f>IF(INDEX('SERTIFIKAT STOPWATCH'!R37:R39,MATCH(DM18,'SERTIFIKAT STOPWATCH'!R37:R39,1)+1)=0,0.000001,INDEX('SERTIFIKAT STOPWATCH'!R37:R39,MATCH(DM18,'SERTIFIKAT STOPWATCH'!R37:R39,1)))</f>
        <v>0</v>
      </c>
      <c r="DQ18" s="767">
        <f>INDEX('SERTIFIKAT STOPWATCH'!R37:R39,MATCH(DM18,'SERTIFIKAT STOPWATCH'!R37:R39,1)+1)</f>
        <v>10</v>
      </c>
      <c r="DR18" s="767">
        <f>(((DM18-DP18)*(DO18-DN18))/(DQ18-DP18))+DN18</f>
        <v>-1.7899999999999999E-3</v>
      </c>
      <c r="DS18" s="907"/>
    </row>
    <row r="19" spans="5:123" x14ac:dyDescent="0.25">
      <c r="E19" s="905"/>
      <c r="F19" s="904">
        <f>ID!H69</f>
        <v>50.79999999999999</v>
      </c>
      <c r="G19" s="909">
        <f>IF(INDEX('DATA 1'!$C$6:$C$14,MATCH(F19,'DATA 1'!$B$6:$B$14,1)+1)=0,0.000001,INDEX('DATA 1'!$C$6:$C$14,MATCH(F19,'DATA 1'!$B$6:$B$14,1)))</f>
        <v>-0.1</v>
      </c>
      <c r="H19" s="909">
        <f>IF(INDEX('DATA 1'!$C$6:$C$14,MATCH(F19,'DATA 1'!$B$6:$B$14,1)+1)=0,0.000001,INDEX('DATA 1'!$C$6:$C$14,MATCH(F19,'DATA 1'!$B$6:$B$14,1)+1))</f>
        <v>-0.1</v>
      </c>
      <c r="I19" s="912">
        <f>INDEX('DATA 1'!$B$6:$B$14,MATCH(F19,'DATA 1'!$B$6:$B$14,1))</f>
        <v>50</v>
      </c>
      <c r="J19" s="767">
        <f>INDEX('DATA 1'!$B$6:$B$14,MATCH(F19,'DATA 1'!$B$6:$B$14,1)+1)</f>
        <v>100</v>
      </c>
      <c r="K19" s="767">
        <f t="shared" ref="K19:K23" si="0">(((F19-I19)*(H19-G19))/(J19-I19))+G19</f>
        <v>-0.1</v>
      </c>
      <c r="Q19" s="904">
        <f>ID!I69</f>
        <v>50.233333333333327</v>
      </c>
      <c r="R19" s="903">
        <f>IF(INDEX('DATA 1'!$F$6:$F$14,MATCH(Q19,'DATA 1'!$B$6:$B$14,1)+1)=0,0.000001,INDEX('DATA 1'!$F$6:$F$14,MATCH(Q19,'DATA 1'!$B$6:$B$14,1)))</f>
        <v>-0.3</v>
      </c>
      <c r="S19" s="903">
        <f>IF(INDEX('DATA 1'!$F$6:$F$14,MATCH(Q19,'DATA 1'!$B$6:$B$14,1)+1)=0,0.0000001,INDEX('DATA 1'!$F$6:$F$14,MATCH(Q19,'DATA 1'!$B$6:$B$14,1)+1))</f>
        <v>-0.3</v>
      </c>
      <c r="T19" s="913">
        <f>INDEX('DATA 1'!$B$6:$B$14,MATCH(Q19,'DATA 1'!$B$6:$B$14,1))</f>
        <v>50</v>
      </c>
      <c r="U19" s="911">
        <f>INDEX('DATA 1'!$B$6:$B$14,MATCH(Q19,'DATA 1'!$B$6:$B$14,1)+1)</f>
        <v>100</v>
      </c>
      <c r="V19" s="767">
        <f t="shared" ref="V19:V23" si="1">(((Q19-T19)*(S19-R19))/(U19-T19))+R19</f>
        <v>-0.3</v>
      </c>
      <c r="W19" s="907"/>
      <c r="AD19" s="905"/>
      <c r="AE19" s="908">
        <f>'BUDGET NAIK'!$C$24</f>
        <v>50</v>
      </c>
      <c r="AF19" s="909">
        <f>IF(INDEX('DATA 1'!$D$6:$D$11,MATCH(AE19,'DATA 1'!$B$6:$B$11,1)+1)=0,0.000001,INDEX('DATA 1'!$D$6:$D$11,MATCH(AE19,'DATA 1'!$B$6:$B$11,1)))</f>
        <v>0.4</v>
      </c>
      <c r="AG19" s="909">
        <f>IF(INDEX('DATA 1'!$D$6:$D$14,MATCH(AE19,'DATA 1'!$B$6:$B$14,1)+1)=0,0.000001,INDEX('DATA 1'!$D$6:$D$14,MATCH(AE19,'DATA 1'!$B$6:$B$14,1)+1))</f>
        <v>0.4</v>
      </c>
      <c r="AH19" s="912">
        <f>INDEX('DATA 1'!$B$6:$B$14,MATCH(AE19,'DATA 1'!$B$6:$B$14,1))</f>
        <v>50</v>
      </c>
      <c r="AI19" s="767">
        <f>INDEX('DATA 1'!$B$6:$B$14,MATCH(AE19,'DATA 1'!$B$6:$B$14,1)+1)</f>
        <v>100</v>
      </c>
      <c r="AJ19" s="767">
        <f t="shared" ref="AJ19:AJ23" si="2">(((AE19-AH19)*(AG19-AF19))/(AI19-AH19))+AF19</f>
        <v>0.4</v>
      </c>
      <c r="AP19" s="904">
        <f>'BUDGET TURUN'!$C$24</f>
        <v>50</v>
      </c>
      <c r="AQ19" s="903">
        <f>IF(INDEX('DATA 1'!$G$6:$G$14,MATCH(AP19,'DATA 1'!$B$6:$B$14,1)+1)=0,0.000001,INDEX('DATA 1'!$G$6:$G$14,MATCH(AP19,'DATA 1'!$B$6:$B$14,1)))</f>
        <v>0.4</v>
      </c>
      <c r="AR19" s="903">
        <f>IF(INDEX('DATA 1'!$G$6:$G$14,MATCH(AP19,'DATA 1'!$B$6:$B$14,1)+1)=0,0.000001,INDEX('DATA 1'!$G$6:$G$14,MATCH(AP19,'DATA 1'!$B$6:$B$14,1)+1))</f>
        <v>0.4</v>
      </c>
      <c r="AS19" s="913">
        <f>INDEX('DATA 1'!$B$6:$B$14,MATCH(AP19,'DATA 1'!$B$6:$B$14,1))</f>
        <v>50</v>
      </c>
      <c r="AT19" s="911">
        <f>INDEX('DATA 1'!$B$6:$B$14,MATCH(AP19,'DATA 1'!$B$6:$B$14,1)+1)</f>
        <v>100</v>
      </c>
      <c r="AU19" s="767">
        <f t="shared" ref="AU19:AU23" si="3">(((AP19-AS19)*(AR19-AQ19))/(AT19-AS19))+AQ19</f>
        <v>0.4</v>
      </c>
      <c r="AV19" s="907"/>
      <c r="BC19" s="905"/>
      <c r="BD19" s="904">
        <f>'BUDGET NAIK'!$C$24</f>
        <v>50</v>
      </c>
      <c r="BE19" s="909">
        <f>IF(INDEX('DATA 1'!$E$6:$E$14,MATCH(BD19,'DATA 1'!$B$6:$B$14,1)+1)=0,0.000001,INDEX('DATA 1'!$E$6:$E$14,MATCH(BD19,'DATA 1'!$B$6:$B$14,1)))</f>
        <v>0.1</v>
      </c>
      <c r="BF19" s="909">
        <f>IF(INDEX('DATA 1'!$E$6:$E$14,MATCH(BD19,'DATA 1'!$B$6:$B$14,1)+1)=0,0.000001,INDEX('DATA 1'!$E$6:$E$14,MATCH(BD19,'DATA 1'!$B$6:$B$14,1)+1))</f>
        <v>0.05</v>
      </c>
      <c r="BG19" s="912">
        <f>INDEX('DATA 1'!$B$6:$B$14,MATCH(BD19,'DATA 1'!$B$6:$B$14,1))</f>
        <v>50</v>
      </c>
      <c r="BH19" s="767">
        <f>INDEX('DATA 1'!$B$6:$B$14,MATCH(BD19,'DATA 1'!$B$6:$B$14,1)+1)</f>
        <v>100</v>
      </c>
      <c r="BI19" s="767">
        <f t="shared" ref="BI19:BI23" si="4">(((BD19-BG19)*(BF19-BE19))/(BH19-BG19))+BE19</f>
        <v>0.1</v>
      </c>
      <c r="BO19" s="904">
        <f>'BUDGET TURUN'!$C$24</f>
        <v>50</v>
      </c>
      <c r="BP19" s="903">
        <f>IF(INDEX('DATA 1'!$H$6:$H$14,MATCH(BO19,'DATA 1'!$B$6:$B$14,1)+1)=0,0.000001,INDEX('DATA 1'!$H$6:$H$14,MATCH(BO19,'DATA 1'!$B$6:$B$14,1)))</f>
        <v>0.25</v>
      </c>
      <c r="BQ19" s="903">
        <f>IF(INDEX('DATA 1'!$H$6:$H$14,MATCH(BO19,'DATA 1'!$B$6:$B$14,1)+1)=0,0.000001,INDEX('DATA 1'!$H$6:$H$14,MATCH(BO19,'DATA 1'!$B$6:$B$14,1)+1))</f>
        <v>0.2</v>
      </c>
      <c r="BR19" s="913">
        <f>INDEX('DATA 1'!$B$6:$B$14,MATCH(BO19,'DATA 1'!$B$6:$B$14,1))</f>
        <v>50</v>
      </c>
      <c r="BS19" s="911">
        <f>INDEX('DATA 1'!$B$6:$B$14,MATCH(BO19,'DATA 1'!$B$6:$B$14,1)+1)</f>
        <v>100</v>
      </c>
      <c r="BT19" s="767">
        <f t="shared" ref="BT19:BT23" si="5">(((BO19-BR19)*(BQ19-BP19))/(BS19-BR19))+BP19</f>
        <v>0.25</v>
      </c>
      <c r="BU19" s="907"/>
      <c r="CB19" s="905"/>
      <c r="CT19" s="907"/>
      <c r="DA19" s="905"/>
      <c r="DH19" s="907"/>
      <c r="DL19" s="905"/>
      <c r="DS19" s="907"/>
    </row>
    <row r="20" spans="5:123" ht="14.4" thickBot="1" x14ac:dyDescent="0.3">
      <c r="E20" s="905"/>
      <c r="F20" s="904">
        <f>ID!H70</f>
        <v>101</v>
      </c>
      <c r="G20" s="909">
        <f>IF(INDEX('DATA 1'!$C$6:$C$14,MATCH(F20,'DATA 1'!$B$6:$B$14,1)+1)=0,0.000001,INDEX('DATA 1'!$C$6:$C$14,MATCH(F20,'DATA 1'!$B$6:$B$14,1)))</f>
        <v>-0.1</v>
      </c>
      <c r="H20" s="909">
        <f>IF(INDEX('DATA 1'!$C$6:$C$14,MATCH(F20,'DATA 1'!$B$6:$B$14,1)+1)=0,0.000001,INDEX('DATA 1'!$C$6:$C$14,MATCH(F20,'DATA 1'!$B$6:$B$14,1)+1))</f>
        <v>0.2</v>
      </c>
      <c r="I20" s="912">
        <f>INDEX('DATA 1'!$B$6:$B$14,MATCH(F20,'DATA 1'!$B$6:$B$14,1))</f>
        <v>100</v>
      </c>
      <c r="J20" s="767">
        <f>INDEX('DATA 1'!$B$6:$B$14,MATCH(F20,'DATA 1'!$B$6:$B$14,1)+1)</f>
        <v>150</v>
      </c>
      <c r="K20" s="767">
        <f t="shared" si="0"/>
        <v>-9.4E-2</v>
      </c>
      <c r="Q20" s="904">
        <f>ID!I70</f>
        <v>100.56666666666666</v>
      </c>
      <c r="R20" s="903">
        <f>IF(INDEX('DATA 1'!$F$6:$F$14,MATCH(Q20,'DATA 1'!$B$6:$B$14,1)+1)=0,0.000001,INDEX('DATA 1'!$F$6:$F$14,MATCH(Q20,'DATA 1'!$B$6:$B$14,1)))</f>
        <v>9.9999999999999995E-7</v>
      </c>
      <c r="S20" s="903">
        <f>IF(INDEX('DATA 1'!$F$6:$F$14,MATCH(Q20,'DATA 1'!$B$6:$B$14,1)+1)=0,0.0000001,INDEX('DATA 1'!$F$6:$F$14,MATCH(Q20,'DATA 1'!$B$6:$B$14,1)+1))</f>
        <v>9.9999999999999995E-8</v>
      </c>
      <c r="T20" s="913">
        <f>INDEX('DATA 1'!$B$6:$B$14,MATCH(Q20,'DATA 1'!$B$6:$B$14,1))</f>
        <v>100</v>
      </c>
      <c r="U20" s="911">
        <f>INDEX('DATA 1'!$B$6:$B$14,MATCH(Q20,'DATA 1'!$B$6:$B$14,1)+1)</f>
        <v>150</v>
      </c>
      <c r="V20" s="767">
        <f t="shared" si="1"/>
        <v>9.8980000000000004E-7</v>
      </c>
      <c r="W20" s="907"/>
      <c r="AD20" s="905"/>
      <c r="AE20" s="908">
        <f>'BUDGET NAIK'!$C$39</f>
        <v>70</v>
      </c>
      <c r="AF20" s="909">
        <f>IF(INDEX('DATA 1'!$D$6:$D$11,MATCH(AE20,'DATA 1'!$B$6:$B$11,1)+1)=0,0.000001,INDEX('DATA 1'!$D$6:$D$11,MATCH(AE20,'DATA 1'!$B$6:$B$11,1)))</f>
        <v>0.4</v>
      </c>
      <c r="AG20" s="909">
        <f>IF(INDEX('DATA 1'!$D$6:$D$14,MATCH(AE20,'DATA 1'!$B$6:$B$14,1)+1)=0,0.000001,INDEX('DATA 1'!$D$6:$D$14,MATCH(AE20,'DATA 1'!$B$6:$B$14,1)+1))</f>
        <v>0.4</v>
      </c>
      <c r="AH20" s="912">
        <f>INDEX('DATA 1'!$B$6:$B$14,MATCH(AE20,'DATA 1'!$B$6:$B$14,1))</f>
        <v>50</v>
      </c>
      <c r="AI20" s="767">
        <f>INDEX('DATA 1'!$B$6:$B$14,MATCH(AE20,'DATA 1'!$B$6:$B$14,1)+1)</f>
        <v>100</v>
      </c>
      <c r="AJ20" s="767">
        <f t="shared" si="2"/>
        <v>0.4</v>
      </c>
      <c r="AP20" s="904">
        <f>'BUDGET TURUN'!$C$39</f>
        <v>70</v>
      </c>
      <c r="AQ20" s="903">
        <f>IF(INDEX('DATA 1'!$G$6:$G$14,MATCH(AP20,'DATA 1'!$B$6:$B$14,1)+1)=0,0.000001,INDEX('DATA 1'!$G$6:$G$14,MATCH(AP20,'DATA 1'!$B$6:$B$14,1)))</f>
        <v>0.4</v>
      </c>
      <c r="AR20" s="903">
        <f>IF(INDEX('DATA 1'!$G$6:$G$14,MATCH(AP20,'DATA 1'!$B$6:$B$14,1)+1)=0,0.000001,INDEX('DATA 1'!$G$6:$G$14,MATCH(AP20,'DATA 1'!$B$6:$B$14,1)+1))</f>
        <v>0.4</v>
      </c>
      <c r="AS20" s="913">
        <f>INDEX('DATA 1'!$B$6:$B$14,MATCH(AP20,'DATA 1'!$B$6:$B$14,1))</f>
        <v>50</v>
      </c>
      <c r="AT20" s="911">
        <f>INDEX('DATA 1'!$B$6:$B$14,MATCH(AP20,'DATA 1'!$B$6:$B$14,1)+1)</f>
        <v>100</v>
      </c>
      <c r="AU20" s="767">
        <f t="shared" si="3"/>
        <v>0.4</v>
      </c>
      <c r="AV20" s="907"/>
      <c r="BC20" s="905"/>
      <c r="BD20" s="904">
        <f>'BUDGET NAIK'!$C$39</f>
        <v>70</v>
      </c>
      <c r="BE20" s="909">
        <f>IF(INDEX('DATA 1'!$E$6:$E$14,MATCH(BD20,'DATA 1'!$B$6:$B$14,1)+1)=0,0.000001,INDEX('DATA 1'!$E$6:$E$14,MATCH(BD20,'DATA 1'!$B$6:$B$14,1)))</f>
        <v>0.1</v>
      </c>
      <c r="BF20" s="909">
        <f>IF(INDEX('DATA 1'!$E$6:$E$14,MATCH(BD20,'DATA 1'!$B$6:$B$14,1)+1)=0,0.000001,INDEX('DATA 1'!$E$6:$E$14,MATCH(BD20,'DATA 1'!$B$6:$B$14,1)+1))</f>
        <v>0.05</v>
      </c>
      <c r="BG20" s="912">
        <f>INDEX('DATA 1'!$B$6:$B$14,MATCH(BD20,'DATA 1'!$B$6:$B$14,1))</f>
        <v>50</v>
      </c>
      <c r="BH20" s="767">
        <f>INDEX('DATA 1'!$B$6:$B$14,MATCH(BD20,'DATA 1'!$B$6:$B$14,1)+1)</f>
        <v>100</v>
      </c>
      <c r="BI20" s="767">
        <f t="shared" si="4"/>
        <v>0.08</v>
      </c>
      <c r="BO20" s="904">
        <f>'BUDGET TURUN'!$C$39</f>
        <v>70</v>
      </c>
      <c r="BP20" s="903">
        <f>IF(INDEX('DATA 1'!$H$6:$H$14,MATCH(BO20,'DATA 1'!$B$6:$B$14,1)+1)=0,0.000001,INDEX('DATA 1'!$H$6:$H$14,MATCH(BO20,'DATA 1'!$B$6:$B$14,1)))</f>
        <v>0.25</v>
      </c>
      <c r="BQ20" s="903">
        <f>IF(INDEX('DATA 1'!$H$6:$H$14,MATCH(BO20,'DATA 1'!$B$6:$B$14,1)+1)=0,0.000001,INDEX('DATA 1'!$H$6:$H$14,MATCH(BO20,'DATA 1'!$B$6:$B$14,1)+1))</f>
        <v>0.2</v>
      </c>
      <c r="BR20" s="913">
        <f>INDEX('DATA 1'!$B$6:$B$14,MATCH(BO20,'DATA 1'!$B$6:$B$14,1))</f>
        <v>50</v>
      </c>
      <c r="BS20" s="911">
        <f>INDEX('DATA 1'!$B$6:$B$14,MATCH(BO20,'DATA 1'!$B$6:$B$14,1)+1)</f>
        <v>100</v>
      </c>
      <c r="BT20" s="767">
        <f t="shared" si="5"/>
        <v>0.23</v>
      </c>
      <c r="BU20" s="907"/>
      <c r="CB20" s="905"/>
      <c r="CT20" s="907"/>
      <c r="DA20" s="915"/>
      <c r="DB20" s="916"/>
      <c r="DC20" s="916"/>
      <c r="DD20" s="916"/>
      <c r="DE20" s="916"/>
      <c r="DF20" s="916"/>
      <c r="DG20" s="916"/>
      <c r="DH20" s="920"/>
      <c r="DL20" s="915"/>
      <c r="DM20" s="916"/>
      <c r="DN20" s="916"/>
      <c r="DO20" s="916"/>
      <c r="DP20" s="916"/>
      <c r="DQ20" s="916"/>
      <c r="DR20" s="916"/>
      <c r="DS20" s="920"/>
    </row>
    <row r="21" spans="5:123" x14ac:dyDescent="0.25">
      <c r="E21" s="905"/>
      <c r="F21" s="904">
        <f>ID!H71</f>
        <v>151.16666666666666</v>
      </c>
      <c r="G21" s="909">
        <f>IF(INDEX('DATA 1'!$C$6:$C$14,MATCH(F21,'DATA 1'!$B$6:$B$14,1)+1)=0,0.000001,INDEX('DATA 1'!$C$6:$C$14,MATCH(F21,'DATA 1'!$B$6:$B$14,1)))</f>
        <v>0.2</v>
      </c>
      <c r="H21" s="909">
        <f>IF(INDEX('DATA 1'!$C$6:$C$14,MATCH(F21,'DATA 1'!$B$6:$B$14,1)+1)=0,0.000001,INDEX('DATA 1'!$C$6:$C$14,MATCH(F21,'DATA 1'!$B$6:$B$14,1)+1))</f>
        <v>0.2</v>
      </c>
      <c r="I21" s="912">
        <f>INDEX('DATA 1'!$B$6:$B$14,MATCH(F21,'DATA 1'!$B$6:$B$14,1))</f>
        <v>150</v>
      </c>
      <c r="J21" s="767">
        <f>INDEX('DATA 1'!$B$6:$B$14,MATCH(F21,'DATA 1'!$B$6:$B$14,1)+1)</f>
        <v>200</v>
      </c>
      <c r="K21" s="767">
        <f t="shared" si="0"/>
        <v>0.2</v>
      </c>
      <c r="Q21" s="904">
        <f>ID!I71</f>
        <v>150.76666666666668</v>
      </c>
      <c r="R21" s="903">
        <f>IF(INDEX('DATA 1'!$F$6:$F$14,MATCH(Q21,'DATA 1'!$B$6:$B$14,1)+1)=0,0.000001,INDEX('DATA 1'!$F$6:$F$14,MATCH(Q21,'DATA 1'!$B$6:$B$14,1)))</f>
        <v>9.9999999999999995E-7</v>
      </c>
      <c r="S21" s="903">
        <f>IF(INDEX('DATA 1'!$F$6:$F$14,MATCH(Q21,'DATA 1'!$B$6:$B$14,1)+1)=0,0.0000001,INDEX('DATA 1'!$F$6:$F$14,MATCH(Q21,'DATA 1'!$B$6:$B$14,1)+1))</f>
        <v>9.9999999999999995E-8</v>
      </c>
      <c r="T21" s="913">
        <f>INDEX('DATA 1'!$B$6:$B$14,MATCH(Q21,'DATA 1'!$B$6:$B$14,1))</f>
        <v>150</v>
      </c>
      <c r="U21" s="911">
        <f>INDEX('DATA 1'!$B$6:$B$14,MATCH(Q21,'DATA 1'!$B$6:$B$14,1)+1)</f>
        <v>200</v>
      </c>
      <c r="V21" s="767">
        <f t="shared" si="1"/>
        <v>9.8619999999999977E-7</v>
      </c>
      <c r="W21" s="907"/>
      <c r="AD21" s="905"/>
      <c r="AE21" s="908">
        <f>'BUDGET NAIK'!$O$9</f>
        <v>100</v>
      </c>
      <c r="AF21" s="909">
        <f>IF(INDEX('DATA 1'!$D$6:$D$11,MATCH(AE21,'DATA 1'!$B$6:$B$11,1)+1)=0,0.000001,INDEX('DATA 1'!$D$6:$D$11,MATCH(AE21,'DATA 1'!$B$6:$B$11,1)))</f>
        <v>0.4</v>
      </c>
      <c r="AG21" s="909">
        <f>IF(INDEX('DATA 1'!$D$6:$D$14,MATCH(AE21,'DATA 1'!$B$6:$B$14,1)+1)=0,0.000001,INDEX('DATA 1'!$D$6:$D$14,MATCH(AE21,'DATA 1'!$B$6:$B$14,1)+1))</f>
        <v>0.4</v>
      </c>
      <c r="AH21" s="912">
        <f>INDEX('DATA 1'!$B$6:$B$14,MATCH(AE21,'DATA 1'!$B$6:$B$14,1))</f>
        <v>100</v>
      </c>
      <c r="AI21" s="767">
        <f>INDEX('DATA 1'!$B$6:$B$14,MATCH(AE21,'DATA 1'!$B$6:$B$14,1)+1)</f>
        <v>150</v>
      </c>
      <c r="AJ21" s="767">
        <f t="shared" si="2"/>
        <v>0.4</v>
      </c>
      <c r="AP21" s="904">
        <f>'BUDGET TURUN'!$O$9</f>
        <v>100</v>
      </c>
      <c r="AQ21" s="903">
        <f>IF(INDEX('DATA 1'!$G$6:$G$14,MATCH(AP21,'DATA 1'!$B$6:$B$14,1)+1)=0,0.000001,INDEX('DATA 1'!$G$6:$G$14,MATCH(AP21,'DATA 1'!$B$6:$B$14,1)))</f>
        <v>0.4</v>
      </c>
      <c r="AR21" s="903">
        <f>IF(INDEX('DATA 1'!$G$6:$G$14,MATCH(AP21,'DATA 1'!$B$6:$B$14,1)+1)=0,0.000001,INDEX('DATA 1'!$G$6:$G$14,MATCH(AP21,'DATA 1'!$B$6:$B$14,1)+1))</f>
        <v>0.4</v>
      </c>
      <c r="AS21" s="913">
        <f>INDEX('DATA 1'!$B$6:$B$14,MATCH(AP21,'DATA 1'!$B$6:$B$14,1))</f>
        <v>100</v>
      </c>
      <c r="AT21" s="911">
        <f>INDEX('DATA 1'!$B$6:$B$14,MATCH(AP21,'DATA 1'!$B$6:$B$14,1)+1)</f>
        <v>150</v>
      </c>
      <c r="AU21" s="767">
        <f t="shared" si="3"/>
        <v>0.4</v>
      </c>
      <c r="AV21" s="907"/>
      <c r="BC21" s="905"/>
      <c r="BD21" s="904">
        <f>'BUDGET NAIK'!$O$9</f>
        <v>100</v>
      </c>
      <c r="BE21" s="909">
        <f>IF(INDEX('DATA 1'!$E$6:$E$14,MATCH(BD21,'DATA 1'!$B$6:$B$14,1)+1)=0,0.000001,INDEX('DATA 1'!$E$6:$E$14,MATCH(BD21,'DATA 1'!$B$6:$B$14,1)))</f>
        <v>0.05</v>
      </c>
      <c r="BF21" s="909">
        <f>IF(INDEX('DATA 1'!$E$6:$E$14,MATCH(BD21,'DATA 1'!$B$6:$B$14,1)+1)=0,0.000001,INDEX('DATA 1'!$E$6:$E$14,MATCH(BD21,'DATA 1'!$B$6:$B$14,1)+1))</f>
        <v>0.2</v>
      </c>
      <c r="BG21" s="912">
        <f>INDEX('DATA 1'!$B$6:$B$14,MATCH(BD21,'DATA 1'!$B$6:$B$14,1))</f>
        <v>100</v>
      </c>
      <c r="BH21" s="767">
        <f>INDEX('DATA 1'!$B$6:$B$14,MATCH(BD21,'DATA 1'!$B$6:$B$14,1)+1)</f>
        <v>150</v>
      </c>
      <c r="BI21" s="767">
        <f t="shared" si="4"/>
        <v>0.05</v>
      </c>
      <c r="BO21" s="904">
        <f>'BUDGET TURUN'!$O$9</f>
        <v>100</v>
      </c>
      <c r="BP21" s="903">
        <f>IF(INDEX('DATA 1'!$H$6:$H$14,MATCH(BO21,'DATA 1'!$B$6:$B$14,1)+1)=0,0.000001,INDEX('DATA 1'!$H$6:$H$14,MATCH(BO21,'DATA 1'!$B$6:$B$14,1)))</f>
        <v>0.2</v>
      </c>
      <c r="BQ21" s="903">
        <f>IF(INDEX('DATA 1'!$H$6:$H$14,MATCH(BO21,'DATA 1'!$B$6:$B$14,1)+1)=0,0.000001,INDEX('DATA 1'!$H$6:$H$14,MATCH(BO21,'DATA 1'!$B$6:$B$14,1)+1))</f>
        <v>0.15000000000000002</v>
      </c>
      <c r="BR21" s="913">
        <f>INDEX('DATA 1'!$B$6:$B$14,MATCH(BO21,'DATA 1'!$B$6:$B$14,1))</f>
        <v>100</v>
      </c>
      <c r="BS21" s="911">
        <f>INDEX('DATA 1'!$B$6:$B$14,MATCH(BO21,'DATA 1'!$B$6:$B$14,1)+1)</f>
        <v>150</v>
      </c>
      <c r="BT21" s="767">
        <f t="shared" si="5"/>
        <v>0.2</v>
      </c>
      <c r="BU21" s="907"/>
      <c r="CB21" s="905"/>
      <c r="CC21" s="1254" t="s">
        <v>531</v>
      </c>
      <c r="CD21" s="1254"/>
      <c r="CE21" s="1254"/>
      <c r="CF21" s="1254"/>
      <c r="CG21" s="1254"/>
      <c r="CH21" s="1254"/>
      <c r="CN21" s="1254" t="s">
        <v>532</v>
      </c>
      <c r="CO21" s="1254"/>
      <c r="CP21" s="1254"/>
      <c r="CQ21" s="1254"/>
      <c r="CR21" s="1254"/>
      <c r="CS21" s="1254"/>
      <c r="CT21" s="907"/>
    </row>
    <row r="22" spans="5:123" x14ac:dyDescent="0.25">
      <c r="E22" s="905"/>
      <c r="F22" s="904">
        <f>ID!H72</f>
        <v>201.76666666666665</v>
      </c>
      <c r="G22" s="909">
        <f>IF(INDEX('DATA 1'!$C$6:$C$14,MATCH(F22,'DATA 1'!$B$6:$B$14,1)+1)=0,0.000001,INDEX('DATA 1'!$C$6:$C$14,MATCH(F22,'DATA 1'!$B$6:$B$14,1)))</f>
        <v>0.2</v>
      </c>
      <c r="H22" s="909">
        <f>IF(INDEX('DATA 1'!$C$6:$C$14,MATCH(F22,'DATA 1'!$B$6:$B$14,1)+1)=0,0.000001,INDEX('DATA 1'!$C$6:$C$14,MATCH(F22,'DATA 1'!$B$6:$B$14,1)+1))</f>
        <v>0.2</v>
      </c>
      <c r="I22" s="912">
        <f>INDEX('DATA 1'!$B$6:$B$14,MATCH(F22,'DATA 1'!$B$6:$B$14,1))</f>
        <v>200</v>
      </c>
      <c r="J22" s="767">
        <f>INDEX('DATA 1'!$B$6:$B$14,MATCH(F22,'DATA 1'!$B$6:$B$14,1)+1)</f>
        <v>250</v>
      </c>
      <c r="K22" s="767">
        <f t="shared" si="0"/>
        <v>0.2</v>
      </c>
      <c r="Q22" s="904">
        <f>ID!I72</f>
        <v>201.06666666666669</v>
      </c>
      <c r="R22" s="903">
        <f>IF(INDEX('DATA 1'!$F$6:$F$14,MATCH(Q22,'DATA 1'!$B$6:$B$14,1)+1)=0,0.000001,INDEX('DATA 1'!$F$6:$F$14,MATCH(Q22,'DATA 1'!$B$6:$B$14,1)))</f>
        <v>9.9999999999999995E-7</v>
      </c>
      <c r="S22" s="903">
        <f>IF(INDEX('DATA 1'!$F$6:$F$14,MATCH(Q22,'DATA 1'!$B$6:$B$14,1)+1)=0,0.0000001,INDEX('DATA 1'!$F$6:$F$14,MATCH(Q22,'DATA 1'!$B$6:$B$14,1)+1))</f>
        <v>9.9999999999999995E-8</v>
      </c>
      <c r="T22" s="913">
        <f>INDEX('DATA 1'!$B$6:$B$14,MATCH(Q22,'DATA 1'!$B$6:$B$14,1))</f>
        <v>200</v>
      </c>
      <c r="U22" s="911">
        <f>INDEX('DATA 1'!$B$6:$B$14,MATCH(Q22,'DATA 1'!$B$6:$B$14,1)+1)</f>
        <v>250</v>
      </c>
      <c r="V22" s="767">
        <f t="shared" si="1"/>
        <v>9.8079999999999957E-7</v>
      </c>
      <c r="W22" s="907"/>
      <c r="AD22" s="905"/>
      <c r="AE22" s="908">
        <f>'BUDGET NAIK'!$O$24</f>
        <v>120</v>
      </c>
      <c r="AF22" s="909">
        <f>IF(INDEX('DATA 1'!$D$6:$D$11,MATCH(AE22,'DATA 1'!$B$6:$B$11,1)+1)=0,0.000001,INDEX('DATA 1'!$D$6:$D$11,MATCH(AE22,'DATA 1'!$B$6:$B$11,1)))</f>
        <v>0.4</v>
      </c>
      <c r="AG22" s="909">
        <f>IF(INDEX('DATA 1'!$D$6:$D$14,MATCH(AE22,'DATA 1'!$B$6:$B$14,1)+1)=0,0.000001,INDEX('DATA 1'!$D$6:$D$14,MATCH(AE22,'DATA 1'!$B$6:$B$14,1)+1))</f>
        <v>0.4</v>
      </c>
      <c r="AH22" s="912">
        <f>INDEX('DATA 1'!$B$6:$B$14,MATCH(AE22,'DATA 1'!$B$6:$B$14,1))</f>
        <v>100</v>
      </c>
      <c r="AI22" s="767">
        <f>INDEX('DATA 1'!$B$6:$B$14,MATCH(AE22,'DATA 1'!$B$6:$B$14,1)+1)</f>
        <v>150</v>
      </c>
      <c r="AJ22" s="767">
        <f t="shared" si="2"/>
        <v>0.4</v>
      </c>
      <c r="AP22" s="904">
        <f>'BUDGET TURUN'!$O$24</f>
        <v>120</v>
      </c>
      <c r="AQ22" s="903">
        <f>IF(INDEX('DATA 1'!$G$6:$G$14,MATCH(AP22,'DATA 1'!$B$6:$B$14,1)+1)=0,0.000001,INDEX('DATA 1'!$G$6:$G$14,MATCH(AP22,'DATA 1'!$B$6:$B$14,1)))</f>
        <v>0.4</v>
      </c>
      <c r="AR22" s="903">
        <f>IF(INDEX('DATA 1'!$G$6:$G$14,MATCH(AP22,'DATA 1'!$B$6:$B$14,1)+1)=0,0.000001,INDEX('DATA 1'!$G$6:$G$14,MATCH(AP22,'DATA 1'!$B$6:$B$14,1)+1))</f>
        <v>0.4</v>
      </c>
      <c r="AS22" s="913">
        <f>INDEX('DATA 1'!$B$6:$B$14,MATCH(AP22,'DATA 1'!$B$6:$B$14,1))</f>
        <v>100</v>
      </c>
      <c r="AT22" s="911">
        <f>INDEX('DATA 1'!$B$6:$B$14,MATCH(AP22,'DATA 1'!$B$6:$B$14,1)+1)</f>
        <v>150</v>
      </c>
      <c r="AU22" s="767">
        <f t="shared" si="3"/>
        <v>0.4</v>
      </c>
      <c r="AV22" s="907"/>
      <c r="BC22" s="905"/>
      <c r="BD22" s="904">
        <f>'BUDGET NAIK'!$O$24</f>
        <v>120</v>
      </c>
      <c r="BE22" s="909">
        <f>IF(INDEX('DATA 1'!$E$6:$E$14,MATCH(BD22,'DATA 1'!$B$6:$B$14,1)+1)=0,0.000001,INDEX('DATA 1'!$E$6:$E$14,MATCH(BD22,'DATA 1'!$B$6:$B$14,1)))</f>
        <v>0.05</v>
      </c>
      <c r="BF22" s="909">
        <f>IF(INDEX('DATA 1'!$E$6:$E$14,MATCH(BD22,'DATA 1'!$B$6:$B$14,1)+1)=0,0.000001,INDEX('DATA 1'!$E$6:$E$14,MATCH(BD22,'DATA 1'!$B$6:$B$14,1)+1))</f>
        <v>0.2</v>
      </c>
      <c r="BG22" s="912">
        <f>INDEX('DATA 1'!$B$6:$B$14,MATCH(BD22,'DATA 1'!$B$6:$B$14,1))</f>
        <v>100</v>
      </c>
      <c r="BH22" s="767">
        <f>INDEX('DATA 1'!$B$6:$B$14,MATCH(BD22,'DATA 1'!$B$6:$B$14,1)+1)</f>
        <v>150</v>
      </c>
      <c r="BI22" s="767">
        <f t="shared" si="4"/>
        <v>0.11000000000000001</v>
      </c>
      <c r="BO22" s="904">
        <f>'BUDGET TURUN'!$O$24</f>
        <v>120</v>
      </c>
      <c r="BP22" s="903">
        <f>IF(INDEX('DATA 1'!$H$6:$H$14,MATCH(BO22,'DATA 1'!$B$6:$B$14,1)+1)=0,0.000001,INDEX('DATA 1'!$H$6:$H$14,MATCH(BO22,'DATA 1'!$B$6:$B$14,1)))</f>
        <v>0.2</v>
      </c>
      <c r="BQ22" s="903">
        <f>IF(INDEX('DATA 1'!$H$6:$H$14,MATCH(BO22,'DATA 1'!$B$6:$B$14,1)+1)=0,0.000001,INDEX('DATA 1'!$H$6:$H$14,MATCH(BO22,'DATA 1'!$B$6:$B$14,1)+1))</f>
        <v>0.15000000000000002</v>
      </c>
      <c r="BR22" s="913">
        <f>INDEX('DATA 1'!$B$6:$B$14,MATCH(BO22,'DATA 1'!$B$6:$B$14,1))</f>
        <v>100</v>
      </c>
      <c r="BS22" s="911">
        <f>INDEX('DATA 1'!$B$6:$B$14,MATCH(BO22,'DATA 1'!$B$6:$B$14,1)+1)</f>
        <v>150</v>
      </c>
      <c r="BT22" s="767">
        <f t="shared" si="5"/>
        <v>0.18000000000000002</v>
      </c>
      <c r="BU22" s="907"/>
      <c r="CB22" s="905"/>
      <c r="CC22" s="1255" t="s">
        <v>509</v>
      </c>
      <c r="CD22" s="1255" t="s">
        <v>505</v>
      </c>
      <c r="CE22" s="1255" t="s">
        <v>506</v>
      </c>
      <c r="CF22" s="1255" t="s">
        <v>504</v>
      </c>
      <c r="CG22" s="1255" t="s">
        <v>507</v>
      </c>
      <c r="CH22" s="1256" t="s">
        <v>510</v>
      </c>
      <c r="CN22" s="1255" t="s">
        <v>509</v>
      </c>
      <c r="CO22" s="1255" t="s">
        <v>505</v>
      </c>
      <c r="CP22" s="1255" t="s">
        <v>506</v>
      </c>
      <c r="CQ22" s="1255" t="s">
        <v>504</v>
      </c>
      <c r="CR22" s="1255" t="s">
        <v>507</v>
      </c>
      <c r="CS22" s="1256" t="s">
        <v>510</v>
      </c>
      <c r="CT22" s="907"/>
    </row>
    <row r="23" spans="5:123" x14ac:dyDescent="0.25">
      <c r="E23" s="905"/>
      <c r="F23" s="904">
        <f>ID!H73</f>
        <v>251.19999999999996</v>
      </c>
      <c r="G23" s="909">
        <f>IF(INDEX('DATA 1'!$C$6:$C$14,MATCH(F23,'DATA 1'!$B$6:$B$14,1)+1)=0,0.000001,INDEX('DATA 1'!$C$6:$C$14,MATCH(F23,'DATA 1'!$B$6:$B$14,1)))</f>
        <v>0.2</v>
      </c>
      <c r="H23" s="909">
        <f>IF(INDEX('DATA 1'!$C$6:$C$14,MATCH(F23,'DATA 1'!$B$6:$B$14,1)+1)=0,0.000001,INDEX('DATA 1'!$C$6:$C$14,MATCH(F23,'DATA 1'!$B$6:$B$14,1)+1))</f>
        <v>0.1</v>
      </c>
      <c r="I23" s="912">
        <f>INDEX('DATA 1'!$B$6:$B$14,MATCH(F23,'DATA 1'!$B$6:$B$14,1))</f>
        <v>250</v>
      </c>
      <c r="J23" s="767">
        <f>INDEX('DATA 1'!$B$6:$B$14,MATCH(F23,'DATA 1'!$B$6:$B$14,1)+1)</f>
        <v>300</v>
      </c>
      <c r="K23" s="767">
        <f t="shared" si="0"/>
        <v>0.19760000000000008</v>
      </c>
      <c r="Q23" s="904">
        <f>ID!I73</f>
        <v>250.66666666666666</v>
      </c>
      <c r="R23" s="903">
        <f>IF(INDEX('DATA 1'!$F$6:$F$14,MATCH(Q23,'DATA 1'!$B$6:$B$14,1)+1)=0,0.000001,INDEX('DATA 1'!$F$6:$F$14,MATCH(Q23,'DATA 1'!$B$6:$B$14,1)))</f>
        <v>9.9999999999999995E-7</v>
      </c>
      <c r="S23" s="903">
        <f>IF(INDEX('DATA 1'!$F$6:$F$14,MATCH(Q23,'DATA 1'!$B$6:$B$14,1)+1)=0,0.0000001,INDEX('DATA 1'!$F$6:$F$14,MATCH(Q23,'DATA 1'!$B$6:$B$14,1)+1))</f>
        <v>9.9999999999999995E-8</v>
      </c>
      <c r="T23" s="913">
        <f>INDEX('DATA 1'!$B$6:$B$14,MATCH(Q23,'DATA 1'!$B$6:$B$14,1))</f>
        <v>250</v>
      </c>
      <c r="U23" s="911">
        <f>INDEX('DATA 1'!$B$6:$B$14,MATCH(Q23,'DATA 1'!$B$6:$B$14,1)+1)</f>
        <v>300</v>
      </c>
      <c r="V23" s="767">
        <f t="shared" si="1"/>
        <v>9.8800000000000011E-7</v>
      </c>
      <c r="W23" s="907"/>
      <c r="AD23" s="905"/>
      <c r="AE23" s="908">
        <f>'BUDGET NAIK'!$O$39</f>
        <v>150</v>
      </c>
      <c r="AF23" s="909">
        <f>IF(INDEX('DATA 1'!$D$6:$D$14,MATCH(AE23,'DATA 1'!$B$6:$B$14,1)+1)=0,0.000001,INDEX('DATA 1'!$D$6:$D$14,MATCH(AE23,'DATA 1'!$B$6:$B$14,1)))</f>
        <v>0.4</v>
      </c>
      <c r="AG23" s="909">
        <f>IF(INDEX('DATA 1'!$D$6:$D$14,MATCH(AE23,'DATA 1'!$B$6:$B$14,1)+1)=0,0.000001,INDEX('DATA 1'!$D$6:$D$14,MATCH(AE23,'DATA 1'!$B$6:$B$14,1)+1))</f>
        <v>0.4</v>
      </c>
      <c r="AH23" s="912">
        <f>INDEX('DATA 1'!$B$6:$B$14,MATCH(AE23,'DATA 1'!$B$6:$B$14,1))</f>
        <v>150</v>
      </c>
      <c r="AI23" s="767">
        <f>INDEX('DATA 1'!$B$6:$B$14,MATCH(AE23,'DATA 1'!$B$6:$B$14,1)+1)</f>
        <v>200</v>
      </c>
      <c r="AJ23" s="767">
        <f t="shared" si="2"/>
        <v>0.4</v>
      </c>
      <c r="AP23" s="904">
        <f>'BUDGET TURUN'!$O$39</f>
        <v>150</v>
      </c>
      <c r="AQ23" s="903">
        <f>IF(INDEX('DATA 1'!$G$6:$G$14,MATCH(AP23,'DATA 1'!$B$6:$B$14,1)+1)=0,0.000001,INDEX('DATA 1'!$G$6:$G$14,MATCH(AP23,'DATA 1'!$B$6:$B$14,1)))</f>
        <v>0.4</v>
      </c>
      <c r="AR23" s="903">
        <f>IF(INDEX('DATA 1'!$G$6:$G$14,MATCH(AP23,'DATA 1'!$B$6:$B$14,1)+1)=0,0.000001,INDEX('DATA 1'!$G$6:$G$14,MATCH(AP23,'DATA 1'!$B$6:$B$14,1)+1))</f>
        <v>0.4</v>
      </c>
      <c r="AS23" s="913">
        <f>INDEX('DATA 1'!$B$6:$B$14,MATCH(AP23,'DATA 1'!$B$6:$B$14,1))</f>
        <v>150</v>
      </c>
      <c r="AT23" s="911">
        <f>INDEX('DATA 1'!$B$6:$B$14,MATCH(AP23,'DATA 1'!$B$6:$B$14,1)+1)</f>
        <v>200</v>
      </c>
      <c r="AU23" s="767">
        <f t="shared" si="3"/>
        <v>0.4</v>
      </c>
      <c r="AV23" s="907"/>
      <c r="BC23" s="905"/>
      <c r="BD23" s="904">
        <f>'BUDGET NAIK'!$O$39</f>
        <v>150</v>
      </c>
      <c r="BE23" s="909">
        <f>IF(INDEX('DATA 1'!$E$6:$E$14,MATCH(BD23,'DATA 1'!$B$6:$B$14,1)+1)=0,0.000001,INDEX('DATA 1'!$E$6:$E$14,MATCH(BD23,'DATA 1'!$B$6:$B$14,1)))</f>
        <v>0.2</v>
      </c>
      <c r="BF23" s="909">
        <f>IF(INDEX('DATA 1'!$E$6:$E$14,MATCH(BD23,'DATA 1'!$B$6:$B$14,1)+1)=0,0.000001,INDEX('DATA 1'!$E$6:$E$14,MATCH(BD23,'DATA 1'!$B$6:$B$14,1)+1))</f>
        <v>0.2</v>
      </c>
      <c r="BG23" s="912">
        <f>INDEX('DATA 1'!$B$6:$B$14,MATCH(BD23,'DATA 1'!$B$6:$B$14,1))</f>
        <v>150</v>
      </c>
      <c r="BH23" s="767">
        <f>INDEX('DATA 1'!$B$6:$B$14,MATCH(BD23,'DATA 1'!$B$6:$B$14,1)+1)</f>
        <v>200</v>
      </c>
      <c r="BI23" s="767">
        <f t="shared" si="4"/>
        <v>0.2</v>
      </c>
      <c r="BO23" s="904">
        <f>'BUDGET TURUN'!$O$39</f>
        <v>150</v>
      </c>
      <c r="BP23" s="903">
        <f>IF(INDEX('DATA 1'!$H$6:$H$14,MATCH(BO23,'DATA 1'!$B$6:$B$14,1)+1)=0,0.000001,INDEX('DATA 1'!$H$6:$H$14,MATCH(BO23,'DATA 1'!$B$6:$B$14,1)))</f>
        <v>0.15000000000000002</v>
      </c>
      <c r="BQ23" s="903">
        <f>IF(INDEX('DATA 1'!$H$6:$H$14,MATCH(BO23,'DATA 1'!$B$6:$B$14,1)+1)=0,0.000001,INDEX('DATA 1'!$H$6:$H$14,MATCH(BO23,'DATA 1'!$B$6:$B$14,1)+1))</f>
        <v>0.15000000000000002</v>
      </c>
      <c r="BR23" s="913">
        <f>INDEX('DATA 1'!$B$6:$B$14,MATCH(BO23,'DATA 1'!$B$6:$B$14,1))</f>
        <v>150</v>
      </c>
      <c r="BS23" s="911">
        <f>INDEX('DATA 1'!$B$6:$B$14,MATCH(BO23,'DATA 1'!$B$6:$B$14,1)+1)</f>
        <v>200</v>
      </c>
      <c r="BT23" s="767">
        <f t="shared" si="5"/>
        <v>0.15000000000000002</v>
      </c>
      <c r="BU23" s="907"/>
      <c r="CB23" s="905"/>
      <c r="CC23" s="1255"/>
      <c r="CD23" s="1255"/>
      <c r="CE23" s="1255"/>
      <c r="CF23" s="1255"/>
      <c r="CG23" s="1255"/>
      <c r="CH23" s="1256"/>
      <c r="CN23" s="1255"/>
      <c r="CO23" s="1255"/>
      <c r="CP23" s="1255"/>
      <c r="CQ23" s="1255"/>
      <c r="CR23" s="1255"/>
      <c r="CS23" s="1256"/>
      <c r="CT23" s="907"/>
    </row>
    <row r="24" spans="5:123" x14ac:dyDescent="0.25">
      <c r="E24" s="905"/>
      <c r="G24" s="914"/>
      <c r="H24" s="914"/>
      <c r="I24" s="912"/>
      <c r="J24" s="767"/>
      <c r="K24" s="767"/>
      <c r="W24" s="907"/>
      <c r="AD24" s="905"/>
      <c r="AF24" s="914"/>
      <c r="AG24" s="914"/>
      <c r="AH24" s="912"/>
      <c r="AI24" s="767"/>
      <c r="AJ24" s="767"/>
      <c r="AV24" s="907"/>
      <c r="BC24" s="905"/>
      <c r="BU24" s="907"/>
      <c r="CB24" s="905"/>
      <c r="CC24" s="908">
        <f>IF(ID!C22=0,0.000001,ID!C22)</f>
        <v>22.5</v>
      </c>
      <c r="CD24" s="909">
        <f>IF(INDEX('DATA 1'!$K$6:$K$12,MATCH(CC24,'DATA 1'!$J$6:$J$12,1)+1)=0,0.000001,INDEX('DATA 1'!$K$6:$K$12,MATCH(CC24,'DATA 1'!$J$6:$J$12,1)))</f>
        <v>0.2</v>
      </c>
      <c r="CE24" s="909">
        <f>IF(INDEX('DATA 1'!$K$6:$K$12,MATCH(CC24,'DATA 1'!$J$6:$J$12)+1)=0,0.000001,INDEX('DATA 1'!$K$6:$K$12,MATCH(CC24,'DATA 1'!$J$6:$J$12,1)+1))</f>
        <v>0.1</v>
      </c>
      <c r="CF24" s="910">
        <f>IF(INDEX('DATA 1'!$J$6:$J$12,MATCH(CC24,'DATA 1'!$J$6:$J$12,1)+1)=0,0.000001,INDEX('DATA 1'!$J$6:$J$12,MATCH(CC24,'DATA 1'!$J$6:$J$12,1)))</f>
        <v>20</v>
      </c>
      <c r="CG24" s="767">
        <f>INDEX('DATA 1'!$J$6:$J$12,MATCH(CC24,'DATA 1'!$J$6:$J$12,1)+1)</f>
        <v>25</v>
      </c>
      <c r="CH24" s="767">
        <f>(((CC24-CF24)*(CE24-CD24))/(CG24-CF24))+CD24</f>
        <v>0.15000000000000002</v>
      </c>
      <c r="CN24" s="908">
        <f>IF(ID!C23=0,0.000001,ID!C23)</f>
        <v>55.7</v>
      </c>
      <c r="CO24" s="909">
        <f>IF(INDEX('DATA 1'!$N$6:$N$12,MATCH(CN24,'DATA 1'!$M$6:$M$12,1)+1)=0,0.000001,INDEX('DATA 1'!$N$6:$N$12,MATCH(CN24,'DATA 1'!$M$6:$M$12,1)))</f>
        <v>-3.1</v>
      </c>
      <c r="CP24" s="909">
        <f>IF(INDEX('DATA 1'!$N$6:$N$12,MATCH(CN24,'DATA 1'!$M$6:$M$12)+1)=0,0.000001,INDEX('DATA 1'!$N$6:$N$12,MATCH(CN24,'DATA 1'!$M$6:$M$12,1)+1))</f>
        <v>-2.1</v>
      </c>
      <c r="CQ24" s="910">
        <f>IF(INDEX('DATA 1'!$M$6:$M$12,MATCH(CN24,'DATA 1'!$M$6:$M$12,1)+1)=0,0.000001,INDEX('DATA 1'!$M$6:$M$12,MATCH(CN24,'DATA 1'!$M$6:$M$12,1)))</f>
        <v>50</v>
      </c>
      <c r="CR24" s="767">
        <f>INDEX('DATA 1'!$M$6:$M$12,MATCH(CN24,'DATA 1'!$M$6:$M$12,1)+1)</f>
        <v>60</v>
      </c>
      <c r="CS24" s="767">
        <f>(((CN24-CQ24)*(CP24-CO24))/(CR24-CQ24))+CO24</f>
        <v>-2.5299999999999998</v>
      </c>
      <c r="CT24" s="907"/>
    </row>
    <row r="25" spans="5:123" ht="14.4" thickBot="1" x14ac:dyDescent="0.3">
      <c r="E25" s="915"/>
      <c r="F25" s="916"/>
      <c r="G25" s="917"/>
      <c r="H25" s="917"/>
      <c r="I25" s="918"/>
      <c r="J25" s="919"/>
      <c r="K25" s="919"/>
      <c r="L25" s="916"/>
      <c r="M25" s="916"/>
      <c r="N25" s="916"/>
      <c r="O25" s="916"/>
      <c r="P25" s="916"/>
      <c r="Q25" s="916"/>
      <c r="R25" s="916"/>
      <c r="S25" s="916"/>
      <c r="T25" s="916"/>
      <c r="U25" s="916"/>
      <c r="V25" s="916"/>
      <c r="W25" s="920"/>
      <c r="AD25" s="915"/>
      <c r="AE25" s="916"/>
      <c r="AF25" s="916"/>
      <c r="AG25" s="916"/>
      <c r="AH25" s="916"/>
      <c r="AI25" s="916"/>
      <c r="AJ25" s="916"/>
      <c r="AK25" s="916"/>
      <c r="AL25" s="916"/>
      <c r="AM25" s="916"/>
      <c r="AN25" s="916"/>
      <c r="AO25" s="916"/>
      <c r="AP25" s="916"/>
      <c r="AQ25" s="916"/>
      <c r="AR25" s="916"/>
      <c r="AS25" s="916"/>
      <c r="AT25" s="916"/>
      <c r="AU25" s="916"/>
      <c r="AV25" s="920"/>
      <c r="BC25" s="915"/>
      <c r="BD25" s="916"/>
      <c r="BE25" s="916"/>
      <c r="BF25" s="916"/>
      <c r="BG25" s="916"/>
      <c r="BH25" s="916"/>
      <c r="BI25" s="916"/>
      <c r="BJ25" s="916"/>
      <c r="BK25" s="916"/>
      <c r="BL25" s="916"/>
      <c r="BM25" s="916"/>
      <c r="BN25" s="916"/>
      <c r="BO25" s="916"/>
      <c r="BP25" s="916"/>
      <c r="BQ25" s="916"/>
      <c r="BR25" s="916"/>
      <c r="BS25" s="916"/>
      <c r="BT25" s="916"/>
      <c r="BU25" s="920"/>
      <c r="CB25" s="905"/>
      <c r="CT25" s="907"/>
    </row>
    <row r="26" spans="5:123" ht="14.4" thickBot="1" x14ac:dyDescent="0.3">
      <c r="CB26" s="915"/>
      <c r="CC26" s="916"/>
      <c r="CD26" s="916"/>
      <c r="CE26" s="916"/>
      <c r="CF26" s="916"/>
      <c r="CG26" s="916"/>
      <c r="CH26" s="916"/>
      <c r="CI26" s="916"/>
      <c r="CJ26" s="916"/>
      <c r="CK26" s="916"/>
      <c r="CL26" s="916"/>
      <c r="CM26" s="916"/>
      <c r="CN26" s="916"/>
      <c r="CO26" s="916"/>
      <c r="CP26" s="916"/>
      <c r="CQ26" s="916"/>
      <c r="CR26" s="916"/>
      <c r="CS26" s="916"/>
      <c r="CT26" s="920"/>
    </row>
  </sheetData>
  <mergeCells count="90">
    <mergeCell ref="BS16:BS17"/>
    <mergeCell ref="BT16:BT17"/>
    <mergeCell ref="BC12:BU13"/>
    <mergeCell ref="BD16:BD17"/>
    <mergeCell ref="BE16:BE17"/>
    <mergeCell ref="BF16:BF17"/>
    <mergeCell ref="BG16:BG17"/>
    <mergeCell ref="BH16:BH17"/>
    <mergeCell ref="BI16:BI17"/>
    <mergeCell ref="BO16:BO17"/>
    <mergeCell ref="BP16:BP17"/>
    <mergeCell ref="BQ16:BQ17"/>
    <mergeCell ref="BP15:BT15"/>
    <mergeCell ref="F15:K15"/>
    <mergeCell ref="E12:W13"/>
    <mergeCell ref="AD12:AV13"/>
    <mergeCell ref="F16:F17"/>
    <mergeCell ref="Q16:Q17"/>
    <mergeCell ref="R16:R17"/>
    <mergeCell ref="S16:S17"/>
    <mergeCell ref="T16:T17"/>
    <mergeCell ref="K16:K17"/>
    <mergeCell ref="J16:J17"/>
    <mergeCell ref="I16:I17"/>
    <mergeCell ref="H16:H17"/>
    <mergeCell ref="G16:G17"/>
    <mergeCell ref="U16:U17"/>
    <mergeCell ref="V16:V17"/>
    <mergeCell ref="AE16:AE17"/>
    <mergeCell ref="CH16:CH17"/>
    <mergeCell ref="CC15:CH15"/>
    <mergeCell ref="R15:V15"/>
    <mergeCell ref="AQ15:AU15"/>
    <mergeCell ref="AF16:AF17"/>
    <mergeCell ref="AG16:AG17"/>
    <mergeCell ref="AR16:AR17"/>
    <mergeCell ref="AS16:AS17"/>
    <mergeCell ref="AT16:AT17"/>
    <mergeCell ref="AU16:AU17"/>
    <mergeCell ref="AH16:AH17"/>
    <mergeCell ref="AI16:AI17"/>
    <mergeCell ref="AJ16:AJ17"/>
    <mergeCell ref="AP16:AP17"/>
    <mergeCell ref="AQ16:AQ17"/>
    <mergeCell ref="BR16:BR17"/>
    <mergeCell ref="CC16:CC17"/>
    <mergeCell ref="CD16:CD17"/>
    <mergeCell ref="CE16:CE17"/>
    <mergeCell ref="CF16:CF17"/>
    <mergeCell ref="CG16:CG17"/>
    <mergeCell ref="CC21:CH21"/>
    <mergeCell ref="CC22:CC23"/>
    <mergeCell ref="CD22:CD23"/>
    <mergeCell ref="CE22:CE23"/>
    <mergeCell ref="CF22:CF23"/>
    <mergeCell ref="CG22:CG23"/>
    <mergeCell ref="CH22:CH23"/>
    <mergeCell ref="DQ16:DQ17"/>
    <mergeCell ref="DR16:DR17"/>
    <mergeCell ref="CN21:CS21"/>
    <mergeCell ref="CN22:CN23"/>
    <mergeCell ref="CO22:CO23"/>
    <mergeCell ref="CP22:CP23"/>
    <mergeCell ref="CQ22:CQ23"/>
    <mergeCell ref="CR22:CR23"/>
    <mergeCell ref="CS22:CS23"/>
    <mergeCell ref="CN16:CN17"/>
    <mergeCell ref="CO16:CO17"/>
    <mergeCell ref="CP16:CP17"/>
    <mergeCell ref="CQ16:CQ17"/>
    <mergeCell ref="CR16:CR17"/>
    <mergeCell ref="CS16:CS17"/>
    <mergeCell ref="DG16:DG17"/>
    <mergeCell ref="DM16:DM17"/>
    <mergeCell ref="DN16:DN17"/>
    <mergeCell ref="DO16:DO17"/>
    <mergeCell ref="DP16:DP17"/>
    <mergeCell ref="DB16:DB17"/>
    <mergeCell ref="DC16:DC17"/>
    <mergeCell ref="DD16:DD17"/>
    <mergeCell ref="DE16:DE17"/>
    <mergeCell ref="DF16:DF17"/>
    <mergeCell ref="AE15:AJ15"/>
    <mergeCell ref="BD15:BI15"/>
    <mergeCell ref="DA12:DH13"/>
    <mergeCell ref="DL12:DS13"/>
    <mergeCell ref="CB12:CT13"/>
    <mergeCell ref="DB15:DG15"/>
    <mergeCell ref="DM15:DR15"/>
    <mergeCell ref="CN15:CS15"/>
  </mergeCells>
  <pageMargins left="0.7" right="0.7" top="0.75" bottom="0.75" header="0.3" footer="0.3"/>
  <pageSetup paperSize="9" orientation="portrait" horizontalDpi="0" verticalDpi="0" r:id="rId1"/>
  <ignoredErrors>
    <ignoredError sqref="BH18" unlocked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IJ201"/>
  <sheetViews>
    <sheetView view="pageBreakPreview" topLeftCell="A21" zoomScaleNormal="100" zoomScaleSheetLayoutView="100" workbookViewId="0">
      <selection activeCell="J27" sqref="J27"/>
    </sheetView>
  </sheetViews>
  <sheetFormatPr defaultColWidth="9.21875" defaultRowHeight="15.6" x14ac:dyDescent="0.3"/>
  <cols>
    <col min="1" max="1" width="5.44140625" style="322" customWidth="1"/>
    <col min="2" max="2" width="4" style="321" customWidth="1"/>
    <col min="3" max="3" width="14.5546875" style="321" customWidth="1"/>
    <col min="4" max="4" width="0.5546875" style="321" hidden="1" customWidth="1"/>
    <col min="5" max="5" width="1.44140625" style="321" customWidth="1"/>
    <col min="6" max="7" width="9" style="321" customWidth="1"/>
    <col min="8" max="9" width="9.77734375" style="321" customWidth="1"/>
    <col min="10" max="10" width="12.5546875" style="321" customWidth="1"/>
    <col min="11" max="11" width="11.44140625" style="321" customWidth="1"/>
    <col min="12" max="12" width="11.77734375" style="321" customWidth="1"/>
    <col min="13" max="13" width="7.77734375" style="321" customWidth="1"/>
    <col min="14" max="15" width="10.21875" style="321" customWidth="1"/>
    <col min="16" max="16" width="4.77734375" style="67" customWidth="1"/>
    <col min="17" max="219" width="9.21875" style="67" customWidth="1"/>
    <col min="220" max="243" width="10.21875" style="67" customWidth="1"/>
    <col min="244" max="244" width="7.5546875" style="67" customWidth="1"/>
    <col min="245" max="251" width="8.77734375" style="67" customWidth="1"/>
    <col min="252" max="16384" width="9.21875" style="67"/>
  </cols>
  <sheetData>
    <row r="1" spans="1:244" ht="17.399999999999999" x14ac:dyDescent="0.3">
      <c r="A1" s="1262" t="s">
        <v>87</v>
      </c>
      <c r="B1" s="1262"/>
      <c r="C1" s="1262"/>
      <c r="D1" s="1262"/>
      <c r="E1" s="1262"/>
      <c r="F1" s="1262"/>
      <c r="G1" s="1262"/>
      <c r="H1" s="1262"/>
      <c r="I1" s="1262"/>
      <c r="J1" s="1262"/>
      <c r="K1" s="1262"/>
      <c r="L1" s="1262"/>
      <c r="M1" s="1262"/>
      <c r="N1" s="945"/>
      <c r="O1" s="945"/>
      <c r="P1" s="66"/>
    </row>
    <row r="2" spans="1:244" x14ac:dyDescent="0.3">
      <c r="A2" s="1288" t="str">
        <f>PENYELIA!A2</f>
        <v>Nomor Surat Keterangan : 44 / M - 11 / II - 21 / E - 035.66 DL</v>
      </c>
      <c r="B2" s="1288"/>
      <c r="C2" s="1288"/>
      <c r="D2" s="1288"/>
      <c r="E2" s="1288"/>
      <c r="F2" s="1288"/>
      <c r="G2" s="1288"/>
      <c r="H2" s="1288"/>
      <c r="I2" s="1288"/>
      <c r="J2" s="1288"/>
      <c r="K2" s="1288"/>
      <c r="L2" s="1288"/>
      <c r="M2" s="1288"/>
      <c r="N2" s="944"/>
      <c r="O2" s="944"/>
      <c r="IJ2" s="67" t="s">
        <v>29</v>
      </c>
    </row>
    <row r="3" spans="1:244" ht="5.25" customHeight="1" x14ac:dyDescent="0.3">
      <c r="A3" s="483"/>
      <c r="B3" s="484"/>
      <c r="C3" s="484"/>
      <c r="D3" s="484"/>
      <c r="E3" s="484"/>
      <c r="F3" s="484"/>
      <c r="G3" s="484"/>
      <c r="H3" s="484"/>
      <c r="I3" s="484"/>
      <c r="J3" s="484"/>
      <c r="K3" s="484"/>
      <c r="L3" s="484"/>
      <c r="M3" s="484"/>
      <c r="N3" s="485"/>
    </row>
    <row r="4" spans="1:244" ht="16.8" hidden="1" x14ac:dyDescent="0.3">
      <c r="K4" s="486"/>
      <c r="L4" s="486"/>
      <c r="M4" s="486"/>
      <c r="N4" s="486"/>
    </row>
    <row r="5" spans="1:244" x14ac:dyDescent="0.3">
      <c r="A5" s="359" t="str">
        <f>ID!A6</f>
        <v xml:space="preserve">Merek                </v>
      </c>
      <c r="B5" s="359"/>
      <c r="C5" s="359"/>
      <c r="D5" s="358" t="s">
        <v>0</v>
      </c>
      <c r="E5" s="358" t="s">
        <v>0</v>
      </c>
      <c r="F5" s="359" t="str">
        <f>ID!C6</f>
        <v>COSMO Med</v>
      </c>
      <c r="G5" s="358"/>
      <c r="H5" s="358"/>
      <c r="J5" s="359"/>
      <c r="K5" s="359"/>
      <c r="L5" s="359"/>
      <c r="M5" s="327"/>
      <c r="N5" s="327"/>
      <c r="O5" s="327"/>
      <c r="IJ5" s="67" t="s">
        <v>30</v>
      </c>
    </row>
    <row r="6" spans="1:244" x14ac:dyDescent="0.3">
      <c r="A6" s="359" t="str">
        <f>ID!A7</f>
        <v>Model</v>
      </c>
      <c r="B6" s="359"/>
      <c r="C6" s="359"/>
      <c r="D6" s="358" t="s">
        <v>0</v>
      </c>
      <c r="E6" s="358" t="s">
        <v>0</v>
      </c>
      <c r="F6" s="359" t="str">
        <f>ID!C7</f>
        <v>-</v>
      </c>
      <c r="G6" s="358"/>
      <c r="H6" s="358"/>
      <c r="J6" s="359"/>
      <c r="K6" s="359"/>
      <c r="L6" s="359"/>
      <c r="M6" s="327"/>
      <c r="N6" s="327"/>
      <c r="O6" s="327"/>
    </row>
    <row r="7" spans="1:244" x14ac:dyDescent="0.3">
      <c r="A7" s="359" t="str">
        <f>ID!A8</f>
        <v xml:space="preserve">No. Seri         </v>
      </c>
      <c r="B7" s="359"/>
      <c r="C7" s="359"/>
      <c r="D7" s="358"/>
      <c r="E7" s="358" t="s">
        <v>0</v>
      </c>
      <c r="F7" s="359" t="str">
        <f>ID!C8</f>
        <v>-</v>
      </c>
      <c r="G7" s="358"/>
      <c r="H7" s="358"/>
      <c r="J7" s="359"/>
      <c r="K7" s="359"/>
      <c r="L7" s="359"/>
      <c r="M7" s="327"/>
      <c r="N7" s="327"/>
      <c r="O7" s="327"/>
    </row>
    <row r="8" spans="1:244" x14ac:dyDescent="0.3">
      <c r="A8" s="359" t="str">
        <f>ID!A9</f>
        <v>Resolusi</v>
      </c>
      <c r="B8" s="327"/>
      <c r="C8" s="327"/>
      <c r="D8" s="327"/>
      <c r="E8" s="327" t="s">
        <v>0</v>
      </c>
      <c r="F8" s="487">
        <f>ID!C9</f>
        <v>2</v>
      </c>
      <c r="G8" s="327"/>
      <c r="H8" s="327"/>
      <c r="J8" s="358"/>
      <c r="K8" s="358"/>
      <c r="L8" s="358"/>
      <c r="M8" s="327"/>
      <c r="N8" s="327"/>
      <c r="O8" s="327"/>
    </row>
    <row r="9" spans="1:244" x14ac:dyDescent="0.3">
      <c r="A9" s="359" t="str">
        <f>ID!A10</f>
        <v>Tanggal Penerimaan Alat</v>
      </c>
      <c r="B9" s="358"/>
      <c r="C9" s="358"/>
      <c r="D9" s="358" t="s">
        <v>0</v>
      </c>
      <c r="E9" s="358" t="s">
        <v>0</v>
      </c>
      <c r="F9" s="1287">
        <f>ID!C10</f>
        <v>44641</v>
      </c>
      <c r="G9" s="1287"/>
      <c r="H9" s="358"/>
      <c r="J9" s="358"/>
      <c r="K9" s="358"/>
      <c r="L9" s="358"/>
      <c r="M9" s="327"/>
      <c r="N9" s="327"/>
      <c r="O9" s="327"/>
    </row>
    <row r="10" spans="1:244" x14ac:dyDescent="0.3">
      <c r="A10" s="359" t="str">
        <f>ID!A11</f>
        <v>Tanggal Kalibrasi</v>
      </c>
      <c r="B10" s="358"/>
      <c r="C10" s="358"/>
      <c r="D10" s="358" t="s">
        <v>0</v>
      </c>
      <c r="E10" s="358" t="s">
        <v>0</v>
      </c>
      <c r="F10" s="1287" t="str">
        <f>ID!C11</f>
        <v>21 Maret 2022</v>
      </c>
      <c r="G10" s="1287"/>
      <c r="H10" s="358"/>
      <c r="J10" s="359"/>
      <c r="K10" s="359"/>
      <c r="L10" s="359"/>
      <c r="M10" s="327"/>
      <c r="N10" s="327"/>
      <c r="O10" s="327"/>
    </row>
    <row r="11" spans="1:244" x14ac:dyDescent="0.3">
      <c r="A11" s="359" t="str">
        <f>ID!A12</f>
        <v>Tempat Kalibrasi</v>
      </c>
      <c r="B11" s="359"/>
      <c r="C11" s="359"/>
      <c r="D11" s="358"/>
      <c r="E11" s="358" t="s">
        <v>0</v>
      </c>
      <c r="F11" s="359" t="str">
        <f>ID!C12</f>
        <v>ICU</v>
      </c>
      <c r="G11" s="358"/>
      <c r="H11" s="358"/>
      <c r="J11" s="358"/>
      <c r="K11" s="358"/>
      <c r="L11" s="358"/>
      <c r="M11" s="327"/>
      <c r="N11" s="327"/>
      <c r="O11" s="327"/>
    </row>
    <row r="12" spans="1:244" x14ac:dyDescent="0.3">
      <c r="A12" s="359" t="str">
        <f>ID!A13</f>
        <v>Nama Ruang</v>
      </c>
      <c r="B12" s="359"/>
      <c r="C12" s="359"/>
      <c r="D12" s="358"/>
      <c r="E12" s="358" t="s">
        <v>0</v>
      </c>
      <c r="F12" s="359" t="str">
        <f>ID!C13</f>
        <v>VK</v>
      </c>
      <c r="G12" s="358"/>
      <c r="H12" s="358"/>
      <c r="J12" s="358"/>
      <c r="K12" s="358"/>
      <c r="L12" s="358"/>
      <c r="M12" s="327"/>
      <c r="N12" s="327"/>
      <c r="O12" s="327"/>
    </row>
    <row r="13" spans="1:244" x14ac:dyDescent="0.3">
      <c r="A13" s="359" t="s">
        <v>177</v>
      </c>
      <c r="B13" s="359"/>
      <c r="C13" s="359"/>
      <c r="D13" s="358"/>
      <c r="E13" s="358" t="s">
        <v>0</v>
      </c>
      <c r="F13" s="352" t="s">
        <v>178</v>
      </c>
      <c r="G13" s="358"/>
      <c r="H13" s="358"/>
      <c r="J13" s="358"/>
      <c r="K13" s="358"/>
      <c r="L13" s="358"/>
      <c r="M13" s="327"/>
      <c r="N13" s="327"/>
      <c r="O13" s="327"/>
    </row>
    <row r="14" spans="1:244" hidden="1" x14ac:dyDescent="0.3">
      <c r="A14" s="463"/>
      <c r="B14" s="462"/>
      <c r="C14" s="462"/>
      <c r="D14" s="462"/>
      <c r="E14" s="462"/>
      <c r="F14" s="462"/>
      <c r="G14" s="462"/>
      <c r="H14" s="462"/>
      <c r="I14" s="462"/>
      <c r="J14" s="325"/>
      <c r="K14" s="325"/>
      <c r="L14" s="325"/>
      <c r="M14" s="326"/>
      <c r="N14" s="326"/>
      <c r="O14" s="326"/>
    </row>
    <row r="15" spans="1:244" ht="18" customHeight="1" x14ac:dyDescent="0.3">
      <c r="A15" s="328" t="str">
        <f>ID!A18</f>
        <v>I. Kondisi Ruang</v>
      </c>
      <c r="B15" s="328"/>
      <c r="C15" s="328"/>
      <c r="D15" s="328"/>
      <c r="E15" s="328"/>
      <c r="F15" s="328"/>
      <c r="G15" s="328"/>
      <c r="H15" s="328"/>
      <c r="I15" s="328"/>
      <c r="J15" s="328"/>
      <c r="K15" s="325"/>
      <c r="L15" s="325"/>
      <c r="M15" s="326"/>
      <c r="N15" s="326"/>
      <c r="O15" s="326"/>
    </row>
    <row r="16" spans="1:244" x14ac:dyDescent="0.3">
      <c r="A16" s="324"/>
      <c r="B16" s="1298" t="s">
        <v>15</v>
      </c>
      <c r="C16" s="1298"/>
      <c r="D16" s="325" t="s">
        <v>0</v>
      </c>
      <c r="E16" s="325" t="s">
        <v>0</v>
      </c>
      <c r="F16" s="891">
        <f>PENYELIA!F17</f>
        <v>22.65</v>
      </c>
      <c r="G16" s="837" t="str">
        <f>PENYELIA!G17</f>
        <v>±</v>
      </c>
      <c r="H16" s="836">
        <f>PENYELIA!H17</f>
        <v>0.3</v>
      </c>
      <c r="I16" s="833" t="s">
        <v>453</v>
      </c>
      <c r="M16" s="326"/>
      <c r="N16" s="326"/>
      <c r="O16" s="326"/>
    </row>
    <row r="17" spans="1:15" x14ac:dyDescent="0.3">
      <c r="A17" s="324"/>
      <c r="B17" s="1298" t="s">
        <v>25</v>
      </c>
      <c r="C17" s="1298"/>
      <c r="D17" s="325" t="s">
        <v>0</v>
      </c>
      <c r="E17" s="325" t="s">
        <v>0</v>
      </c>
      <c r="F17" s="891">
        <f>PENYELIA!F18</f>
        <v>53.28</v>
      </c>
      <c r="G17" s="837" t="str">
        <f>PENYELIA!G18</f>
        <v>±</v>
      </c>
      <c r="H17" s="836">
        <f>PENYELIA!H18</f>
        <v>1.5</v>
      </c>
      <c r="I17" s="834" t="s">
        <v>455</v>
      </c>
      <c r="M17" s="326"/>
      <c r="N17" s="326"/>
      <c r="O17" s="326"/>
    </row>
    <row r="18" spans="1:15" ht="16.5" customHeight="1" x14ac:dyDescent="0.3">
      <c r="A18" s="329" t="str">
        <f>ID!A36</f>
        <v>II. Pemeriksaan Kondisi Fisik dan Fungsi Alat</v>
      </c>
      <c r="B18" s="330"/>
      <c r="C18" s="330"/>
      <c r="D18" s="330"/>
      <c r="E18" s="330"/>
      <c r="F18" s="330"/>
      <c r="G18" s="330"/>
      <c r="H18" s="330"/>
      <c r="I18" s="330"/>
      <c r="J18" s="330"/>
      <c r="K18" s="330"/>
      <c r="L18" s="326"/>
      <c r="M18" s="326"/>
      <c r="N18" s="326"/>
      <c r="O18" s="326"/>
    </row>
    <row r="19" spans="1:15" x14ac:dyDescent="0.3">
      <c r="A19" s="331"/>
      <c r="B19" s="326" t="s">
        <v>31</v>
      </c>
      <c r="C19" s="326"/>
      <c r="D19" s="326" t="s">
        <v>32</v>
      </c>
      <c r="E19" s="326" t="s">
        <v>0</v>
      </c>
      <c r="F19" s="331" t="str">
        <f>ID!C37</f>
        <v>Baik</v>
      </c>
      <c r="G19" s="326"/>
      <c r="H19" s="326"/>
      <c r="J19" s="326"/>
      <c r="K19" s="326"/>
      <c r="L19" s="326"/>
      <c r="M19" s="326"/>
      <c r="N19" s="326"/>
      <c r="O19" s="326"/>
    </row>
    <row r="20" spans="1:15" x14ac:dyDescent="0.3">
      <c r="A20" s="331"/>
      <c r="B20" s="326" t="s">
        <v>33</v>
      </c>
      <c r="C20" s="326"/>
      <c r="D20" s="326" t="s">
        <v>32</v>
      </c>
      <c r="E20" s="326" t="s">
        <v>0</v>
      </c>
      <c r="F20" s="331" t="str">
        <f>ID!C38</f>
        <v>Baik</v>
      </c>
      <c r="G20" s="326"/>
      <c r="H20" s="326"/>
      <c r="J20" s="326"/>
      <c r="K20" s="326"/>
      <c r="L20" s="326"/>
      <c r="M20" s="326"/>
      <c r="N20" s="326"/>
      <c r="O20" s="326"/>
    </row>
    <row r="21" spans="1:15" ht="15.75" customHeight="1" x14ac:dyDescent="0.3">
      <c r="A21" s="328" t="str">
        <f>ID!A39</f>
        <v>III. Pengujian Kinerja</v>
      </c>
      <c r="B21" s="332"/>
      <c r="C21" s="332"/>
      <c r="D21" s="332"/>
      <c r="E21" s="332"/>
      <c r="F21" s="332"/>
      <c r="G21" s="332"/>
      <c r="H21" s="332"/>
      <c r="I21" s="332"/>
      <c r="J21" s="332"/>
      <c r="K21" s="325"/>
      <c r="L21" s="325"/>
      <c r="M21" s="326"/>
      <c r="N21" s="326"/>
      <c r="O21" s="326"/>
    </row>
    <row r="22" spans="1:15" x14ac:dyDescent="0.3">
      <c r="A22" s="328" t="str">
        <f>ID!A40</f>
        <v>A. Pengujian Kebocoran</v>
      </c>
      <c r="B22" s="328"/>
      <c r="C22" s="333"/>
      <c r="D22" s="333"/>
      <c r="E22" s="333"/>
      <c r="F22" s="333"/>
      <c r="G22" s="333"/>
      <c r="H22" s="333"/>
      <c r="I22" s="333"/>
      <c r="J22" s="332"/>
      <c r="K22" s="325"/>
      <c r="L22" s="325"/>
      <c r="M22" s="326"/>
      <c r="N22" s="326"/>
      <c r="O22" s="326"/>
    </row>
    <row r="23" spans="1:15" ht="20.25" customHeight="1" x14ac:dyDescent="0.3">
      <c r="A23" s="324"/>
      <c r="B23" s="1299" t="s">
        <v>53</v>
      </c>
      <c r="C23" s="1269"/>
      <c r="D23" s="1269"/>
      <c r="E23" s="1270"/>
      <c r="F23" s="1289" t="str">
        <f>PENYELIA!F26</f>
        <v>Laju Kebocoran tekanan 250 mmHg dalam 1 menit</v>
      </c>
      <c r="G23" s="1290"/>
      <c r="H23" s="1291"/>
      <c r="I23" s="1261" t="s">
        <v>37</v>
      </c>
      <c r="M23" s="326"/>
      <c r="N23" s="326"/>
      <c r="O23" s="326"/>
    </row>
    <row r="24" spans="1:15" x14ac:dyDescent="0.3">
      <c r="A24" s="324"/>
      <c r="B24" s="1271"/>
      <c r="C24" s="1272"/>
      <c r="D24" s="1272"/>
      <c r="E24" s="1273"/>
      <c r="F24" s="1292"/>
      <c r="G24" s="1293"/>
      <c r="H24" s="1294"/>
      <c r="I24" s="1284"/>
      <c r="M24" s="326"/>
      <c r="N24" s="326"/>
      <c r="O24" s="326"/>
    </row>
    <row r="25" spans="1:15" x14ac:dyDescent="0.3">
      <c r="A25" s="324"/>
      <c r="B25" s="1281"/>
      <c r="C25" s="1282"/>
      <c r="D25" s="1282"/>
      <c r="E25" s="1283"/>
      <c r="F25" s="1281" t="s">
        <v>4</v>
      </c>
      <c r="G25" s="1282"/>
      <c r="H25" s="1283"/>
      <c r="I25" s="334" t="s">
        <v>4</v>
      </c>
      <c r="M25" s="326"/>
      <c r="N25" s="326"/>
      <c r="O25" s="326"/>
    </row>
    <row r="26" spans="1:15" x14ac:dyDescent="0.3">
      <c r="A26" s="324"/>
      <c r="B26" s="1300" t="s">
        <v>54</v>
      </c>
      <c r="C26" s="1301"/>
      <c r="D26" s="1301"/>
      <c r="E26" s="1302"/>
      <c r="F26" s="1295">
        <f>ID!D43</f>
        <v>27.533799999999999</v>
      </c>
      <c r="G26" s="1296"/>
      <c r="H26" s="1297"/>
      <c r="I26" s="335" t="s">
        <v>348</v>
      </c>
      <c r="M26" s="326"/>
      <c r="N26" s="326"/>
      <c r="O26" s="326"/>
    </row>
    <row r="27" spans="1:15" ht="19.5" customHeight="1" x14ac:dyDescent="0.3">
      <c r="A27" s="328" t="str">
        <f>ID!A51</f>
        <v>B. Laju Buang Cepat</v>
      </c>
      <c r="B27" s="328"/>
      <c r="C27" s="333"/>
      <c r="D27" s="333"/>
      <c r="E27" s="333"/>
      <c r="F27" s="333"/>
      <c r="G27" s="332"/>
      <c r="H27" s="325"/>
      <c r="I27" s="325"/>
      <c r="M27" s="326"/>
      <c r="N27" s="326"/>
      <c r="O27" s="326"/>
    </row>
    <row r="28" spans="1:15" ht="15.75" customHeight="1" x14ac:dyDescent="0.3">
      <c r="A28" s="324"/>
      <c r="B28" s="1299" t="s">
        <v>53</v>
      </c>
      <c r="C28" s="1269"/>
      <c r="D28" s="1269"/>
      <c r="E28" s="1270"/>
      <c r="F28" s="1289" t="str">
        <f>PENYELIA!F32</f>
        <v>Laju Buang Cepat tekanan 260 mmHg sampai dengan 15 mmHg</v>
      </c>
      <c r="G28" s="1290"/>
      <c r="H28" s="1291"/>
      <c r="I28" s="1261" t="s">
        <v>37</v>
      </c>
      <c r="M28" s="326"/>
      <c r="N28" s="326"/>
      <c r="O28" s="326"/>
    </row>
    <row r="29" spans="1:15" x14ac:dyDescent="0.3">
      <c r="A29" s="324"/>
      <c r="B29" s="1271"/>
      <c r="C29" s="1272"/>
      <c r="D29" s="1272"/>
      <c r="E29" s="1273"/>
      <c r="F29" s="1292"/>
      <c r="G29" s="1293"/>
      <c r="H29" s="1294"/>
      <c r="I29" s="1284"/>
      <c r="M29" s="326"/>
      <c r="N29" s="326"/>
      <c r="O29" s="326"/>
    </row>
    <row r="30" spans="1:15" x14ac:dyDescent="0.3">
      <c r="A30" s="324"/>
      <c r="B30" s="1281"/>
      <c r="C30" s="1282"/>
      <c r="D30" s="1282"/>
      <c r="E30" s="1283"/>
      <c r="F30" s="1281" t="s">
        <v>162</v>
      </c>
      <c r="G30" s="1282"/>
      <c r="H30" s="1283"/>
      <c r="I30" s="334" t="s">
        <v>162</v>
      </c>
      <c r="M30" s="326"/>
      <c r="N30" s="326"/>
      <c r="O30" s="326"/>
    </row>
    <row r="31" spans="1:15" x14ac:dyDescent="0.3">
      <c r="A31" s="324"/>
      <c r="B31" s="1300" t="s">
        <v>137</v>
      </c>
      <c r="C31" s="1301"/>
      <c r="D31" s="1301"/>
      <c r="E31" s="1302"/>
      <c r="F31" s="1303">
        <f>ID!D54</f>
        <v>1.7882100000000001</v>
      </c>
      <c r="G31" s="1304"/>
      <c r="H31" s="1305"/>
      <c r="I31" s="335" t="s">
        <v>209</v>
      </c>
      <c r="M31" s="326"/>
      <c r="N31" s="326"/>
      <c r="O31" s="326"/>
    </row>
    <row r="32" spans="1:15" ht="24" customHeight="1" x14ac:dyDescent="0.3">
      <c r="A32" s="328" t="str">
        <f>ID!A64</f>
        <v>C. Kalibrasi Akurasi Tekanan</v>
      </c>
      <c r="B32" s="336"/>
      <c r="C32" s="336"/>
      <c r="D32" s="336"/>
      <c r="E32" s="336"/>
      <c r="F32" s="336"/>
      <c r="G32" s="336"/>
      <c r="H32" s="336"/>
      <c r="I32" s="336"/>
      <c r="J32" s="336"/>
      <c r="K32" s="325"/>
      <c r="L32" s="325"/>
      <c r="M32" s="326"/>
      <c r="N32" s="326"/>
      <c r="O32" s="326"/>
    </row>
    <row r="33" spans="1:15" hidden="1" x14ac:dyDescent="0.3">
      <c r="A33" s="324"/>
      <c r="B33" s="1286" t="s">
        <v>3</v>
      </c>
      <c r="C33" s="1286" t="s">
        <v>18</v>
      </c>
      <c r="D33" s="1286"/>
      <c r="E33" s="1286"/>
      <c r="F33" s="941"/>
      <c r="G33" s="941"/>
      <c r="H33" s="941"/>
      <c r="I33" s="1285" t="s">
        <v>20</v>
      </c>
      <c r="J33" s="1285" t="s">
        <v>49</v>
      </c>
      <c r="K33" s="1284" t="s">
        <v>37</v>
      </c>
      <c r="L33" s="1284" t="s">
        <v>19</v>
      </c>
      <c r="M33" s="326"/>
      <c r="N33" s="326"/>
      <c r="O33" s="326"/>
    </row>
    <row r="34" spans="1:15" ht="15.75" hidden="1" customHeight="1" x14ac:dyDescent="0.3">
      <c r="A34" s="324"/>
      <c r="B34" s="1286"/>
      <c r="C34" s="1286" t="s">
        <v>8</v>
      </c>
      <c r="D34" s="1286"/>
      <c r="E34" s="1286"/>
      <c r="F34" s="941"/>
      <c r="G34" s="941"/>
      <c r="H34" s="941"/>
      <c r="I34" s="1285"/>
      <c r="J34" s="1285"/>
      <c r="K34" s="1285"/>
      <c r="L34" s="1285"/>
      <c r="M34" s="326"/>
      <c r="N34" s="326"/>
      <c r="O34" s="326"/>
    </row>
    <row r="35" spans="1:15" hidden="1" x14ac:dyDescent="0.3">
      <c r="A35" s="324"/>
      <c r="B35" s="1277"/>
      <c r="C35" s="1277" t="s">
        <v>4</v>
      </c>
      <c r="D35" s="1277"/>
      <c r="E35" s="1277"/>
      <c r="F35" s="458"/>
      <c r="G35" s="458"/>
      <c r="H35" s="458"/>
      <c r="I35" s="458" t="s">
        <v>4</v>
      </c>
      <c r="J35" s="458" t="s">
        <v>4</v>
      </c>
      <c r="K35" s="458" t="s">
        <v>4</v>
      </c>
      <c r="L35" s="337" t="s">
        <v>88</v>
      </c>
      <c r="M35" s="326"/>
      <c r="N35" s="326"/>
      <c r="O35" s="326"/>
    </row>
    <row r="36" spans="1:15" hidden="1" x14ac:dyDescent="0.3">
      <c r="A36" s="324"/>
      <c r="B36" s="460" t="s">
        <v>5</v>
      </c>
      <c r="C36" s="1278">
        <f>ID!A68</f>
        <v>0</v>
      </c>
      <c r="D36" s="1278"/>
      <c r="E36" s="1279"/>
      <c r="F36" s="942"/>
      <c r="G36" s="942"/>
      <c r="H36" s="942"/>
      <c r="I36" s="338" t="e">
        <f>ID!#REF!</f>
        <v>#REF!</v>
      </c>
      <c r="J36" s="338" t="e">
        <f>ID!#REF!</f>
        <v>#REF!</v>
      </c>
      <c r="K36" s="1280" t="s">
        <v>210</v>
      </c>
      <c r="L36" s="464" t="e">
        <f>IF(#REF!&lt;0.6,"0.6",#REF!)</f>
        <v>#REF!</v>
      </c>
      <c r="M36" s="326"/>
      <c r="N36" s="326"/>
      <c r="O36" s="326"/>
    </row>
    <row r="37" spans="1:15" hidden="1" x14ac:dyDescent="0.3">
      <c r="A37" s="324"/>
      <c r="B37" s="460" t="s">
        <v>6</v>
      </c>
      <c r="C37" s="1278">
        <f>ID!A69</f>
        <v>50</v>
      </c>
      <c r="D37" s="1278"/>
      <c r="E37" s="1279"/>
      <c r="F37" s="942"/>
      <c r="G37" s="942"/>
      <c r="H37" s="942"/>
      <c r="I37" s="338" t="e">
        <f>ID!#REF!</f>
        <v>#REF!</v>
      </c>
      <c r="J37" s="338" t="e">
        <f>ID!#REF!</f>
        <v>#REF!</v>
      </c>
      <c r="K37" s="1280"/>
      <c r="L37" s="464" t="e">
        <f>IF(#REF!&lt;0.6,"0.6",#REF!)</f>
        <v>#REF!</v>
      </c>
      <c r="M37" s="326"/>
      <c r="N37" s="326"/>
      <c r="O37" s="326"/>
    </row>
    <row r="38" spans="1:15" hidden="1" x14ac:dyDescent="0.3">
      <c r="A38" s="324"/>
      <c r="B38" s="460" t="s">
        <v>7</v>
      </c>
      <c r="C38" s="1278">
        <f>ID!A70</f>
        <v>70</v>
      </c>
      <c r="D38" s="1278"/>
      <c r="E38" s="1279"/>
      <c r="F38" s="942"/>
      <c r="G38" s="942"/>
      <c r="H38" s="942"/>
      <c r="I38" s="338" t="e">
        <f>ID!#REF!</f>
        <v>#REF!</v>
      </c>
      <c r="J38" s="338" t="e">
        <f>ID!#REF!</f>
        <v>#REF!</v>
      </c>
      <c r="K38" s="1280"/>
      <c r="L38" s="464" t="e">
        <f>IF(#REF!&lt;0.6,"0.6",#REF!)</f>
        <v>#REF!</v>
      </c>
      <c r="M38" s="326"/>
      <c r="N38" s="326"/>
      <c r="O38" s="326"/>
    </row>
    <row r="39" spans="1:15" ht="6.75" customHeight="1" x14ac:dyDescent="0.3">
      <c r="A39" s="324"/>
      <c r="B39" s="332"/>
      <c r="C39" s="332"/>
      <c r="D39" s="332"/>
      <c r="E39" s="339"/>
      <c r="F39" s="339"/>
      <c r="G39" s="339"/>
      <c r="H39" s="339"/>
      <c r="I39" s="340"/>
      <c r="J39" s="340"/>
      <c r="K39" s="341"/>
      <c r="L39" s="465"/>
      <c r="M39" s="326"/>
      <c r="N39" s="326"/>
      <c r="O39" s="326"/>
    </row>
    <row r="40" spans="1:15" s="195" customFormat="1" ht="32.25" customHeight="1" x14ac:dyDescent="0.25">
      <c r="A40" s="343"/>
      <c r="B40" s="1260" t="s">
        <v>3</v>
      </c>
      <c r="C40" s="1268" t="s">
        <v>354</v>
      </c>
      <c r="D40" s="1269"/>
      <c r="E40" s="1270"/>
      <c r="F40" s="1261" t="s">
        <v>20</v>
      </c>
      <c r="G40" s="1261"/>
      <c r="H40" s="1261" t="s">
        <v>49</v>
      </c>
      <c r="I40" s="1261"/>
      <c r="J40" s="1265" t="s">
        <v>353</v>
      </c>
      <c r="K40" s="1263" t="s">
        <v>19</v>
      </c>
      <c r="L40" s="1264"/>
    </row>
    <row r="41" spans="1:15" ht="15.75" customHeight="1" x14ac:dyDescent="0.3">
      <c r="A41" s="324"/>
      <c r="B41" s="1260"/>
      <c r="C41" s="1271"/>
      <c r="D41" s="1272"/>
      <c r="E41" s="1273"/>
      <c r="F41" s="466" t="s">
        <v>156</v>
      </c>
      <c r="G41" s="466" t="s">
        <v>157</v>
      </c>
      <c r="H41" s="466" t="s">
        <v>156</v>
      </c>
      <c r="I41" s="466" t="s">
        <v>157</v>
      </c>
      <c r="J41" s="1266"/>
      <c r="K41" s="466" t="s">
        <v>156</v>
      </c>
      <c r="L41" s="466" t="s">
        <v>157</v>
      </c>
    </row>
    <row r="42" spans="1:15" x14ac:dyDescent="0.3">
      <c r="A42" s="324"/>
      <c r="B42" s="1260"/>
      <c r="C42" s="1274"/>
      <c r="D42" s="1275"/>
      <c r="E42" s="1276"/>
      <c r="F42" s="458" t="s">
        <v>4</v>
      </c>
      <c r="G42" s="458" t="s">
        <v>4</v>
      </c>
      <c r="H42" s="458" t="s">
        <v>4</v>
      </c>
      <c r="I42" s="458" t="s">
        <v>4</v>
      </c>
      <c r="J42" s="1267"/>
      <c r="K42" s="337" t="s">
        <v>88</v>
      </c>
      <c r="L42" s="337" t="s">
        <v>88</v>
      </c>
    </row>
    <row r="43" spans="1:15" x14ac:dyDescent="0.3">
      <c r="A43" s="324"/>
      <c r="B43" s="460">
        <v>1</v>
      </c>
      <c r="C43" s="344">
        <f>PENYELIA!C48</f>
        <v>0</v>
      </c>
      <c r="D43" s="461"/>
      <c r="E43" s="345"/>
      <c r="F43" s="338">
        <f>PENYELIA!F48</f>
        <v>-1.9999999999999997E-9</v>
      </c>
      <c r="G43" s="338">
        <f>PENYELIA!G48</f>
        <v>-6E-9</v>
      </c>
      <c r="H43" s="890">
        <f>ID!N68</f>
        <v>-1.9999999999999997E-9</v>
      </c>
      <c r="I43" s="464">
        <f>ID!O68</f>
        <v>-6E-9</v>
      </c>
      <c r="J43" s="346"/>
      <c r="K43" s="464">
        <f>PENYELIA!K48</f>
        <v>0.60888847565242932</v>
      </c>
      <c r="L43" s="464">
        <f>PENYELIA!L48</f>
        <v>0.60888847565242932</v>
      </c>
    </row>
    <row r="44" spans="1:15" x14ac:dyDescent="0.3">
      <c r="A44" s="324"/>
      <c r="B44" s="460">
        <v>2</v>
      </c>
      <c r="C44" s="344">
        <f>PENYELIA!C49</f>
        <v>50</v>
      </c>
      <c r="D44" s="461"/>
      <c r="E44" s="345"/>
      <c r="F44" s="338">
        <f>PENYELIA!F49</f>
        <v>50.699999999999989</v>
      </c>
      <c r="G44" s="338">
        <f>PENYELIA!G49</f>
        <v>49.93333333333333</v>
      </c>
      <c r="H44" s="890">
        <f>ID!N69</f>
        <v>0.69999999999998863</v>
      </c>
      <c r="I44" s="464">
        <f>ID!O69</f>
        <v>-6.6666666666669983E-2</v>
      </c>
      <c r="J44" s="347"/>
      <c r="K44" s="464">
        <f>PENYELIA!K49</f>
        <v>0.61906579656778449</v>
      </c>
      <c r="L44" s="464">
        <f>PENYELIA!L49</f>
        <v>0.6832843085007988</v>
      </c>
    </row>
    <row r="45" spans="1:15" x14ac:dyDescent="0.3">
      <c r="A45" s="324"/>
      <c r="B45" s="460">
        <v>3</v>
      </c>
      <c r="C45" s="344">
        <f>PENYELIA!C50</f>
        <v>70</v>
      </c>
      <c r="D45" s="461"/>
      <c r="E45" s="345"/>
      <c r="F45" s="338">
        <f>PENYELIA!F50</f>
        <v>100.90600000000001</v>
      </c>
      <c r="G45" s="338">
        <f>PENYELIA!G50</f>
        <v>100.56666765646666</v>
      </c>
      <c r="H45" s="890">
        <f>ID!N70</f>
        <v>30.906000000000006</v>
      </c>
      <c r="I45" s="464">
        <f>ID!O70</f>
        <v>30.566667656466663</v>
      </c>
      <c r="J45" s="348" t="s">
        <v>168</v>
      </c>
      <c r="K45" s="464">
        <f>PENYELIA!K50</f>
        <v>0.61538099025557558</v>
      </c>
      <c r="L45" s="464">
        <f>PENYELIA!L50</f>
        <v>0.66463946123704742</v>
      </c>
    </row>
    <row r="46" spans="1:15" ht="15.75" customHeight="1" x14ac:dyDescent="0.3">
      <c r="A46" s="324"/>
      <c r="B46" s="460">
        <v>4</v>
      </c>
      <c r="C46" s="344">
        <f>PENYELIA!C51</f>
        <v>100</v>
      </c>
      <c r="D46" s="461"/>
      <c r="E46" s="345"/>
      <c r="F46" s="338">
        <f>PENYELIA!F51</f>
        <v>151.36666666666665</v>
      </c>
      <c r="G46" s="338">
        <f>PENYELIA!G51</f>
        <v>150.76666765286669</v>
      </c>
      <c r="H46" s="890">
        <f>ID!N71</f>
        <v>51.366666666666646</v>
      </c>
      <c r="I46" s="464">
        <f>ID!O71</f>
        <v>50.766667652866687</v>
      </c>
      <c r="J46" s="349" t="s">
        <v>164</v>
      </c>
      <c r="K46" s="464">
        <f>PENYELIA!K51</f>
        <v>0.61484742622066291</v>
      </c>
      <c r="L46" s="464">
        <f>PENYELIA!L51</f>
        <v>0.65214372129546749</v>
      </c>
    </row>
    <row r="47" spans="1:15" x14ac:dyDescent="0.3">
      <c r="A47" s="324"/>
      <c r="B47" s="460">
        <v>5</v>
      </c>
      <c r="C47" s="344">
        <f>PENYELIA!C52</f>
        <v>120</v>
      </c>
      <c r="D47" s="461"/>
      <c r="E47" s="345"/>
      <c r="F47" s="338">
        <f>PENYELIA!F52</f>
        <v>201.96666666666664</v>
      </c>
      <c r="G47" s="338">
        <f>PENYELIA!G52</f>
        <v>201.06666764746669</v>
      </c>
      <c r="H47" s="890">
        <f>ID!N72</f>
        <v>81.96666666666664</v>
      </c>
      <c r="I47" s="464">
        <f>ID!O72</f>
        <v>81.066667647466687</v>
      </c>
      <c r="J47" s="347"/>
      <c r="K47" s="464">
        <f>PENYELIA!K52</f>
        <v>0.62452688133509149</v>
      </c>
      <c r="L47" s="464">
        <f>PENYELIA!L52</f>
        <v>0.64469493792969146</v>
      </c>
    </row>
    <row r="48" spans="1:15" x14ac:dyDescent="0.3">
      <c r="A48" s="324"/>
      <c r="B48" s="460">
        <v>6</v>
      </c>
      <c r="C48" s="344">
        <f>PENYELIA!C53</f>
        <v>150</v>
      </c>
      <c r="D48" s="461"/>
      <c r="E48" s="345"/>
      <c r="F48" s="338">
        <f>PENYELIA!F53</f>
        <v>251.39759999999995</v>
      </c>
      <c r="G48" s="338">
        <f>PENYELIA!G53</f>
        <v>250.66666765466667</v>
      </c>
      <c r="H48" s="890">
        <f>ID!N73</f>
        <v>101.39759999999995</v>
      </c>
      <c r="I48" s="464">
        <f>ID!O73</f>
        <v>100.66666765466667</v>
      </c>
      <c r="J48" s="350"/>
      <c r="K48" s="464">
        <f>PENYELIA!K53</f>
        <v>0.64895038435048291</v>
      </c>
      <c r="L48" s="464">
        <f>PENYELIA!L53</f>
        <v>0.63491116957816685</v>
      </c>
    </row>
    <row r="49" spans="1:22" hidden="1" x14ac:dyDescent="0.3">
      <c r="A49" s="324"/>
      <c r="B49" s="332"/>
      <c r="C49" s="332"/>
      <c r="D49" s="332"/>
      <c r="E49" s="339"/>
      <c r="F49" s="339"/>
      <c r="G49" s="339"/>
      <c r="H49" s="339"/>
      <c r="I49" s="340"/>
      <c r="J49" s="340"/>
      <c r="K49" s="341"/>
      <c r="L49" s="342"/>
      <c r="M49" s="326"/>
      <c r="N49" s="327"/>
      <c r="O49" s="327"/>
    </row>
    <row r="50" spans="1:22" hidden="1" x14ac:dyDescent="0.3">
      <c r="A50" s="324"/>
      <c r="B50" s="332"/>
      <c r="C50" s="332"/>
      <c r="D50" s="332"/>
      <c r="E50" s="339"/>
      <c r="F50" s="339"/>
      <c r="G50" s="339"/>
      <c r="H50" s="339"/>
      <c r="I50" s="340"/>
      <c r="J50" s="340"/>
      <c r="K50" s="341"/>
      <c r="L50" s="342"/>
      <c r="M50" s="326"/>
      <c r="N50" s="327"/>
      <c r="O50" s="327"/>
    </row>
    <row r="51" spans="1:22" hidden="1" x14ac:dyDescent="0.3">
      <c r="A51" s="324"/>
      <c r="B51" s="332"/>
      <c r="C51" s="332"/>
      <c r="D51" s="332"/>
      <c r="E51" s="339"/>
      <c r="F51" s="339"/>
      <c r="G51" s="339"/>
      <c r="H51" s="339"/>
      <c r="I51" s="340"/>
      <c r="J51" s="340"/>
      <c r="K51" s="341"/>
      <c r="L51" s="342"/>
      <c r="M51" s="326"/>
      <c r="N51" s="327"/>
      <c r="O51" s="327"/>
    </row>
    <row r="52" spans="1:22" hidden="1" x14ac:dyDescent="0.3">
      <c r="A52" s="1258"/>
      <c r="B52" s="1258"/>
      <c r="C52" s="1258"/>
      <c r="D52" s="1258"/>
      <c r="E52" s="1258"/>
      <c r="F52" s="1258"/>
      <c r="G52" s="1258"/>
      <c r="H52" s="1258"/>
      <c r="I52" s="1258"/>
      <c r="J52" s="1258"/>
      <c r="K52" s="351"/>
      <c r="L52" s="351"/>
      <c r="M52" s="326"/>
      <c r="N52" s="327"/>
      <c r="O52" s="327"/>
    </row>
    <row r="53" spans="1:22" ht="20.25" customHeight="1" x14ac:dyDescent="0.3">
      <c r="A53" s="459" t="s">
        <v>12</v>
      </c>
      <c r="B53" s="459" t="s">
        <v>16</v>
      </c>
      <c r="C53" s="467"/>
      <c r="D53" s="360"/>
      <c r="E53" s="360"/>
      <c r="F53" s="360"/>
      <c r="G53" s="360"/>
      <c r="H53" s="360"/>
      <c r="I53" s="360"/>
      <c r="J53" s="360"/>
      <c r="K53" s="361"/>
      <c r="L53" s="361"/>
      <c r="M53" s="327"/>
      <c r="N53" s="327"/>
      <c r="O53" s="327"/>
    </row>
    <row r="54" spans="1:22" x14ac:dyDescent="0.3">
      <c r="A54" s="359"/>
      <c r="B54" s="358" t="s">
        <v>176</v>
      </c>
      <c r="C54" s="360"/>
      <c r="D54" s="360"/>
      <c r="E54" s="360"/>
      <c r="F54" s="360"/>
      <c r="G54" s="360"/>
      <c r="H54" s="360"/>
      <c r="I54" s="360"/>
      <c r="J54" s="360"/>
      <c r="K54" s="361"/>
      <c r="L54" s="361"/>
      <c r="M54" s="327"/>
      <c r="N54" s="327"/>
      <c r="O54" s="327"/>
    </row>
    <row r="55" spans="1:22" s="72" customFormat="1" x14ac:dyDescent="0.3">
      <c r="A55" s="354"/>
      <c r="B55" s="357" t="str">
        <f>'SERTIFIKAT DPM'!AV11</f>
        <v>Hasil pengujian kebocoran dan kalibrasi akurasi tekanan tertelusur ke Satuan SI melalui PT. KALIMAN</v>
      </c>
      <c r="C55" s="355"/>
      <c r="D55" s="355"/>
      <c r="E55" s="355"/>
      <c r="F55" s="355"/>
      <c r="G55" s="355"/>
      <c r="H55" s="355"/>
      <c r="I55" s="355"/>
      <c r="J55" s="355"/>
      <c r="K55" s="356"/>
      <c r="L55" s="356"/>
      <c r="M55" s="352"/>
      <c r="N55" s="352"/>
      <c r="O55" s="352"/>
    </row>
    <row r="56" spans="1:22" s="72" customFormat="1" x14ac:dyDescent="0.3">
      <c r="A56" s="354"/>
      <c r="B56" s="353" t="str">
        <f>'SERTIFIKAT STOPWATCH'!U37</f>
        <v>Hasil laju buang cepat tertelusur ke satuan SI melalui PT. KALIMAN</v>
      </c>
      <c r="C56" s="355"/>
      <c r="D56" s="355"/>
      <c r="E56" s="355"/>
      <c r="F56" s="355"/>
      <c r="G56" s="355"/>
      <c r="H56" s="355"/>
      <c r="I56" s="355"/>
      <c r="J56" s="355"/>
      <c r="K56" s="356"/>
      <c r="L56" s="356"/>
      <c r="M56" s="352"/>
      <c r="N56" s="352"/>
      <c r="O56" s="352"/>
    </row>
    <row r="57" spans="1:22" s="393" customFormat="1" ht="15" customHeight="1" x14ac:dyDescent="0.3">
      <c r="A57" s="354"/>
      <c r="B57" s="939" t="str">
        <f>IF(ID!A76="","",ID!A76)</f>
        <v>Bulb harap diganti</v>
      </c>
      <c r="C57" s="355"/>
      <c r="D57" s="355"/>
      <c r="E57" s="355"/>
      <c r="F57" s="355"/>
      <c r="G57" s="355"/>
      <c r="H57" s="355"/>
      <c r="I57" s="355"/>
      <c r="J57" s="355"/>
      <c r="K57" s="356"/>
      <c r="L57" s="356"/>
      <c r="M57" s="352"/>
      <c r="N57" s="352"/>
      <c r="O57" s="352"/>
    </row>
    <row r="58" spans="1:22" s="393" customFormat="1" ht="15" customHeight="1" x14ac:dyDescent="0.3">
      <c r="A58" s="354"/>
      <c r="B58" s="939" t="str">
        <f>IF(ID!A77="","",ID!A77)</f>
        <v/>
      </c>
      <c r="C58" s="355"/>
      <c r="D58" s="355"/>
      <c r="E58" s="355"/>
      <c r="F58" s="355"/>
      <c r="G58" s="355"/>
      <c r="H58" s="355"/>
      <c r="I58" s="355"/>
      <c r="J58" s="355"/>
      <c r="K58" s="356"/>
      <c r="L58" s="356"/>
      <c r="M58" s="352"/>
      <c r="N58" s="352"/>
      <c r="O58" s="352"/>
    </row>
    <row r="59" spans="1:22" s="72" customFormat="1" ht="12.75" customHeight="1" x14ac:dyDescent="0.3">
      <c r="A59" s="354"/>
      <c r="B59" s="357"/>
      <c r="C59" s="355"/>
      <c r="D59" s="355"/>
      <c r="E59" s="355"/>
      <c r="F59" s="355"/>
      <c r="G59" s="355"/>
      <c r="H59" s="355"/>
      <c r="I59" s="355"/>
      <c r="J59" s="355"/>
      <c r="K59" s="356"/>
      <c r="L59" s="356"/>
      <c r="M59" s="352"/>
      <c r="N59" s="352"/>
      <c r="O59" s="352"/>
    </row>
    <row r="60" spans="1:22" x14ac:dyDescent="0.3">
      <c r="A60" s="459" t="s">
        <v>165</v>
      </c>
      <c r="B60" s="1259" t="s">
        <v>244</v>
      </c>
      <c r="C60" s="1259"/>
      <c r="D60" s="1259"/>
      <c r="E60" s="1259"/>
      <c r="F60" s="1259"/>
      <c r="G60" s="1259"/>
      <c r="H60" s="1259"/>
      <c r="I60" s="1259"/>
      <c r="J60" s="1259"/>
      <c r="K60" s="358"/>
      <c r="L60" s="358"/>
      <c r="M60" s="327"/>
      <c r="N60" s="327"/>
      <c r="O60" s="327"/>
    </row>
    <row r="61" spans="1:22" x14ac:dyDescent="0.3">
      <c r="A61" s="359"/>
      <c r="B61" s="358" t="str">
        <f>ID!A83</f>
        <v>Digital Pressure Meter, Merek : Fluke Biomedical, Model : DPM 4-1H, SN : 3506049</v>
      </c>
      <c r="C61" s="358"/>
      <c r="D61" s="358"/>
      <c r="E61" s="358"/>
      <c r="F61" s="358"/>
      <c r="G61" s="358"/>
      <c r="H61" s="358"/>
      <c r="I61" s="360"/>
      <c r="J61" s="360"/>
      <c r="K61" s="361"/>
      <c r="L61" s="361"/>
      <c r="M61" s="327"/>
      <c r="N61" s="327"/>
      <c r="O61" s="327"/>
      <c r="Q61" s="77"/>
      <c r="R61" s="77"/>
      <c r="S61" s="77"/>
      <c r="T61" s="77"/>
      <c r="U61" s="77"/>
      <c r="V61" s="77"/>
    </row>
    <row r="62" spans="1:22" x14ac:dyDescent="0.3">
      <c r="A62" s="359"/>
      <c r="B62" s="362" t="str">
        <f>ID!A85</f>
        <v>Stopwatch, Merek : EXTECH, Model : 365535, SN : 001382</v>
      </c>
      <c r="C62" s="358"/>
      <c r="D62" s="358"/>
      <c r="E62" s="358"/>
      <c r="F62" s="358"/>
      <c r="G62" s="358"/>
      <c r="H62" s="358"/>
      <c r="I62" s="358"/>
      <c r="J62" s="358"/>
      <c r="K62" s="358"/>
      <c r="L62" s="358"/>
      <c r="M62" s="327"/>
      <c r="N62" s="327"/>
      <c r="O62" s="327"/>
      <c r="Q62" s="77"/>
      <c r="R62" s="77"/>
      <c r="S62" s="77"/>
      <c r="T62" s="77"/>
      <c r="U62" s="77"/>
      <c r="V62" s="77"/>
    </row>
    <row r="63" spans="1:22" ht="11.25" customHeight="1" x14ac:dyDescent="0.3">
      <c r="A63" s="359"/>
      <c r="B63" s="362"/>
      <c r="C63" s="358"/>
      <c r="D63" s="358"/>
      <c r="E63" s="358"/>
      <c r="F63" s="358"/>
      <c r="G63" s="358"/>
      <c r="H63" s="358"/>
      <c r="I63" s="358"/>
      <c r="J63" s="358"/>
      <c r="K63" s="358"/>
      <c r="L63" s="358"/>
      <c r="M63" s="327"/>
      <c r="N63" s="327"/>
      <c r="O63" s="327"/>
      <c r="Q63" s="77"/>
      <c r="R63" s="77"/>
      <c r="S63" s="77"/>
      <c r="T63" s="77"/>
      <c r="U63" s="77"/>
      <c r="V63" s="77"/>
    </row>
    <row r="64" spans="1:22" x14ac:dyDescent="0.3">
      <c r="A64" s="459" t="s">
        <v>34</v>
      </c>
      <c r="B64" s="468" t="s">
        <v>35</v>
      </c>
      <c r="C64" s="468"/>
      <c r="D64" s="358"/>
      <c r="E64" s="358"/>
      <c r="F64" s="358"/>
      <c r="G64" s="358"/>
      <c r="H64" s="358"/>
      <c r="I64" s="358"/>
      <c r="J64" s="358"/>
      <c r="K64" s="358"/>
      <c r="L64" s="358"/>
      <c r="M64" s="327"/>
      <c r="N64" s="327"/>
      <c r="O64" s="327"/>
    </row>
    <row r="65" spans="1:15" ht="46.5" customHeight="1" x14ac:dyDescent="0.3">
      <c r="A65" s="359"/>
      <c r="B65" s="1257" t="str">
        <f>PENYELIA!B69</f>
        <v>Alat yang dikalibrasi melebihi batas toleransi dan dinyatakan TIDAK LAIK PAKAI, dimana hasil atau skor akhir dibawah 80% berdasarkan Keputusan Direktur Jenderal Pelayanan Kesehatan No : HK.02.02/V/0412/2020</v>
      </c>
      <c r="C65" s="1257"/>
      <c r="D65" s="1257"/>
      <c r="E65" s="1257"/>
      <c r="F65" s="1257"/>
      <c r="G65" s="1257"/>
      <c r="H65" s="1257"/>
      <c r="I65" s="1257"/>
      <c r="J65" s="1257"/>
      <c r="K65" s="1257"/>
      <c r="L65" s="1257"/>
      <c r="M65" s="1257"/>
      <c r="N65" s="943"/>
      <c r="O65" s="943"/>
    </row>
    <row r="66" spans="1:15" ht="18.75" customHeight="1" x14ac:dyDescent="0.3">
      <c r="A66" s="459" t="s">
        <v>36</v>
      </c>
      <c r="B66" s="459" t="s">
        <v>13</v>
      </c>
      <c r="C66" s="459"/>
      <c r="D66" s="358" t="s">
        <v>0</v>
      </c>
      <c r="E66" s="358"/>
      <c r="F66" s="358"/>
      <c r="G66" s="358"/>
      <c r="H66" s="358"/>
      <c r="I66" s="327"/>
      <c r="J66" s="467"/>
      <c r="K66" s="469"/>
      <c r="L66" s="469"/>
      <c r="M66" s="469"/>
      <c r="N66" s="469"/>
      <c r="O66" s="469"/>
    </row>
    <row r="67" spans="1:15" x14ac:dyDescent="0.3">
      <c r="A67" s="358"/>
      <c r="B67" s="359" t="str">
        <f>ID!A81</f>
        <v>Rangga Setya Hantoko</v>
      </c>
      <c r="C67" s="358"/>
      <c r="D67" s="358"/>
      <c r="E67" s="358"/>
      <c r="F67" s="358"/>
      <c r="G67" s="358"/>
      <c r="H67" s="358"/>
      <c r="I67" s="358"/>
      <c r="J67" s="358"/>
      <c r="K67" s="358"/>
      <c r="L67" s="358"/>
      <c r="O67" s="327"/>
    </row>
    <row r="68" spans="1:15" x14ac:dyDescent="0.3">
      <c r="A68" s="358"/>
      <c r="B68" s="359"/>
      <c r="C68" s="358"/>
      <c r="D68" s="358"/>
      <c r="E68" s="358"/>
      <c r="F68" s="358"/>
      <c r="G68" s="358"/>
      <c r="H68" s="358"/>
      <c r="I68" s="358"/>
      <c r="J68" s="358"/>
      <c r="K68" s="358"/>
      <c r="L68" s="358"/>
      <c r="O68" s="327"/>
    </row>
    <row r="69" spans="1:15" x14ac:dyDescent="0.3">
      <c r="A69" s="364"/>
      <c r="B69" s="327"/>
      <c r="C69" s="327"/>
      <c r="D69" s="327"/>
      <c r="E69" s="327"/>
      <c r="F69" s="327"/>
      <c r="G69" s="327"/>
      <c r="H69" s="327"/>
      <c r="I69" s="327"/>
      <c r="J69" s="327"/>
      <c r="K69" s="327"/>
      <c r="L69" s="327"/>
      <c r="O69" s="327"/>
    </row>
    <row r="70" spans="1:15" x14ac:dyDescent="0.3">
      <c r="A70" s="364"/>
      <c r="B70" s="327"/>
      <c r="C70" s="327"/>
      <c r="D70" s="327"/>
      <c r="E70" s="327"/>
      <c r="F70" s="327"/>
      <c r="G70" s="327"/>
      <c r="H70" s="327"/>
      <c r="I70" s="327"/>
      <c r="K70" s="363" t="s">
        <v>17</v>
      </c>
      <c r="L70" s="363"/>
      <c r="M70" s="327"/>
    </row>
    <row r="71" spans="1:15" x14ac:dyDescent="0.3">
      <c r="A71" s="364"/>
      <c r="B71" s="327"/>
      <c r="C71" s="327"/>
      <c r="D71" s="327"/>
      <c r="E71" s="327"/>
      <c r="F71" s="327"/>
      <c r="G71" s="327"/>
      <c r="H71" s="327"/>
      <c r="I71" s="327"/>
      <c r="K71" s="363" t="s">
        <v>93</v>
      </c>
      <c r="L71" s="363"/>
      <c r="M71" s="327"/>
    </row>
    <row r="72" spans="1:15" x14ac:dyDescent="0.3">
      <c r="A72" s="364"/>
      <c r="B72" s="327"/>
      <c r="C72" s="327"/>
      <c r="D72" s="327"/>
      <c r="E72" s="327"/>
      <c r="F72" s="327"/>
      <c r="G72" s="327"/>
      <c r="H72" s="327"/>
      <c r="I72" s="327"/>
      <c r="K72" s="363" t="s">
        <v>94</v>
      </c>
      <c r="L72" s="363"/>
      <c r="M72" s="327"/>
    </row>
    <row r="73" spans="1:15" x14ac:dyDescent="0.3">
      <c r="A73" s="364"/>
      <c r="B73" s="327"/>
      <c r="C73" s="327"/>
      <c r="D73" s="327"/>
      <c r="E73" s="327"/>
      <c r="F73" s="327"/>
      <c r="G73" s="327"/>
      <c r="H73" s="327"/>
      <c r="I73" s="327"/>
      <c r="K73" s="363"/>
      <c r="L73" s="363"/>
      <c r="M73" s="327"/>
    </row>
    <row r="74" spans="1:15" x14ac:dyDescent="0.3">
      <c r="A74" s="364"/>
      <c r="B74" s="327"/>
      <c r="C74" s="327"/>
      <c r="D74" s="327"/>
      <c r="E74" s="327"/>
      <c r="F74" s="327"/>
      <c r="G74" s="327"/>
      <c r="H74" s="327"/>
      <c r="I74" s="327"/>
      <c r="K74" s="363"/>
      <c r="L74" s="363"/>
      <c r="M74" s="327"/>
    </row>
    <row r="75" spans="1:15" x14ac:dyDescent="0.3">
      <c r="A75" s="364"/>
      <c r="B75" s="327"/>
      <c r="C75" s="327"/>
      <c r="D75" s="327"/>
      <c r="E75" s="327"/>
      <c r="F75" s="327"/>
      <c r="G75" s="327"/>
      <c r="H75" s="327"/>
      <c r="I75" s="327"/>
      <c r="K75" s="363"/>
      <c r="L75" s="363"/>
      <c r="M75" s="327"/>
    </row>
    <row r="76" spans="1:15" x14ac:dyDescent="0.3">
      <c r="A76" s="364"/>
      <c r="B76" s="327"/>
      <c r="C76" s="327"/>
      <c r="D76" s="327"/>
      <c r="E76" s="327"/>
      <c r="F76" s="327"/>
      <c r="G76" s="327"/>
      <c r="H76" s="327"/>
      <c r="I76" s="327"/>
      <c r="K76" s="365"/>
      <c r="L76" s="363"/>
      <c r="M76" s="327"/>
    </row>
    <row r="77" spans="1:15" x14ac:dyDescent="0.3">
      <c r="A77" s="364"/>
      <c r="B77" s="327"/>
      <c r="C77" s="327"/>
      <c r="D77" s="327"/>
      <c r="E77" s="327"/>
      <c r="F77" s="327"/>
      <c r="G77" s="327"/>
      <c r="H77" s="327"/>
      <c r="I77" s="327"/>
      <c r="K77" s="366" t="s">
        <v>399</v>
      </c>
      <c r="L77" s="501"/>
      <c r="M77" s="327"/>
    </row>
    <row r="78" spans="1:15" ht="24" customHeight="1" x14ac:dyDescent="0.3">
      <c r="A78" s="364"/>
      <c r="B78" s="327"/>
      <c r="C78" s="327"/>
      <c r="D78" s="327"/>
      <c r="E78" s="327"/>
      <c r="F78" s="327"/>
      <c r="G78" s="327"/>
      <c r="H78" s="327"/>
      <c r="I78" s="327"/>
      <c r="K78" s="502" t="s">
        <v>243</v>
      </c>
      <c r="L78" s="501"/>
      <c r="M78" s="327"/>
    </row>
    <row r="79" spans="1:15" x14ac:dyDescent="0.3">
      <c r="A79" s="364"/>
      <c r="B79" s="327"/>
      <c r="C79" s="327"/>
      <c r="D79" s="327"/>
      <c r="E79" s="327"/>
      <c r="F79" s="327"/>
      <c r="G79" s="327"/>
      <c r="H79" s="327"/>
      <c r="I79" s="327"/>
      <c r="K79" s="327"/>
      <c r="L79" s="327"/>
      <c r="M79" s="327"/>
    </row>
    <row r="80" spans="1:15" hidden="1" x14ac:dyDescent="0.3">
      <c r="A80" s="364"/>
      <c r="B80" s="327"/>
      <c r="C80" s="327"/>
      <c r="D80" s="327"/>
      <c r="E80" s="327"/>
      <c r="F80" s="327"/>
      <c r="G80" s="327"/>
      <c r="H80" s="327"/>
      <c r="I80" s="327"/>
      <c r="K80" s="327"/>
      <c r="L80" s="327"/>
      <c r="M80" s="327"/>
    </row>
    <row r="81" spans="1:13" ht="14.25" customHeight="1" x14ac:dyDescent="0.3">
      <c r="A81" s="372" t="s">
        <v>228</v>
      </c>
      <c r="B81" s="327"/>
      <c r="C81" s="327"/>
      <c r="D81" s="327"/>
      <c r="E81" s="327"/>
      <c r="F81" s="327"/>
      <c r="G81" s="327"/>
      <c r="H81" s="327"/>
      <c r="I81" s="327"/>
      <c r="K81" s="327"/>
      <c r="L81" s="327"/>
      <c r="M81" s="371" t="s">
        <v>92</v>
      </c>
    </row>
    <row r="201" spans="1:9" x14ac:dyDescent="0.3">
      <c r="A201" s="321"/>
      <c r="I201" s="323"/>
    </row>
  </sheetData>
  <sheetProtection formatCells="0" formatColumns="0" formatRows="0" insertRows="0" deleteRows="0"/>
  <mergeCells count="41">
    <mergeCell ref="C33:E33"/>
    <mergeCell ref="I33:I34"/>
    <mergeCell ref="B33:B35"/>
    <mergeCell ref="B30:E30"/>
    <mergeCell ref="B31:E31"/>
    <mergeCell ref="F30:H30"/>
    <mergeCell ref="F31:H31"/>
    <mergeCell ref="A2:M2"/>
    <mergeCell ref="F25:H25"/>
    <mergeCell ref="F28:H29"/>
    <mergeCell ref="F26:H26"/>
    <mergeCell ref="B16:C16"/>
    <mergeCell ref="B17:C17"/>
    <mergeCell ref="B23:E24"/>
    <mergeCell ref="B26:E26"/>
    <mergeCell ref="B28:E29"/>
    <mergeCell ref="F9:G9"/>
    <mergeCell ref="F23:H24"/>
    <mergeCell ref="I28:I29"/>
    <mergeCell ref="A1:M1"/>
    <mergeCell ref="K40:L40"/>
    <mergeCell ref="J40:J42"/>
    <mergeCell ref="C40:E42"/>
    <mergeCell ref="C35:E35"/>
    <mergeCell ref="C36:E36"/>
    <mergeCell ref="K36:K38"/>
    <mergeCell ref="C37:E37"/>
    <mergeCell ref="C38:E38"/>
    <mergeCell ref="B25:E25"/>
    <mergeCell ref="L33:L34"/>
    <mergeCell ref="C34:E34"/>
    <mergeCell ref="I23:I24"/>
    <mergeCell ref="F10:G10"/>
    <mergeCell ref="J33:J34"/>
    <mergeCell ref="K33:K34"/>
    <mergeCell ref="B65:M65"/>
    <mergeCell ref="A52:J52"/>
    <mergeCell ref="B60:J60"/>
    <mergeCell ref="B40:B42"/>
    <mergeCell ref="F40:G40"/>
    <mergeCell ref="H40:I40"/>
  </mergeCells>
  <printOptions horizontalCentered="1"/>
  <pageMargins left="0.511811023622047" right="0.23622047244094499" top="0.55118110236220497" bottom="0.39370078740157499" header="0.23622047244094499" footer="0.23622047244094499"/>
  <pageSetup paperSize="9" scale="70" orientation="portrait" r:id="rId1"/>
  <headerFooter>
    <oddHeader xml:space="preserve">&amp;R&amp;8T.LHK 042-18
</oddHeader>
    <oddFooter>&amp;C&amp;8Dilarang keras mengutip/memperbanyak dan atau mempublikasikan sebagian isi sertifikat ini tanpa seijin LPFK Banjarbaru
Sertifikat ini sah apabila dibubuhi cap LPFK Banjarbaru dan ditandatangani oleh pejabat yang berwenang</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B1:CV51"/>
  <sheetViews>
    <sheetView showGridLines="0" view="pageBreakPreview" topLeftCell="A4" zoomScale="60" zoomScaleNormal="100" workbookViewId="0">
      <selection activeCell="C28" sqref="C28"/>
    </sheetView>
  </sheetViews>
  <sheetFormatPr defaultColWidth="9.21875" defaultRowHeight="15.6" x14ac:dyDescent="0.3"/>
  <cols>
    <col min="1" max="1" width="3.21875" style="588" customWidth="1"/>
    <col min="2" max="2" width="10.21875" style="588" customWidth="1"/>
    <col min="3" max="3" width="16.77734375" style="588" customWidth="1"/>
    <col min="4" max="4" width="7.21875" style="588" customWidth="1"/>
    <col min="5" max="5" width="12.44140625" style="588" customWidth="1"/>
    <col min="6" max="6" width="8.5546875" style="588" customWidth="1"/>
    <col min="7" max="7" width="9.44140625" style="588" customWidth="1"/>
    <col min="8" max="8" width="10.21875" style="588" customWidth="1"/>
    <col min="9" max="9" width="4.77734375" style="588" customWidth="1"/>
    <col min="10" max="10" width="6.21875" style="588" customWidth="1"/>
    <col min="11" max="11" width="14.77734375" style="588" customWidth="1"/>
    <col min="12" max="12" width="17.77734375" style="588" customWidth="1"/>
    <col min="13" max="13" width="14.77734375" style="588" customWidth="1"/>
    <col min="14" max="14" width="1.77734375" style="588" customWidth="1"/>
    <col min="15" max="15" width="16.77734375" style="588" customWidth="1"/>
    <col min="16" max="16" width="7.44140625" style="588" customWidth="1"/>
    <col min="17" max="17" width="13" style="588" customWidth="1"/>
    <col min="18" max="18" width="9.5546875" style="588" bestFit="1" customWidth="1"/>
    <col min="19" max="20" width="9.21875" style="588"/>
    <col min="21" max="22" width="6" style="588" customWidth="1"/>
    <col min="23" max="23" width="16.77734375" style="588" customWidth="1"/>
    <col min="24" max="24" width="18.21875" style="588" customWidth="1"/>
    <col min="25" max="25" width="21.44140625" style="588" customWidth="1"/>
    <col min="26" max="26" width="9.21875" style="588" customWidth="1"/>
    <col min="27" max="27" width="17.5546875" style="588" customWidth="1"/>
    <col min="28" max="31" width="9.21875" style="588" customWidth="1"/>
    <col min="32" max="32" width="20.77734375" style="588" customWidth="1"/>
    <col min="33" max="34" width="9.21875" style="588" customWidth="1"/>
    <col min="35" max="35" width="15.21875" style="588" customWidth="1"/>
    <col min="36" max="36" width="22.77734375" style="588" customWidth="1"/>
    <col min="37" max="37" width="21.21875" style="589" customWidth="1"/>
    <col min="38" max="38" width="9.21875" style="588" customWidth="1"/>
    <col min="39" max="39" width="15" style="588" customWidth="1"/>
    <col min="40" max="40" width="9.21875" style="588" customWidth="1"/>
    <col min="41" max="41" width="13.77734375" style="588" customWidth="1"/>
    <col min="42" max="43" width="9.21875" style="588" customWidth="1"/>
    <col min="44" max="44" width="19.21875" style="588" customWidth="1"/>
    <col min="45" max="46" width="9.21875" style="588" customWidth="1"/>
    <col min="47" max="47" width="15.77734375" style="588" customWidth="1"/>
    <col min="48" max="48" width="20.5546875" style="588" customWidth="1"/>
    <col min="49" max="49" width="19.44140625" style="588" customWidth="1"/>
    <col min="50" max="50" width="9.21875" style="588" customWidth="1"/>
    <col min="51" max="53" width="9.21875" style="588"/>
    <col min="54" max="60" width="10.77734375" style="588" customWidth="1"/>
    <col min="61" max="61" width="19.44140625" style="588" customWidth="1"/>
    <col min="62" max="63" width="9.21875" style="588"/>
    <col min="64" max="64" width="26.77734375" style="588" customWidth="1"/>
    <col min="65" max="65" width="9.21875" style="588"/>
    <col min="66" max="66" width="20.77734375" style="588" customWidth="1"/>
    <col min="67" max="67" width="9.21875" style="588"/>
    <col min="68" max="68" width="17.5546875" style="588" customWidth="1"/>
    <col min="69" max="69" width="19.21875" style="799" customWidth="1"/>
    <col min="70" max="70" width="24.44140625" style="588" customWidth="1"/>
    <col min="71" max="71" width="9.21875" style="588"/>
    <col min="72" max="72" width="18.5546875" style="588" customWidth="1"/>
    <col min="73" max="73" width="9.21875" style="588"/>
    <col min="74" max="74" width="16.21875" style="588" customWidth="1"/>
    <col min="75" max="75" width="27.5546875" style="588" customWidth="1"/>
    <col min="76" max="76" width="16.21875" style="588" customWidth="1"/>
    <col min="77" max="77" width="9.21875" style="588"/>
    <col min="78" max="79" width="10.77734375" style="588" customWidth="1"/>
    <col min="80" max="80" width="27.5546875" style="588" customWidth="1"/>
    <col min="81" max="84" width="10.77734375" style="588" customWidth="1"/>
    <col min="85" max="89" width="9.21875" style="588"/>
    <col min="90" max="90" width="16.77734375" style="588" customWidth="1"/>
    <col min="91" max="91" width="9.21875" style="588"/>
    <col min="92" max="92" width="19" style="588" customWidth="1"/>
    <col min="93" max="97" width="9.21875" style="588"/>
    <col min="98" max="100" width="16.77734375" style="588" customWidth="1"/>
    <col min="101" max="16384" width="9.21875" style="588"/>
  </cols>
  <sheetData>
    <row r="1" spans="2:100" x14ac:dyDescent="0.3">
      <c r="BL1" s="1056"/>
      <c r="BM1" s="1037"/>
      <c r="BN1" s="1038"/>
      <c r="BO1" s="1039"/>
      <c r="BP1" s="1038"/>
    </row>
    <row r="4" spans="2:100" ht="18.75" customHeight="1" x14ac:dyDescent="0.35">
      <c r="C4" s="1317" t="s">
        <v>161</v>
      </c>
      <c r="D4" s="1317"/>
      <c r="E4" s="1317"/>
      <c r="F4" s="1317"/>
      <c r="G4" s="1317"/>
      <c r="H4" s="1317"/>
      <c r="I4" s="1317"/>
      <c r="J4" s="1317"/>
      <c r="K4" s="1317"/>
      <c r="L4" s="1317"/>
      <c r="M4" s="1317"/>
      <c r="N4" s="1317"/>
      <c r="O4" s="1317"/>
      <c r="P4" s="1317"/>
      <c r="Q4" s="1317"/>
      <c r="R4" s="1317"/>
      <c r="S4" s="1317"/>
      <c r="T4" s="1317"/>
      <c r="U4" s="1317"/>
      <c r="V4" s="1317"/>
      <c r="W4" s="1317"/>
      <c r="X4" s="1316" t="s">
        <v>564</v>
      </c>
      <c r="Y4" s="1316"/>
      <c r="Z4" s="1057"/>
      <c r="BN4" s="1317"/>
      <c r="BO4" s="1317"/>
      <c r="BP4" s="1317"/>
      <c r="BQ4" s="1317"/>
      <c r="BR4" s="1317"/>
      <c r="BS4" s="1317"/>
      <c r="BT4" s="1317"/>
      <c r="BU4" s="1317"/>
      <c r="BV4" s="1317"/>
      <c r="BW4" s="1317"/>
      <c r="BX4" s="1317"/>
      <c r="BY4" s="1317"/>
      <c r="BZ4" s="1317"/>
      <c r="CA4" s="1317"/>
      <c r="CB4" s="1317"/>
      <c r="CC4" s="1317"/>
      <c r="CD4" s="1317"/>
      <c r="CE4" s="1317"/>
      <c r="CF4" s="1317"/>
      <c r="CG4" s="1317"/>
      <c r="CH4" s="1317"/>
      <c r="CI4" s="1317"/>
      <c r="CJ4" s="1317"/>
      <c r="CK4" s="1317"/>
      <c r="CL4" s="1317"/>
      <c r="CM4" s="1317"/>
      <c r="CN4" s="1317"/>
      <c r="CO4" s="1317"/>
      <c r="CP4" s="1317"/>
      <c r="CQ4" s="1317"/>
      <c r="CR4" s="1317"/>
      <c r="CS4" s="1317"/>
      <c r="CT4" s="1317"/>
      <c r="CU4" s="1316"/>
      <c r="CV4" s="1316"/>
    </row>
    <row r="5" spans="2:100" ht="17.399999999999999" x14ac:dyDescent="0.35">
      <c r="C5" s="1318" t="str">
        <f>ID!D2&amp;" "&amp;ID!I2</f>
        <v>Nomor Surat Keterangan : 44 / M - 11 / II - 21 / E - 035.66 DL</v>
      </c>
      <c r="D5" s="1318"/>
      <c r="E5" s="1318"/>
      <c r="F5" s="1318"/>
      <c r="G5" s="1318"/>
      <c r="H5" s="1318"/>
      <c r="I5" s="1318"/>
      <c r="J5" s="1318"/>
      <c r="K5" s="1318"/>
      <c r="L5" s="1318"/>
      <c r="M5" s="1318"/>
      <c r="N5" s="1318"/>
      <c r="O5" s="1318"/>
      <c r="P5" s="1318"/>
      <c r="Q5" s="1318"/>
      <c r="R5" s="1318"/>
      <c r="S5" s="1318"/>
      <c r="T5" s="1318"/>
      <c r="U5" s="1318"/>
      <c r="V5" s="1318"/>
      <c r="W5" s="1318"/>
      <c r="X5" s="590"/>
      <c r="AA5" s="1309" t="s">
        <v>227</v>
      </c>
      <c r="AB5" s="1309"/>
      <c r="AC5" s="1309"/>
      <c r="AD5" s="1309"/>
      <c r="AE5" s="1309"/>
      <c r="AF5" s="1309"/>
      <c r="AG5" s="1309"/>
      <c r="AH5" s="1309"/>
      <c r="AI5" s="1309"/>
      <c r="AJ5" s="1309"/>
      <c r="AK5" s="1309"/>
      <c r="AL5" s="1309"/>
      <c r="AM5" s="1309"/>
      <c r="AN5" s="1309"/>
      <c r="AO5" s="1309"/>
      <c r="AP5" s="1309"/>
      <c r="AQ5" s="1309"/>
      <c r="AR5" s="1309"/>
      <c r="AS5" s="1309"/>
      <c r="AT5" s="1309"/>
      <c r="AU5" s="1309"/>
      <c r="AV5" s="1309"/>
      <c r="AW5" s="1309"/>
      <c r="BN5" s="1318"/>
      <c r="BO5" s="1318"/>
      <c r="BP5" s="1318"/>
      <c r="BQ5" s="1318"/>
      <c r="BR5" s="1318"/>
      <c r="BS5" s="1318"/>
      <c r="BT5" s="1318"/>
      <c r="BU5" s="1318"/>
      <c r="BV5" s="1318"/>
      <c r="BW5" s="1318"/>
      <c r="BX5" s="1318"/>
      <c r="BY5" s="1318"/>
      <c r="BZ5" s="1318"/>
      <c r="CA5" s="1318"/>
      <c r="CB5" s="1318"/>
      <c r="CC5" s="1318"/>
      <c r="CD5" s="1318"/>
      <c r="CE5" s="1318"/>
      <c r="CF5" s="1318"/>
      <c r="CG5" s="1318"/>
      <c r="CH5" s="1318"/>
      <c r="CI5" s="1318"/>
      <c r="CJ5" s="1318"/>
      <c r="CK5" s="1318"/>
      <c r="CL5" s="1318"/>
      <c r="CM5" s="1318"/>
      <c r="CN5" s="1318"/>
      <c r="CO5" s="1318"/>
      <c r="CP5" s="1318"/>
      <c r="CQ5" s="1318"/>
      <c r="CR5" s="1318"/>
      <c r="CS5" s="1318"/>
      <c r="CT5" s="1318"/>
      <c r="CU5" s="590"/>
    </row>
    <row r="6" spans="2:100" ht="1.5" customHeight="1" x14ac:dyDescent="0.3"/>
    <row r="7" spans="2:100" ht="1.5" customHeight="1" x14ac:dyDescent="0.3"/>
    <row r="8" spans="2:100" ht="1.5" customHeight="1" x14ac:dyDescent="0.3"/>
    <row r="9" spans="2:100" ht="18.75" customHeight="1" x14ac:dyDescent="0.3">
      <c r="C9" s="591">
        <f>ID!A68</f>
        <v>0</v>
      </c>
      <c r="D9" s="592" t="str">
        <f>D10</f>
        <v>mmHg</v>
      </c>
      <c r="O9" s="593">
        <f>ID!A71</f>
        <v>100</v>
      </c>
      <c r="P9" s="594" t="str">
        <f>P10</f>
        <v>mmHg</v>
      </c>
      <c r="Q9" s="595"/>
      <c r="R9" s="595"/>
      <c r="S9" s="596"/>
      <c r="T9" s="596"/>
      <c r="U9" s="596"/>
      <c r="V9" s="596"/>
      <c r="W9" s="596"/>
      <c r="X9" s="597"/>
      <c r="Y9" s="598"/>
      <c r="AA9" s="599" t="e">
        <f>ID!#REF!</f>
        <v>#REF!</v>
      </c>
      <c r="AB9" s="600">
        <f>AB10</f>
        <v>0</v>
      </c>
      <c r="AC9" s="601"/>
      <c r="AD9" s="601"/>
      <c r="AE9" s="601"/>
      <c r="AF9" s="601"/>
      <c r="AG9" s="601"/>
      <c r="AH9" s="601"/>
      <c r="AI9" s="601"/>
      <c r="AJ9" s="601"/>
      <c r="AK9" s="602"/>
      <c r="AL9" s="601"/>
      <c r="AM9" s="603">
        <v>150</v>
      </c>
      <c r="AN9" s="604">
        <f>AN10</f>
        <v>0</v>
      </c>
      <c r="AO9" s="605"/>
      <c r="AP9" s="605"/>
      <c r="AQ9" s="606"/>
      <c r="AR9" s="606"/>
      <c r="AS9" s="606"/>
      <c r="AT9" s="606"/>
      <c r="AU9" s="606"/>
      <c r="AV9" s="607"/>
      <c r="AW9" s="608"/>
      <c r="BN9" s="615"/>
      <c r="BO9" s="615"/>
      <c r="CL9" s="772"/>
      <c r="CM9" s="773"/>
      <c r="CN9" s="595"/>
      <c r="CO9" s="595"/>
      <c r="CP9" s="596"/>
      <c r="CQ9" s="596"/>
      <c r="CR9" s="596"/>
      <c r="CS9" s="596"/>
      <c r="CT9" s="596"/>
      <c r="CU9" s="597"/>
      <c r="CV9" s="598"/>
    </row>
    <row r="10" spans="2:100" ht="9" customHeight="1" x14ac:dyDescent="0.3">
      <c r="C10" s="611"/>
      <c r="D10" s="610" t="s">
        <v>38</v>
      </c>
      <c r="O10" s="611"/>
      <c r="P10" s="610" t="s">
        <v>38</v>
      </c>
      <c r="AA10" s="609" t="str">
        <f>'INTERPOLASI  '!B10</f>
        <v>H68+(FORECAST(H68,INDEX('DATA 1'!$C$6:$C$14,MATCH(H68,'DATA 1'!$B$6:$B$14,1)):INDEX('DATA 1'!$C$6:$C$14,MATCH(H68,'DATA 1'!$B$6:$B$14,1)+1),INDEX('DATA 1'!$B$6:$B$14,MATCH(H68,'DATA 1'!$B$6:$B$14,1)):INDEX('DATA 1'!$B$6:$B$14,MATCH(H68,'DATA 1'!$B$6:$B$14,1)+1)))</v>
      </c>
      <c r="AB10" s="610"/>
      <c r="AC10" s="601"/>
      <c r="AD10" s="601"/>
      <c r="AE10" s="601"/>
      <c r="AF10" s="601"/>
      <c r="AG10" s="601"/>
      <c r="AH10" s="601"/>
      <c r="AI10" s="601"/>
      <c r="AJ10" s="601"/>
      <c r="AK10" s="602"/>
      <c r="AL10" s="601"/>
      <c r="AM10" s="611"/>
      <c r="AN10" s="612"/>
      <c r="AO10" s="601"/>
      <c r="AP10" s="601"/>
      <c r="AQ10" s="601"/>
      <c r="AR10" s="601"/>
      <c r="AS10" s="601"/>
      <c r="AT10" s="601"/>
      <c r="AU10" s="601"/>
      <c r="AV10" s="601"/>
      <c r="AW10" s="601"/>
      <c r="BN10" s="609"/>
      <c r="BO10" s="610"/>
      <c r="CL10" s="609"/>
      <c r="CM10" s="610"/>
    </row>
    <row r="11" spans="2:100" s="615" customFormat="1" ht="37.5" customHeight="1" x14ac:dyDescent="0.4">
      <c r="C11" s="613" t="s">
        <v>40</v>
      </c>
      <c r="D11" s="613" t="s">
        <v>41</v>
      </c>
      <c r="E11" s="613" t="s">
        <v>80</v>
      </c>
      <c r="F11" s="613" t="s">
        <v>79</v>
      </c>
      <c r="G11" s="613" t="s">
        <v>14</v>
      </c>
      <c r="H11" s="613" t="s">
        <v>113</v>
      </c>
      <c r="I11" s="613" t="s">
        <v>114</v>
      </c>
      <c r="J11" s="613" t="s">
        <v>115</v>
      </c>
      <c r="K11" s="613" t="s">
        <v>116</v>
      </c>
      <c r="L11" s="613" t="s">
        <v>117</v>
      </c>
      <c r="M11" s="614" t="s">
        <v>118</v>
      </c>
      <c r="O11" s="613" t="s">
        <v>40</v>
      </c>
      <c r="P11" s="613" t="s">
        <v>41</v>
      </c>
      <c r="Q11" s="613" t="s">
        <v>80</v>
      </c>
      <c r="R11" s="613" t="s">
        <v>79</v>
      </c>
      <c r="S11" s="613" t="s">
        <v>14</v>
      </c>
      <c r="T11" s="613" t="s">
        <v>113</v>
      </c>
      <c r="U11" s="613" t="s">
        <v>114</v>
      </c>
      <c r="V11" s="613" t="s">
        <v>115</v>
      </c>
      <c r="W11" s="613" t="s">
        <v>116</v>
      </c>
      <c r="X11" s="613" t="s">
        <v>117</v>
      </c>
      <c r="Y11" s="614" t="s">
        <v>118</v>
      </c>
      <c r="AA11" s="616" t="s">
        <v>40</v>
      </c>
      <c r="AB11" s="616" t="s">
        <v>41</v>
      </c>
      <c r="AC11" s="616" t="s">
        <v>80</v>
      </c>
      <c r="AD11" s="616" t="s">
        <v>79</v>
      </c>
      <c r="AE11" s="616" t="s">
        <v>14</v>
      </c>
      <c r="AF11" s="616" t="s">
        <v>218</v>
      </c>
      <c r="AG11" s="616" t="s">
        <v>219</v>
      </c>
      <c r="AH11" s="616" t="s">
        <v>220</v>
      </c>
      <c r="AI11" s="616" t="s">
        <v>221</v>
      </c>
      <c r="AJ11" s="616" t="s">
        <v>222</v>
      </c>
      <c r="AK11" s="617" t="s">
        <v>223</v>
      </c>
      <c r="AL11" s="618"/>
      <c r="AM11" s="616" t="s">
        <v>40</v>
      </c>
      <c r="AN11" s="616" t="s">
        <v>41</v>
      </c>
      <c r="AO11" s="616" t="s">
        <v>80</v>
      </c>
      <c r="AP11" s="616" t="s">
        <v>79</v>
      </c>
      <c r="AQ11" s="616" t="s">
        <v>14</v>
      </c>
      <c r="AR11" s="616" t="s">
        <v>218</v>
      </c>
      <c r="AS11" s="616" t="s">
        <v>219</v>
      </c>
      <c r="AT11" s="616" t="s">
        <v>220</v>
      </c>
      <c r="AU11" s="616" t="s">
        <v>221</v>
      </c>
      <c r="AV11" s="616" t="s">
        <v>222</v>
      </c>
      <c r="AW11" s="619" t="s">
        <v>223</v>
      </c>
      <c r="BB11" s="1307"/>
      <c r="BC11" s="1307"/>
      <c r="BD11" s="1308"/>
      <c r="BE11" s="1308"/>
      <c r="BF11" s="1307"/>
      <c r="BG11" s="1307"/>
      <c r="BH11" s="1307"/>
      <c r="BI11" s="1307"/>
      <c r="BJ11" s="1308"/>
      <c r="BK11" s="1308"/>
      <c r="BL11" s="1046"/>
      <c r="BN11" s="774"/>
      <c r="BO11" s="774"/>
      <c r="BP11" s="774"/>
      <c r="BQ11" s="800"/>
      <c r="BR11" s="774"/>
      <c r="BS11" s="774"/>
      <c r="BT11" s="774"/>
      <c r="BU11" s="774"/>
      <c r="BV11" s="774"/>
      <c r="BW11" s="774"/>
      <c r="BX11" s="651"/>
      <c r="BZ11" s="1307"/>
      <c r="CA11" s="1307"/>
      <c r="CB11" s="1308"/>
      <c r="CC11" s="1308"/>
      <c r="CD11" s="1307"/>
      <c r="CE11" s="1307"/>
      <c r="CF11" s="1307"/>
      <c r="CG11" s="1307"/>
      <c r="CH11" s="1308"/>
      <c r="CI11" s="1308"/>
      <c r="CJ11" s="1046"/>
      <c r="CK11" s="1046"/>
      <c r="CL11" s="774"/>
      <c r="CM11" s="774"/>
      <c r="CN11" s="774"/>
      <c r="CO11" s="774"/>
      <c r="CP11" s="774"/>
      <c r="CQ11" s="774"/>
      <c r="CR11" s="774"/>
      <c r="CS11" s="774"/>
      <c r="CT11" s="774"/>
      <c r="CU11" s="774"/>
      <c r="CV11" s="651"/>
    </row>
    <row r="12" spans="2:100" x14ac:dyDescent="0.3">
      <c r="C12" s="620" t="s">
        <v>83</v>
      </c>
      <c r="D12" s="621" t="s">
        <v>38</v>
      </c>
      <c r="E12" s="622" t="s">
        <v>11</v>
      </c>
      <c r="F12" s="623">
        <f>ID!L68</f>
        <v>0</v>
      </c>
      <c r="G12" s="623">
        <f>SQRT(3)</f>
        <v>1.7320508075688772</v>
      </c>
      <c r="H12" s="623">
        <f>(F12/G12)</f>
        <v>0</v>
      </c>
      <c r="I12" s="624">
        <v>1</v>
      </c>
      <c r="J12" s="624">
        <v>5</v>
      </c>
      <c r="K12" s="625">
        <f>H12*I12</f>
        <v>0</v>
      </c>
      <c r="L12" s="625">
        <f>K12^2</f>
        <v>0</v>
      </c>
      <c r="M12" s="625">
        <f>((K12)^4)/J12</f>
        <v>0</v>
      </c>
      <c r="O12" s="620" t="s">
        <v>83</v>
      </c>
      <c r="P12" s="621" t="s">
        <v>38</v>
      </c>
      <c r="Q12" s="622" t="s">
        <v>11</v>
      </c>
      <c r="R12" s="623">
        <f>ID!L71</f>
        <v>5.7735026918959292E-2</v>
      </c>
      <c r="S12" s="623">
        <f>SQRT(3)</f>
        <v>1.7320508075688772</v>
      </c>
      <c r="T12" s="623">
        <f>(R12/S12)</f>
        <v>3.3333333333331439E-2</v>
      </c>
      <c r="U12" s="624">
        <v>1</v>
      </c>
      <c r="V12" s="624">
        <v>5</v>
      </c>
      <c r="W12" s="625">
        <f>T12*U12</f>
        <v>3.3333333333331439E-2</v>
      </c>
      <c r="X12" s="625">
        <f>W12^2</f>
        <v>1.1111111111109847E-3</v>
      </c>
      <c r="Y12" s="625">
        <f>((W12)^4)/V12</f>
        <v>2.4691358024685737E-7</v>
      </c>
      <c r="AA12" s="626" t="s">
        <v>83</v>
      </c>
      <c r="AB12" s="627" t="s">
        <v>38</v>
      </c>
      <c r="AC12" s="628" t="s">
        <v>11</v>
      </c>
      <c r="AD12" s="629">
        <v>0</v>
      </c>
      <c r="AE12" s="629">
        <v>1.7320508075688772</v>
      </c>
      <c r="AF12" s="629">
        <f>0/1.7321</f>
        <v>0</v>
      </c>
      <c r="AG12" s="630">
        <v>1</v>
      </c>
      <c r="AH12" s="630">
        <f>3-1</f>
        <v>2</v>
      </c>
      <c r="AI12" s="631">
        <f>(0*1)</f>
        <v>0</v>
      </c>
      <c r="AJ12" s="631">
        <f>(0*1)^2</f>
        <v>0</v>
      </c>
      <c r="AK12" s="632">
        <f>((0*1)^4)/2</f>
        <v>0</v>
      </c>
      <c r="AL12" s="601"/>
      <c r="AM12" s="626" t="s">
        <v>83</v>
      </c>
      <c r="AN12" s="627" t="s">
        <v>38</v>
      </c>
      <c r="AO12" s="628" t="s">
        <v>11</v>
      </c>
      <c r="AP12" s="629">
        <v>0</v>
      </c>
      <c r="AQ12" s="629">
        <v>1.7320508075688772</v>
      </c>
      <c r="AR12" s="629">
        <f>0/1.7321</f>
        <v>0</v>
      </c>
      <c r="AS12" s="630">
        <v>1</v>
      </c>
      <c r="AT12" s="630">
        <f>3-1</f>
        <v>2</v>
      </c>
      <c r="AU12" s="631">
        <f>(0*1)</f>
        <v>0</v>
      </c>
      <c r="AV12" s="631">
        <f>(0*1)^2</f>
        <v>0</v>
      </c>
      <c r="AW12" s="632">
        <f>((0*1)^4)/2</f>
        <v>0</v>
      </c>
      <c r="BB12" s="1307"/>
      <c r="BC12" s="1307"/>
      <c r="BD12" s="1308"/>
      <c r="BE12" s="1308"/>
      <c r="BF12" s="1307"/>
      <c r="BG12" s="1307"/>
      <c r="BH12" s="1307"/>
      <c r="BI12" s="1307"/>
      <c r="BJ12" s="1308"/>
      <c r="BK12" s="1308"/>
      <c r="BL12" s="1046"/>
      <c r="BN12" s="595"/>
      <c r="BO12" s="775"/>
      <c r="BP12" s="776"/>
      <c r="BQ12" s="801"/>
      <c r="BR12" s="637"/>
      <c r="BS12" s="637"/>
      <c r="BT12" s="777"/>
      <c r="BU12" s="777"/>
      <c r="BV12" s="598"/>
      <c r="BW12" s="598"/>
      <c r="BX12" s="598"/>
      <c r="BZ12" s="1307"/>
      <c r="CA12" s="1307"/>
      <c r="CB12" s="1308"/>
      <c r="CC12" s="1308"/>
      <c r="CD12" s="1307"/>
      <c r="CE12" s="1307"/>
      <c r="CF12" s="1307"/>
      <c r="CG12" s="1307"/>
      <c r="CH12" s="1308"/>
      <c r="CI12" s="1308"/>
      <c r="CJ12" s="1046"/>
      <c r="CK12" s="1046"/>
      <c r="CL12" s="595"/>
      <c r="CM12" s="775"/>
      <c r="CN12" s="776"/>
      <c r="CO12" s="637"/>
      <c r="CP12" s="637"/>
      <c r="CQ12" s="637"/>
      <c r="CR12" s="777"/>
      <c r="CS12" s="777"/>
      <c r="CT12" s="598"/>
      <c r="CU12" s="598"/>
      <c r="CV12" s="598"/>
    </row>
    <row r="13" spans="2:100" ht="47.25" customHeight="1" x14ac:dyDescent="0.3">
      <c r="C13" s="620" t="s">
        <v>82</v>
      </c>
      <c r="D13" s="621" t="s">
        <v>38</v>
      </c>
      <c r="E13" s="622" t="s">
        <v>11</v>
      </c>
      <c r="F13" s="1058">
        <f>'INTERPOLASI  '!AJ18</f>
        <v>0.4</v>
      </c>
      <c r="G13" s="624">
        <v>2</v>
      </c>
      <c r="H13" s="623">
        <f>F13/G13</f>
        <v>0.2</v>
      </c>
      <c r="I13" s="624">
        <v>1</v>
      </c>
      <c r="J13" s="624">
        <v>50</v>
      </c>
      <c r="K13" s="625">
        <f>H13*I13</f>
        <v>0.2</v>
      </c>
      <c r="L13" s="625">
        <f>K13^2</f>
        <v>4.0000000000000008E-2</v>
      </c>
      <c r="M13" s="625">
        <f>((K13)^4)/J13</f>
        <v>3.2000000000000012E-5</v>
      </c>
      <c r="O13" s="620" t="s">
        <v>82</v>
      </c>
      <c r="P13" s="621" t="s">
        <v>38</v>
      </c>
      <c r="Q13" s="622" t="s">
        <v>11</v>
      </c>
      <c r="R13" s="1058">
        <f>'INTERPOLASI  '!AJ21</f>
        <v>0.4</v>
      </c>
      <c r="S13" s="624">
        <v>2</v>
      </c>
      <c r="T13" s="623">
        <f>R13/S13</f>
        <v>0.2</v>
      </c>
      <c r="U13" s="624">
        <v>1</v>
      </c>
      <c r="V13" s="624">
        <v>50</v>
      </c>
      <c r="W13" s="625">
        <f>T13*U13</f>
        <v>0.2</v>
      </c>
      <c r="X13" s="625">
        <f>W13^2</f>
        <v>4.0000000000000008E-2</v>
      </c>
      <c r="Y13" s="625">
        <f>((W13)^4)/V13</f>
        <v>3.2000000000000012E-5</v>
      </c>
      <c r="AA13" s="626" t="s">
        <v>82</v>
      </c>
      <c r="AB13" s="627" t="s">
        <v>38</v>
      </c>
      <c r="AC13" s="628" t="s">
        <v>11</v>
      </c>
      <c r="AD13" s="633">
        <f>(((0.2-0.1)*(0-0))/(50-0))+(0.1)</f>
        <v>0.1</v>
      </c>
      <c r="AE13" s="630">
        <v>2</v>
      </c>
      <c r="AF13" s="629">
        <f>0.1/2</f>
        <v>0.05</v>
      </c>
      <c r="AG13" s="630">
        <v>1</v>
      </c>
      <c r="AH13" s="630">
        <v>50</v>
      </c>
      <c r="AI13" s="631">
        <f>(0.005*1)</f>
        <v>5.0000000000000001E-3</v>
      </c>
      <c r="AJ13" s="631">
        <f>(0.005*1)^2</f>
        <v>2.5000000000000001E-5</v>
      </c>
      <c r="AK13" s="632">
        <f>((0.005*1)^4)/50</f>
        <v>1.25E-11</v>
      </c>
      <c r="AL13" s="601"/>
      <c r="AM13" s="626" t="s">
        <v>82</v>
      </c>
      <c r="AN13" s="627" t="s">
        <v>38</v>
      </c>
      <c r="AO13" s="628" t="s">
        <v>11</v>
      </c>
      <c r="AP13" s="633">
        <f>(((0.2-0.2)*(149-0.2))/(150-100))+(0.2)</f>
        <v>0.2</v>
      </c>
      <c r="AQ13" s="630">
        <v>2</v>
      </c>
      <c r="AR13" s="629">
        <f>0.2/2</f>
        <v>0.1</v>
      </c>
      <c r="AS13" s="630">
        <v>1</v>
      </c>
      <c r="AT13" s="630">
        <v>50</v>
      </c>
      <c r="AU13" s="631">
        <f>(0.1*1)</f>
        <v>0.1</v>
      </c>
      <c r="AV13" s="631">
        <f>(0.1*1)^2</f>
        <v>1.0000000000000002E-2</v>
      </c>
      <c r="AW13" s="631">
        <f>((0.1*1)^4)/50</f>
        <v>2.0000000000000008E-6</v>
      </c>
      <c r="BB13" s="778"/>
      <c r="BC13" s="778"/>
      <c r="BD13" s="634"/>
      <c r="BE13" s="634"/>
      <c r="BF13" s="634"/>
      <c r="BG13" s="634"/>
      <c r="BH13" s="796">
        <f>F13</f>
        <v>0.4</v>
      </c>
      <c r="BI13" s="790" t="s">
        <v>559</v>
      </c>
      <c r="BJ13" s="1059"/>
      <c r="BK13" s="1059"/>
      <c r="BL13" s="1040">
        <f>C10</f>
        <v>0</v>
      </c>
      <c r="BM13" s="791">
        <f>'INTERPOLASI  '!AH18</f>
        <v>0</v>
      </c>
      <c r="BN13" s="792">
        <f>'INTERPOLASI  '!AF18</f>
        <v>0.4</v>
      </c>
      <c r="BO13" s="793">
        <f>'INTERPOLASI  '!AI18</f>
        <v>50</v>
      </c>
      <c r="BP13" s="794">
        <f>'INTERPOLASI  '!AG18</f>
        <v>0.4</v>
      </c>
      <c r="BQ13" s="802">
        <f>((((BP13-BN13)*(BL13-BM13)))/(BO13-BM13))+BN13</f>
        <v>0.4</v>
      </c>
      <c r="BR13" s="798"/>
      <c r="BS13" s="796">
        <f>R13</f>
        <v>0.4</v>
      </c>
      <c r="BT13" s="790" t="s">
        <v>559</v>
      </c>
      <c r="BU13" s="1059"/>
      <c r="BV13" s="1059"/>
      <c r="BW13" s="1040">
        <f>O10</f>
        <v>0</v>
      </c>
      <c r="BX13" s="791">
        <f>'INTERPOLASI  '!AH21</f>
        <v>100</v>
      </c>
      <c r="BY13" s="792">
        <f>'INTERPOLASI  '!AF21</f>
        <v>0.4</v>
      </c>
      <c r="BZ13" s="793">
        <f>'INTERPOLASI  '!AI21</f>
        <v>150</v>
      </c>
      <c r="CA13" s="794">
        <f>'INTERPOLASI  '!AG21</f>
        <v>0.4</v>
      </c>
      <c r="CB13" s="802">
        <f>((((CA13-BY13)*(BW13-BX13)))/(BZ13-BX13))+BY13</f>
        <v>0.4</v>
      </c>
      <c r="CC13" s="634"/>
      <c r="CD13" s="634"/>
      <c r="CE13" s="634"/>
      <c r="CF13" s="634"/>
      <c r="CG13" s="634"/>
      <c r="CH13" s="634"/>
      <c r="CI13" s="634"/>
      <c r="CJ13" s="634"/>
      <c r="CK13" s="634"/>
      <c r="CL13" s="595"/>
      <c r="CM13" s="775"/>
      <c r="CN13" s="776"/>
      <c r="CO13" s="779"/>
      <c r="CP13" s="777"/>
      <c r="CQ13" s="637"/>
      <c r="CR13" s="777"/>
      <c r="CS13" s="777"/>
      <c r="CT13" s="598"/>
      <c r="CU13" s="598"/>
      <c r="CV13" s="598"/>
    </row>
    <row r="14" spans="2:100" ht="28.5" customHeight="1" x14ac:dyDescent="0.3">
      <c r="B14" s="588">
        <f>ID!C9</f>
        <v>2</v>
      </c>
      <c r="C14" s="620" t="s">
        <v>240</v>
      </c>
      <c r="D14" s="621" t="s">
        <v>38</v>
      </c>
      <c r="E14" s="622" t="s">
        <v>85</v>
      </c>
      <c r="F14" s="623">
        <f>B18</f>
        <v>0.4</v>
      </c>
      <c r="G14" s="623">
        <f>SQRT(3)</f>
        <v>1.7320508075688772</v>
      </c>
      <c r="H14" s="623">
        <f>F14/G14</f>
        <v>0.23094010767585033</v>
      </c>
      <c r="I14" s="624">
        <v>1</v>
      </c>
      <c r="J14" s="624">
        <v>50</v>
      </c>
      <c r="K14" s="625">
        <f>H14*I14</f>
        <v>0.23094010767585033</v>
      </c>
      <c r="L14" s="625">
        <f>K14^2</f>
        <v>5.3333333333333344E-2</v>
      </c>
      <c r="M14" s="625">
        <f>((K14)^4)/J14</f>
        <v>5.6888888888888908E-5</v>
      </c>
      <c r="O14" s="620" t="s">
        <v>240</v>
      </c>
      <c r="P14" s="621" t="s">
        <v>38</v>
      </c>
      <c r="Q14" s="622" t="s">
        <v>85</v>
      </c>
      <c r="R14" s="623">
        <f>B18</f>
        <v>0.4</v>
      </c>
      <c r="S14" s="623">
        <f>SQRT(3)</f>
        <v>1.7320508075688772</v>
      </c>
      <c r="T14" s="623">
        <f>R14/S14</f>
        <v>0.23094010767585033</v>
      </c>
      <c r="U14" s="624">
        <v>1</v>
      </c>
      <c r="V14" s="624">
        <v>50</v>
      </c>
      <c r="W14" s="625">
        <f>T14*U14</f>
        <v>0.23094010767585033</v>
      </c>
      <c r="X14" s="625">
        <f>W14^2</f>
        <v>5.3333333333333344E-2</v>
      </c>
      <c r="Y14" s="625">
        <f>((W14)^4)/V14</f>
        <v>5.6888888888888908E-5</v>
      </c>
      <c r="AA14" s="626" t="s">
        <v>76</v>
      </c>
      <c r="AB14" s="627" t="s">
        <v>38</v>
      </c>
      <c r="AC14" s="628" t="s">
        <v>85</v>
      </c>
      <c r="AD14" s="629">
        <f>(1/5)*2</f>
        <v>0.4</v>
      </c>
      <c r="AE14" s="629">
        <v>1.7320508075688772</v>
      </c>
      <c r="AF14" s="635">
        <f>0.4/1.7321</f>
        <v>0.23093354887131229</v>
      </c>
      <c r="AG14" s="630">
        <v>1</v>
      </c>
      <c r="AH14" s="630">
        <v>50</v>
      </c>
      <c r="AI14" s="631">
        <f>(0.230933548871*1)</f>
        <v>0.23093354887100001</v>
      </c>
      <c r="AJ14" s="631">
        <f>(0.230933548871*1)^2</f>
        <v>5.3330303994154553E-2</v>
      </c>
      <c r="AK14" s="631">
        <f>((0.230933548871*1)^4)/50</f>
        <v>5.6882426482178737E-5</v>
      </c>
      <c r="AL14" s="601"/>
      <c r="AM14" s="626" t="s">
        <v>76</v>
      </c>
      <c r="AN14" s="627" t="s">
        <v>38</v>
      </c>
      <c r="AO14" s="628" t="s">
        <v>85</v>
      </c>
      <c r="AP14" s="629">
        <f>(1/5)*2</f>
        <v>0.4</v>
      </c>
      <c r="AQ14" s="629">
        <v>1.7320508075688772</v>
      </c>
      <c r="AR14" s="635">
        <f>0.4/1.7321</f>
        <v>0.23093354887131229</v>
      </c>
      <c r="AS14" s="630">
        <v>1</v>
      </c>
      <c r="AT14" s="630">
        <v>50</v>
      </c>
      <c r="AU14" s="631">
        <f>(0.230933548871*1)</f>
        <v>0.23093354887100001</v>
      </c>
      <c r="AV14" s="631">
        <f>(0.230933548871*1)^2</f>
        <v>5.3330303994154553E-2</v>
      </c>
      <c r="AW14" s="631">
        <f>((0.230933548871*1)^4)/50</f>
        <v>5.6882426482178737E-5</v>
      </c>
      <c r="BB14" s="780"/>
      <c r="BC14" s="780"/>
      <c r="BD14" s="779"/>
      <c r="BE14" s="779"/>
      <c r="BF14" s="781"/>
      <c r="BG14" s="781"/>
      <c r="BH14" s="782"/>
      <c r="BI14" s="782"/>
      <c r="BJ14" s="783"/>
      <c r="BK14" s="783"/>
      <c r="BL14" s="636"/>
      <c r="BN14" s="595"/>
      <c r="BO14" s="775"/>
      <c r="BP14" s="776"/>
      <c r="BQ14" s="801"/>
      <c r="BR14" s="798"/>
      <c r="BS14" s="782"/>
      <c r="BT14" s="782"/>
      <c r="BU14" s="783"/>
      <c r="BV14" s="783"/>
      <c r="BW14" s="1042"/>
      <c r="BY14" s="595"/>
      <c r="BZ14" s="775"/>
      <c r="CA14" s="776"/>
      <c r="CB14" s="801"/>
      <c r="CC14" s="779"/>
      <c r="CD14" s="781"/>
      <c r="CE14" s="781"/>
      <c r="CF14" s="782"/>
      <c r="CG14" s="782"/>
      <c r="CH14" s="783"/>
      <c r="CI14" s="783"/>
      <c r="CJ14" s="636"/>
      <c r="CK14" s="636"/>
      <c r="CL14" s="595"/>
      <c r="CM14" s="775"/>
      <c r="CN14" s="776"/>
      <c r="CO14" s="637"/>
      <c r="CP14" s="637"/>
      <c r="CQ14" s="637"/>
      <c r="CR14" s="777"/>
      <c r="CS14" s="777"/>
      <c r="CT14" s="598"/>
      <c r="CU14" s="598"/>
      <c r="CV14" s="598"/>
    </row>
    <row r="15" spans="2:100" ht="28.5" customHeight="1" x14ac:dyDescent="0.3">
      <c r="C15" s="620" t="s">
        <v>241</v>
      </c>
      <c r="D15" s="621" t="s">
        <v>38</v>
      </c>
      <c r="E15" s="622" t="s">
        <v>85</v>
      </c>
      <c r="F15" s="637">
        <f>(1/2)*'RESOLUSI STANDAR'!$K$7</f>
        <v>0.05</v>
      </c>
      <c r="G15" s="623">
        <f>SQRT(3)</f>
        <v>1.7320508075688772</v>
      </c>
      <c r="H15" s="623">
        <f>F15/G15</f>
        <v>2.8867513459481291E-2</v>
      </c>
      <c r="I15" s="624">
        <v>1</v>
      </c>
      <c r="J15" s="624">
        <v>50</v>
      </c>
      <c r="K15" s="625">
        <f>H15*I15</f>
        <v>2.8867513459481291E-2</v>
      </c>
      <c r="L15" s="625">
        <f>K15^2</f>
        <v>8.333333333333335E-4</v>
      </c>
      <c r="M15" s="625">
        <f>((K15)^4)/J15</f>
        <v>1.3888888888888894E-8</v>
      </c>
      <c r="O15" s="620" t="s">
        <v>241</v>
      </c>
      <c r="P15" s="621" t="s">
        <v>38</v>
      </c>
      <c r="Q15" s="622" t="s">
        <v>85</v>
      </c>
      <c r="R15" s="637">
        <f>(1/2)*'RESOLUSI STANDAR'!$K$7</f>
        <v>0.05</v>
      </c>
      <c r="S15" s="623">
        <f>SQRT(3)</f>
        <v>1.7320508075688772</v>
      </c>
      <c r="T15" s="623">
        <f>R15/S15</f>
        <v>2.8867513459481291E-2</v>
      </c>
      <c r="U15" s="624">
        <v>1</v>
      </c>
      <c r="V15" s="624">
        <v>50</v>
      </c>
      <c r="W15" s="625">
        <f>T15*U15</f>
        <v>2.8867513459481291E-2</v>
      </c>
      <c r="X15" s="625">
        <f>W15^2</f>
        <v>8.333333333333335E-4</v>
      </c>
      <c r="Y15" s="625">
        <f>((W15)^4)/V15</f>
        <v>1.3888888888888894E-8</v>
      </c>
      <c r="AA15" s="626"/>
      <c r="AB15" s="627"/>
      <c r="AC15" s="628"/>
      <c r="AD15" s="638"/>
      <c r="AE15" s="629"/>
      <c r="AF15" s="635"/>
      <c r="AG15" s="630"/>
      <c r="AH15" s="630"/>
      <c r="AI15" s="631"/>
      <c r="AJ15" s="631"/>
      <c r="AK15" s="631"/>
      <c r="AL15" s="601"/>
      <c r="AM15" s="626"/>
      <c r="AN15" s="627"/>
      <c r="AO15" s="628"/>
      <c r="AP15" s="638"/>
      <c r="AQ15" s="629"/>
      <c r="AR15" s="635"/>
      <c r="AS15" s="630"/>
      <c r="AT15" s="630"/>
      <c r="AU15" s="631"/>
      <c r="AV15" s="631"/>
      <c r="AW15" s="631"/>
      <c r="BB15" s="780"/>
      <c r="BC15" s="780"/>
      <c r="BD15" s="779"/>
      <c r="BE15" s="779"/>
      <c r="BF15" s="781"/>
      <c r="BG15" s="781"/>
      <c r="BH15" s="782"/>
      <c r="BI15" s="782"/>
      <c r="BJ15" s="783"/>
      <c r="BK15" s="783"/>
      <c r="BL15" s="636"/>
      <c r="BN15" s="595"/>
      <c r="BO15" s="775"/>
      <c r="BP15" s="776"/>
      <c r="BQ15" s="801"/>
      <c r="BR15" s="798"/>
      <c r="BS15" s="782"/>
      <c r="BT15" s="782"/>
      <c r="BU15" s="783"/>
      <c r="BV15" s="783"/>
      <c r="BW15" s="1042"/>
      <c r="BY15" s="595"/>
      <c r="BZ15" s="775"/>
      <c r="CA15" s="776"/>
      <c r="CB15" s="801"/>
      <c r="CC15" s="779"/>
      <c r="CD15" s="781"/>
      <c r="CE15" s="781"/>
      <c r="CF15" s="782"/>
      <c r="CG15" s="782"/>
      <c r="CH15" s="783"/>
      <c r="CI15" s="783"/>
      <c r="CJ15" s="636"/>
      <c r="CK15" s="636"/>
      <c r="CL15" s="595"/>
      <c r="CM15" s="775"/>
      <c r="CN15" s="776"/>
      <c r="CO15" s="637"/>
      <c r="CP15" s="637"/>
      <c r="CQ15" s="637"/>
      <c r="CR15" s="777"/>
      <c r="CS15" s="777"/>
      <c r="CT15" s="598"/>
      <c r="CU15" s="598"/>
      <c r="CV15" s="598"/>
    </row>
    <row r="16" spans="2:100" ht="31.2" x14ac:dyDescent="0.3">
      <c r="C16" s="620" t="s">
        <v>51</v>
      </c>
      <c r="D16" s="621" t="s">
        <v>38</v>
      </c>
      <c r="E16" s="622" t="s">
        <v>85</v>
      </c>
      <c r="F16" s="1058">
        <f>'INTERPOLASI  '!BI18</f>
        <v>1.9999999999999997E-9</v>
      </c>
      <c r="G16" s="623">
        <f>SQRT(3)</f>
        <v>1.7320508075688772</v>
      </c>
      <c r="H16" s="623">
        <f>F16/G16</f>
        <v>1.1547005383792513E-9</v>
      </c>
      <c r="I16" s="624">
        <v>1</v>
      </c>
      <c r="J16" s="624">
        <v>50</v>
      </c>
      <c r="K16" s="625">
        <f>H16*I16</f>
        <v>1.1547005383792513E-9</v>
      </c>
      <c r="L16" s="625">
        <f>K16^2</f>
        <v>1.333333333333333E-18</v>
      </c>
      <c r="M16" s="625">
        <f>((K16)^4)/J16</f>
        <v>3.5555555555555536E-38</v>
      </c>
      <c r="O16" s="620" t="s">
        <v>51</v>
      </c>
      <c r="P16" s="621" t="s">
        <v>38</v>
      </c>
      <c r="Q16" s="622" t="s">
        <v>85</v>
      </c>
      <c r="R16" s="1058">
        <f>'INTERPOLASI  '!BI21</f>
        <v>0.05</v>
      </c>
      <c r="S16" s="623">
        <f>SQRT(3)</f>
        <v>1.7320508075688772</v>
      </c>
      <c r="T16" s="623">
        <f>R16/S16</f>
        <v>2.8867513459481291E-2</v>
      </c>
      <c r="U16" s="624">
        <v>1</v>
      </c>
      <c r="V16" s="624">
        <v>50</v>
      </c>
      <c r="W16" s="625">
        <f>T16*U16</f>
        <v>2.8867513459481291E-2</v>
      </c>
      <c r="X16" s="625">
        <f>W16^2</f>
        <v>8.333333333333335E-4</v>
      </c>
      <c r="Y16" s="625">
        <f>((W16)^4)/V16</f>
        <v>1.3888888888888894E-8</v>
      </c>
      <c r="AA16" s="626" t="s">
        <v>51</v>
      </c>
      <c r="AB16" s="627" t="s">
        <v>38</v>
      </c>
      <c r="AC16" s="628" t="s">
        <v>85</v>
      </c>
      <c r="AD16" s="633">
        <v>0</v>
      </c>
      <c r="AE16" s="629">
        <v>1.7320508075688772</v>
      </c>
      <c r="AF16" s="629">
        <f>0/1.7321</f>
        <v>0</v>
      </c>
      <c r="AG16" s="630">
        <v>1</v>
      </c>
      <c r="AH16" s="630">
        <v>50</v>
      </c>
      <c r="AI16" s="631">
        <f>(0*1)</f>
        <v>0</v>
      </c>
      <c r="AJ16" s="631">
        <f>(0*1)^2</f>
        <v>0</v>
      </c>
      <c r="AK16" s="632">
        <f>((0*1)^4)/50</f>
        <v>0</v>
      </c>
      <c r="AL16" s="601"/>
      <c r="AM16" s="626" t="s">
        <v>51</v>
      </c>
      <c r="AN16" s="627" t="s">
        <v>38</v>
      </c>
      <c r="AO16" s="628" t="s">
        <v>85</v>
      </c>
      <c r="AP16" s="633">
        <v>0</v>
      </c>
      <c r="AQ16" s="629">
        <v>1.7320508075688772</v>
      </c>
      <c r="AR16" s="629">
        <f>0/1.7321</f>
        <v>0</v>
      </c>
      <c r="AS16" s="630">
        <v>1</v>
      </c>
      <c r="AT16" s="630">
        <v>50</v>
      </c>
      <c r="AU16" s="631">
        <f>(0*1)</f>
        <v>0</v>
      </c>
      <c r="AV16" s="631">
        <f>(0*1)^2</f>
        <v>0</v>
      </c>
      <c r="AW16" s="632">
        <f>((0*1)^4)/50</f>
        <v>0</v>
      </c>
      <c r="BB16" s="780"/>
      <c r="BC16" s="780"/>
      <c r="BD16" s="779"/>
      <c r="BE16" s="779"/>
      <c r="BF16" s="784"/>
      <c r="BG16" s="784"/>
      <c r="BH16" s="782">
        <f>F16</f>
        <v>1.9999999999999997E-9</v>
      </c>
      <c r="BI16" s="790" t="s">
        <v>559</v>
      </c>
      <c r="BJ16" s="1059"/>
      <c r="BK16" s="1059"/>
      <c r="BL16" s="1040">
        <f>C10</f>
        <v>0</v>
      </c>
      <c r="BM16" s="791">
        <f>'INTERPOLASI  '!BG18</f>
        <v>0</v>
      </c>
      <c r="BN16" s="795">
        <f>'INTERPOLASI  '!BE18</f>
        <v>0</v>
      </c>
      <c r="BO16" s="793">
        <f>'INTERPOLASI  '!BH18</f>
        <v>50</v>
      </c>
      <c r="BP16" s="795">
        <f>'INTERPOLASI  '!BF18</f>
        <v>0.1</v>
      </c>
      <c r="BQ16" s="802">
        <f>((((BP16-BN16)*(BL16-BM16)))/(BO16-BM16))+BN16</f>
        <v>0</v>
      </c>
      <c r="BR16" s="798"/>
      <c r="BS16" s="782">
        <f>R16</f>
        <v>0.05</v>
      </c>
      <c r="BT16" s="790" t="s">
        <v>559</v>
      </c>
      <c r="BU16" s="1059"/>
      <c r="BV16" s="1059"/>
      <c r="BW16" s="1040">
        <f>O10</f>
        <v>0</v>
      </c>
      <c r="BX16" s="791">
        <f>'INTERPOLASI  '!BG21</f>
        <v>100</v>
      </c>
      <c r="BY16" s="795">
        <f>'INTERPOLASI  '!BE21</f>
        <v>0.05</v>
      </c>
      <c r="BZ16" s="793">
        <f>'INTERPOLASI  '!BH21</f>
        <v>150</v>
      </c>
      <c r="CA16" s="795">
        <f>'INTERPOLASI  '!BF21</f>
        <v>0.2</v>
      </c>
      <c r="CB16" s="802">
        <f>((((CA16-BY16)*(BW16-BX16)))/(BZ16-BX16))+BY16</f>
        <v>-0.25000000000000006</v>
      </c>
      <c r="CC16" s="779"/>
      <c r="CD16" s="784"/>
      <c r="CE16" s="784"/>
      <c r="CF16" s="782"/>
      <c r="CG16" s="782"/>
      <c r="CH16" s="783"/>
      <c r="CI16" s="783"/>
      <c r="CJ16" s="636"/>
      <c r="CK16" s="636"/>
      <c r="CL16" s="595"/>
      <c r="CM16" s="775"/>
      <c r="CN16" s="776"/>
      <c r="CO16" s="779"/>
      <c r="CP16" s="637"/>
      <c r="CQ16" s="637"/>
      <c r="CR16" s="777"/>
      <c r="CS16" s="777"/>
      <c r="CT16" s="598"/>
      <c r="CU16" s="598"/>
      <c r="CV16" s="598"/>
    </row>
    <row r="17" spans="2:100" x14ac:dyDescent="0.3">
      <c r="C17" s="639"/>
      <c r="D17" s="639"/>
      <c r="E17" s="639"/>
      <c r="F17" s="639"/>
      <c r="G17" s="1050" t="s">
        <v>84</v>
      </c>
      <c r="H17" s="1051"/>
      <c r="I17" s="1051"/>
      <c r="J17" s="1051"/>
      <c r="K17" s="1052"/>
      <c r="L17" s="640">
        <f>SUM(L12:L16)</f>
        <v>9.416666666666669E-2</v>
      </c>
      <c r="M17" s="640">
        <f>SUM(M12:M16)</f>
        <v>8.8902777777777808E-5</v>
      </c>
      <c r="O17" s="639"/>
      <c r="P17" s="639"/>
      <c r="Q17" s="639"/>
      <c r="R17" s="639"/>
      <c r="S17" s="1050" t="s">
        <v>84</v>
      </c>
      <c r="T17" s="1051"/>
      <c r="U17" s="1051"/>
      <c r="V17" s="1051"/>
      <c r="W17" s="1052"/>
      <c r="X17" s="640">
        <f>SUM(X12:X16)</f>
        <v>9.6111111111111008E-2</v>
      </c>
      <c r="Y17" s="640">
        <f>SUM(Y12:Y16)</f>
        <v>8.9163580246913546E-5</v>
      </c>
      <c r="AA17" s="641"/>
      <c r="AB17" s="641"/>
      <c r="AC17" s="641"/>
      <c r="AD17" s="641"/>
      <c r="AE17" s="1047" t="s">
        <v>84</v>
      </c>
      <c r="AF17" s="1048"/>
      <c r="AG17" s="1048"/>
      <c r="AH17" s="1048"/>
      <c r="AI17" s="1049"/>
      <c r="AJ17" s="642">
        <f>SUM(AJ12:AJ16)</f>
        <v>5.335530399415455E-2</v>
      </c>
      <c r="AK17" s="642">
        <f>SUM(AK12:AK16)</f>
        <v>5.6882438982178735E-5</v>
      </c>
      <c r="AL17" s="601"/>
      <c r="AM17" s="641"/>
      <c r="AN17" s="641"/>
      <c r="AO17" s="641"/>
      <c r="AP17" s="641"/>
      <c r="AQ17" s="1047" t="s">
        <v>84</v>
      </c>
      <c r="AR17" s="1048"/>
      <c r="AS17" s="1048"/>
      <c r="AT17" s="1048"/>
      <c r="AU17" s="1049"/>
      <c r="AV17" s="643">
        <f>SUM(AV12:AV16)</f>
        <v>6.3330303994154555E-2</v>
      </c>
      <c r="AW17" s="643">
        <f>SUM(AW12:AW16)</f>
        <v>5.8882426482178738E-5</v>
      </c>
      <c r="BB17" s="780"/>
      <c r="BC17" s="780"/>
      <c r="BD17" s="779"/>
      <c r="BE17" s="779"/>
      <c r="BF17" s="784"/>
      <c r="BG17" s="784"/>
      <c r="BH17" s="782"/>
      <c r="BI17" s="782"/>
      <c r="BJ17" s="783"/>
      <c r="BK17" s="783"/>
      <c r="BL17" s="636"/>
      <c r="BN17" s="595"/>
      <c r="BO17" s="595"/>
      <c r="BP17" s="595"/>
      <c r="BQ17" s="803"/>
      <c r="BR17" s="798"/>
      <c r="BS17" s="798"/>
      <c r="BT17" s="798"/>
      <c r="BU17" s="798"/>
      <c r="BV17" s="798"/>
      <c r="BW17" s="597"/>
      <c r="BX17" s="597"/>
      <c r="BZ17" s="780"/>
      <c r="CA17" s="780"/>
      <c r="CB17" s="779"/>
      <c r="CC17" s="779"/>
      <c r="CD17" s="784"/>
      <c r="CE17" s="784"/>
      <c r="CF17" s="782"/>
      <c r="CG17" s="782"/>
      <c r="CH17" s="783"/>
      <c r="CI17" s="783"/>
      <c r="CJ17" s="636"/>
      <c r="CK17" s="636"/>
      <c r="CL17" s="595"/>
      <c r="CM17" s="595"/>
      <c r="CN17" s="595"/>
      <c r="CO17" s="595"/>
      <c r="CP17" s="596"/>
      <c r="CQ17" s="596"/>
      <c r="CR17" s="596"/>
      <c r="CS17" s="596"/>
      <c r="CT17" s="596"/>
      <c r="CU17" s="597"/>
      <c r="CV17" s="597"/>
    </row>
    <row r="18" spans="2:100" ht="18.75" customHeight="1" x14ac:dyDescent="0.4">
      <c r="B18" s="797">
        <f>0.2*2</f>
        <v>0.4</v>
      </c>
      <c r="C18" s="595"/>
      <c r="D18" s="595"/>
      <c r="E18" s="595"/>
      <c r="F18" s="595"/>
      <c r="G18" s="1313" t="s">
        <v>119</v>
      </c>
      <c r="H18" s="1314"/>
      <c r="I18" s="1314"/>
      <c r="J18" s="1314"/>
      <c r="K18" s="1315"/>
      <c r="L18" s="640">
        <f>SQRT(L17)</f>
        <v>0.30686587732536619</v>
      </c>
      <c r="M18" s="625"/>
      <c r="O18" s="595"/>
      <c r="P18" s="595"/>
      <c r="Q18" s="595"/>
      <c r="R18" s="595"/>
      <c r="S18" s="1313" t="s">
        <v>119</v>
      </c>
      <c r="T18" s="1314"/>
      <c r="U18" s="1314"/>
      <c r="V18" s="1314"/>
      <c r="W18" s="1315"/>
      <c r="X18" s="640">
        <f>SQRT(X17)</f>
        <v>0.3100179206289711</v>
      </c>
      <c r="Y18" s="625"/>
      <c r="AA18" s="644" t="s">
        <v>48</v>
      </c>
      <c r="AB18" s="644" t="s">
        <v>194</v>
      </c>
      <c r="AC18" s="605"/>
      <c r="AD18" s="605"/>
      <c r="AE18" s="1310" t="s">
        <v>224</v>
      </c>
      <c r="AF18" s="1311"/>
      <c r="AG18" s="1311"/>
      <c r="AH18" s="1311"/>
      <c r="AI18" s="1312"/>
      <c r="AJ18" s="643">
        <f>SQRT(AJ17)</f>
        <v>0.23098767065398654</v>
      </c>
      <c r="AK18" s="632"/>
      <c r="AL18" s="601"/>
      <c r="AM18" s="644" t="s">
        <v>48</v>
      </c>
      <c r="AN18" s="644" t="s">
        <v>194</v>
      </c>
      <c r="AO18" s="605"/>
      <c r="AP18" s="605"/>
      <c r="AQ18" s="1310" t="s">
        <v>224</v>
      </c>
      <c r="AR18" s="1311"/>
      <c r="AS18" s="1311"/>
      <c r="AT18" s="1311"/>
      <c r="AU18" s="1312"/>
      <c r="AV18" s="643">
        <f>SQRT(AV17)</f>
        <v>0.25165512908374144</v>
      </c>
      <c r="AW18" s="631"/>
      <c r="BB18" s="780"/>
      <c r="BC18" s="780"/>
      <c r="BD18" s="779"/>
      <c r="BE18" s="779"/>
      <c r="BF18" s="784"/>
      <c r="BG18" s="784"/>
      <c r="BH18" s="782"/>
      <c r="BI18" s="782"/>
      <c r="BJ18" s="783"/>
      <c r="BK18" s="783"/>
      <c r="BL18" s="636"/>
      <c r="BN18" s="595"/>
      <c r="BO18" s="595"/>
      <c r="BP18" s="595"/>
      <c r="BQ18" s="803"/>
      <c r="BR18" s="798"/>
      <c r="BS18" s="798"/>
      <c r="BT18" s="798"/>
      <c r="BU18" s="798"/>
      <c r="BV18" s="798"/>
      <c r="BW18" s="597"/>
      <c r="BX18" s="598"/>
      <c r="BZ18" s="780"/>
      <c r="CA18" s="780"/>
      <c r="CB18" s="779"/>
      <c r="CC18" s="779"/>
      <c r="CD18" s="784"/>
      <c r="CE18" s="784"/>
      <c r="CF18" s="782"/>
      <c r="CG18" s="782"/>
      <c r="CH18" s="783"/>
      <c r="CI18" s="783"/>
      <c r="CJ18" s="636"/>
      <c r="CK18" s="636"/>
      <c r="CL18" s="595"/>
      <c r="CM18" s="595"/>
      <c r="CN18" s="595"/>
      <c r="CO18" s="595"/>
      <c r="CP18" s="1306"/>
      <c r="CQ18" s="1306"/>
      <c r="CR18" s="1306"/>
      <c r="CS18" s="1306"/>
      <c r="CT18" s="1306"/>
      <c r="CU18" s="597"/>
      <c r="CV18" s="598"/>
    </row>
    <row r="19" spans="2:100" ht="15.75" customHeight="1" x14ac:dyDescent="0.3">
      <c r="C19" s="595"/>
      <c r="D19" s="595"/>
      <c r="E19" s="595"/>
      <c r="F19" s="595"/>
      <c r="G19" s="1313" t="s">
        <v>89</v>
      </c>
      <c r="H19" s="1314"/>
      <c r="I19" s="1314"/>
      <c r="J19" s="1314"/>
      <c r="K19" s="1315"/>
      <c r="L19" s="640">
        <f>((L18)^4)/M17</f>
        <v>99.742227776909871</v>
      </c>
      <c r="M19" s="625"/>
      <c r="O19" s="595"/>
      <c r="P19" s="595"/>
      <c r="Q19" s="595"/>
      <c r="R19" s="595"/>
      <c r="S19" s="1313" t="s">
        <v>89</v>
      </c>
      <c r="T19" s="1314"/>
      <c r="U19" s="1314"/>
      <c r="V19" s="1314"/>
      <c r="W19" s="1315"/>
      <c r="X19" s="640">
        <f>((X18)^4)/Y17</f>
        <v>103.59998615389925</v>
      </c>
      <c r="Y19" s="625"/>
      <c r="AA19" s="1060">
        <v>0</v>
      </c>
      <c r="AB19" s="1061">
        <v>0.1</v>
      </c>
      <c r="AC19" s="605"/>
      <c r="AD19" s="605"/>
      <c r="AE19" s="1310" t="s">
        <v>89</v>
      </c>
      <c r="AF19" s="1311"/>
      <c r="AG19" s="1311"/>
      <c r="AH19" s="1311"/>
      <c r="AI19" s="1312"/>
      <c r="AJ19" s="643">
        <f>((AJ18)^4)/AK17</f>
        <v>50.046877652354937</v>
      </c>
      <c r="AK19" s="632"/>
      <c r="AL19" s="601"/>
      <c r="AM19" s="1060">
        <v>100</v>
      </c>
      <c r="AN19" s="1061">
        <v>0.2</v>
      </c>
      <c r="AO19" s="605"/>
      <c r="AP19" s="605"/>
      <c r="AQ19" s="1310" t="s">
        <v>89</v>
      </c>
      <c r="AR19" s="1311"/>
      <c r="AS19" s="1311"/>
      <c r="AT19" s="1311"/>
      <c r="AU19" s="1312"/>
      <c r="AV19" s="643">
        <f>((AV18)^4)/AW17</f>
        <v>68.114166545190031</v>
      </c>
      <c r="AW19" s="631"/>
      <c r="BB19" s="780"/>
      <c r="BC19" s="780"/>
      <c r="BD19" s="779"/>
      <c r="BE19" s="779"/>
      <c r="BF19" s="784"/>
      <c r="BG19" s="784"/>
      <c r="BH19" s="782"/>
      <c r="BI19" s="782"/>
      <c r="BJ19" s="783"/>
      <c r="BK19" s="783"/>
      <c r="BL19" s="636"/>
      <c r="BN19" s="595"/>
      <c r="BO19" s="595"/>
      <c r="BP19" s="595"/>
      <c r="BQ19" s="803"/>
      <c r="BR19" s="798"/>
      <c r="BS19" s="798"/>
      <c r="BT19" s="798"/>
      <c r="BU19" s="798"/>
      <c r="BV19" s="798"/>
      <c r="BW19" s="597"/>
      <c r="BX19" s="598"/>
      <c r="BZ19" s="780"/>
      <c r="CA19" s="780"/>
      <c r="CB19" s="779"/>
      <c r="CC19" s="779"/>
      <c r="CD19" s="784"/>
      <c r="CE19" s="784"/>
      <c r="CF19" s="782"/>
      <c r="CG19" s="782"/>
      <c r="CH19" s="783"/>
      <c r="CI19" s="783"/>
      <c r="CJ19" s="636"/>
      <c r="CK19" s="636"/>
      <c r="CL19" s="595"/>
      <c r="CM19" s="595"/>
      <c r="CN19" s="595"/>
      <c r="CO19" s="595"/>
      <c r="CP19" s="1306"/>
      <c r="CQ19" s="1306"/>
      <c r="CR19" s="1306"/>
      <c r="CS19" s="1306"/>
      <c r="CT19" s="1306"/>
      <c r="CU19" s="597"/>
      <c r="CV19" s="598"/>
    </row>
    <row r="20" spans="2:100" ht="15.75" customHeight="1" x14ac:dyDescent="0.3">
      <c r="C20" s="595"/>
      <c r="D20" s="595"/>
      <c r="E20" s="595"/>
      <c r="F20" s="595"/>
      <c r="G20" s="1313" t="s">
        <v>42</v>
      </c>
      <c r="H20" s="1314"/>
      <c r="I20" s="1314"/>
      <c r="J20" s="1314"/>
      <c r="K20" s="1315"/>
      <c r="L20" s="625">
        <f>TINV(0.05,L19)</f>
        <v>1.9842169515864165</v>
      </c>
      <c r="M20" s="625"/>
      <c r="O20" s="595"/>
      <c r="P20" s="595"/>
      <c r="Q20" s="595"/>
      <c r="R20" s="595"/>
      <c r="S20" s="1313" t="s">
        <v>42</v>
      </c>
      <c r="T20" s="1314"/>
      <c r="U20" s="1314"/>
      <c r="V20" s="1314"/>
      <c r="W20" s="1315"/>
      <c r="X20" s="625">
        <f>TINV(0.05,X19)</f>
        <v>1.9832641447734605</v>
      </c>
      <c r="Y20" s="625"/>
      <c r="AA20" s="1060">
        <v>50</v>
      </c>
      <c r="AB20" s="1061">
        <v>0.2</v>
      </c>
      <c r="AC20" s="605"/>
      <c r="AD20" s="605"/>
      <c r="AE20" s="1310" t="s">
        <v>42</v>
      </c>
      <c r="AF20" s="1311"/>
      <c r="AG20" s="1311"/>
      <c r="AH20" s="1311"/>
      <c r="AI20" s="1312"/>
      <c r="AJ20" s="631">
        <f>TINV(0.05,AJ19)</f>
        <v>2.0085591121007611</v>
      </c>
      <c r="AK20" s="632"/>
      <c r="AL20" s="601"/>
      <c r="AM20" s="1060">
        <v>150</v>
      </c>
      <c r="AN20" s="1061">
        <v>0.2</v>
      </c>
      <c r="AO20" s="605"/>
      <c r="AP20" s="605"/>
      <c r="AQ20" s="1310" t="s">
        <v>42</v>
      </c>
      <c r="AR20" s="1311"/>
      <c r="AS20" s="1311"/>
      <c r="AT20" s="1311"/>
      <c r="AU20" s="1312"/>
      <c r="AV20" s="631">
        <f>TINV(0.05,AV19)</f>
        <v>1.9954689314298424</v>
      </c>
      <c r="AW20" s="631"/>
      <c r="BB20" s="780"/>
      <c r="BC20" s="780"/>
      <c r="BD20" s="779"/>
      <c r="BE20" s="779"/>
      <c r="BF20" s="784"/>
      <c r="BG20" s="784"/>
      <c r="BH20" s="782"/>
      <c r="BI20" s="782"/>
      <c r="BJ20" s="783"/>
      <c r="BK20" s="783"/>
      <c r="BL20" s="636"/>
      <c r="BN20" s="595"/>
      <c r="BO20" s="595"/>
      <c r="BP20" s="595"/>
      <c r="BQ20" s="803"/>
      <c r="BR20" s="798"/>
      <c r="BS20" s="798"/>
      <c r="BT20" s="798"/>
      <c r="BU20" s="798"/>
      <c r="BV20" s="798"/>
      <c r="BW20" s="598"/>
      <c r="BX20" s="598"/>
      <c r="BZ20" s="780"/>
      <c r="CA20" s="780"/>
      <c r="CB20" s="779"/>
      <c r="CC20" s="779"/>
      <c r="CD20" s="784"/>
      <c r="CE20" s="784"/>
      <c r="CF20" s="782"/>
      <c r="CG20" s="782"/>
      <c r="CH20" s="783"/>
      <c r="CI20" s="783"/>
      <c r="CJ20" s="636"/>
      <c r="CK20" s="636"/>
      <c r="CL20" s="595"/>
      <c r="CM20" s="595"/>
      <c r="CN20" s="595"/>
      <c r="CO20" s="595"/>
      <c r="CP20" s="1306"/>
      <c r="CQ20" s="1306"/>
      <c r="CR20" s="1306"/>
      <c r="CS20" s="1306"/>
      <c r="CT20" s="1306"/>
      <c r="CU20" s="598"/>
      <c r="CV20" s="598"/>
    </row>
    <row r="21" spans="2:100" ht="15.75" customHeight="1" x14ac:dyDescent="0.3">
      <c r="C21" s="595"/>
      <c r="D21" s="595"/>
      <c r="E21" s="595"/>
      <c r="F21" s="595"/>
      <c r="G21" s="1313" t="s">
        <v>120</v>
      </c>
      <c r="H21" s="1314"/>
      <c r="I21" s="1314"/>
      <c r="J21" s="1314"/>
      <c r="K21" s="1315"/>
      <c r="L21" s="645">
        <f>L20*L18</f>
        <v>0.60888847565242932</v>
      </c>
      <c r="M21" s="625"/>
      <c r="O21" s="595"/>
      <c r="P21" s="595"/>
      <c r="Q21" s="595"/>
      <c r="R21" s="595"/>
      <c r="S21" s="1313" t="s">
        <v>120</v>
      </c>
      <c r="T21" s="1314"/>
      <c r="U21" s="1314"/>
      <c r="V21" s="1314"/>
      <c r="W21" s="1315"/>
      <c r="X21" s="645">
        <f>X20*X18</f>
        <v>0.61484742622066291</v>
      </c>
      <c r="Y21" s="625"/>
      <c r="AA21" s="605"/>
      <c r="AB21" s="605"/>
      <c r="AC21" s="605"/>
      <c r="AD21" s="605"/>
      <c r="AE21" s="1310" t="s">
        <v>225</v>
      </c>
      <c r="AF21" s="1311"/>
      <c r="AG21" s="1311"/>
      <c r="AH21" s="1311"/>
      <c r="AI21" s="1312"/>
      <c r="AJ21" s="646">
        <f>AJ20*AJ18</f>
        <v>0.46395239067499422</v>
      </c>
      <c r="AK21" s="632"/>
      <c r="AL21" s="601"/>
      <c r="AM21" s="605"/>
      <c r="AN21" s="605"/>
      <c r="AO21" s="605"/>
      <c r="AP21" s="605"/>
      <c r="AQ21" s="1310" t="s">
        <v>225</v>
      </c>
      <c r="AR21" s="1311"/>
      <c r="AS21" s="1311"/>
      <c r="AT21" s="1311"/>
      <c r="AU21" s="1312"/>
      <c r="AV21" s="646">
        <f>AV20*AV18</f>
        <v>0.5021699915215726</v>
      </c>
      <c r="AW21" s="631"/>
      <c r="BN21" s="595"/>
      <c r="BO21" s="595"/>
      <c r="BP21" s="595"/>
      <c r="BQ21" s="803"/>
      <c r="BR21" s="798"/>
      <c r="BS21" s="798"/>
      <c r="BT21" s="798"/>
      <c r="BU21" s="798"/>
      <c r="BV21" s="798"/>
      <c r="BW21" s="785"/>
      <c r="BX21" s="598"/>
      <c r="CL21" s="595"/>
      <c r="CM21" s="595"/>
      <c r="CN21" s="595"/>
      <c r="CO21" s="595"/>
      <c r="CP21" s="1306"/>
      <c r="CQ21" s="1306"/>
      <c r="CR21" s="1306"/>
      <c r="CS21" s="1306"/>
      <c r="CT21" s="1306"/>
      <c r="CU21" s="785"/>
      <c r="CV21" s="598"/>
    </row>
    <row r="22" spans="2:100" ht="6" customHeight="1" x14ac:dyDescent="0.3">
      <c r="C22" s="595"/>
      <c r="D22" s="595"/>
      <c r="E22" s="595"/>
      <c r="F22" s="595"/>
      <c r="G22" s="596"/>
      <c r="H22" s="596"/>
      <c r="I22" s="596"/>
      <c r="J22" s="596"/>
      <c r="K22" s="596"/>
      <c r="L22" s="597"/>
      <c r="M22" s="598"/>
      <c r="AA22" s="605"/>
      <c r="AB22" s="605"/>
      <c r="AC22" s="605"/>
      <c r="AD22" s="605"/>
      <c r="AE22" s="606"/>
      <c r="AF22" s="606"/>
      <c r="AG22" s="606"/>
      <c r="AH22" s="606"/>
      <c r="AI22" s="606"/>
      <c r="AJ22" s="607"/>
      <c r="AK22" s="647"/>
      <c r="AL22" s="601"/>
      <c r="AM22" s="601"/>
      <c r="AN22" s="601"/>
      <c r="AO22" s="601"/>
      <c r="AP22" s="601"/>
      <c r="AQ22" s="601"/>
      <c r="AR22" s="601"/>
      <c r="AS22" s="601"/>
      <c r="AT22" s="601"/>
      <c r="AU22" s="601"/>
      <c r="AV22" s="601"/>
      <c r="AW22" s="601"/>
      <c r="BN22" s="595"/>
      <c r="BO22" s="595"/>
      <c r="BP22" s="595"/>
      <c r="BQ22" s="803"/>
      <c r="BR22" s="798"/>
      <c r="BS22" s="798"/>
      <c r="BT22" s="798"/>
      <c r="BU22" s="798"/>
      <c r="BV22" s="798"/>
      <c r="BW22" s="597"/>
      <c r="BX22" s="598"/>
    </row>
    <row r="23" spans="2:100" ht="6" customHeight="1" x14ac:dyDescent="0.3">
      <c r="C23" s="595"/>
      <c r="D23" s="595"/>
      <c r="E23" s="595"/>
      <c r="F23" s="595"/>
      <c r="G23" s="596"/>
      <c r="H23" s="596"/>
      <c r="I23" s="596"/>
      <c r="J23" s="596"/>
      <c r="K23" s="596"/>
      <c r="L23" s="597"/>
      <c r="M23" s="598"/>
      <c r="AA23" s="605"/>
      <c r="AB23" s="605"/>
      <c r="AC23" s="605"/>
      <c r="AD23" s="605"/>
      <c r="AE23" s="606"/>
      <c r="AF23" s="606"/>
      <c r="AG23" s="606"/>
      <c r="AH23" s="606"/>
      <c r="AI23" s="606"/>
      <c r="AJ23" s="607"/>
      <c r="AK23" s="647"/>
      <c r="AL23" s="601"/>
      <c r="AM23" s="601"/>
      <c r="AN23" s="601"/>
      <c r="AO23" s="601"/>
      <c r="AP23" s="601"/>
      <c r="AQ23" s="601"/>
      <c r="AR23" s="601"/>
      <c r="AS23" s="601"/>
      <c r="AT23" s="601"/>
      <c r="AU23" s="601"/>
      <c r="AV23" s="601"/>
      <c r="AW23" s="601"/>
      <c r="BN23" s="595"/>
      <c r="BO23" s="595"/>
      <c r="BP23" s="595"/>
      <c r="BQ23" s="803"/>
      <c r="BR23" s="798"/>
      <c r="BS23" s="798"/>
      <c r="BT23" s="798"/>
      <c r="BU23" s="798"/>
      <c r="BV23" s="798"/>
      <c r="BW23" s="597"/>
      <c r="BX23" s="598"/>
    </row>
    <row r="24" spans="2:100" ht="15.75" customHeight="1" x14ac:dyDescent="0.3">
      <c r="C24" s="593">
        <f>ID!A69</f>
        <v>50</v>
      </c>
      <c r="D24" s="594" t="str">
        <f>D25</f>
        <v>mmHg</v>
      </c>
      <c r="E24" s="595"/>
      <c r="F24" s="595"/>
      <c r="G24" s="596"/>
      <c r="H24" s="596"/>
      <c r="I24" s="596"/>
      <c r="J24" s="596"/>
      <c r="K24" s="596"/>
      <c r="L24" s="598"/>
      <c r="M24" s="598"/>
      <c r="O24" s="593">
        <f>ID!A72</f>
        <v>120</v>
      </c>
      <c r="P24" s="594" t="str">
        <f>P25</f>
        <v>mmHg</v>
      </c>
      <c r="Q24" s="595"/>
      <c r="R24" s="595"/>
      <c r="S24" s="596"/>
      <c r="T24" s="596"/>
      <c r="U24" s="596"/>
      <c r="V24" s="596"/>
      <c r="W24" s="596"/>
      <c r="X24" s="597"/>
      <c r="Y24" s="598"/>
      <c r="AA24" s="603">
        <v>50</v>
      </c>
      <c r="AB24" s="604">
        <f>AB25</f>
        <v>0</v>
      </c>
      <c r="AC24" s="605"/>
      <c r="AD24" s="605"/>
      <c r="AE24" s="606"/>
      <c r="AF24" s="606"/>
      <c r="AG24" s="606"/>
      <c r="AH24" s="606"/>
      <c r="AI24" s="606"/>
      <c r="AJ24" s="607"/>
      <c r="AK24" s="647"/>
      <c r="AL24" s="601"/>
      <c r="AM24" s="603">
        <v>200</v>
      </c>
      <c r="AN24" s="604">
        <f>AN25</f>
        <v>0</v>
      </c>
      <c r="AO24" s="605"/>
      <c r="AP24" s="605"/>
      <c r="AQ24" s="606"/>
      <c r="AR24" s="606"/>
      <c r="AS24" s="606"/>
      <c r="AT24" s="606"/>
      <c r="AU24" s="606"/>
      <c r="AV24" s="607"/>
      <c r="AW24" s="608"/>
      <c r="BN24" s="772"/>
      <c r="BO24" s="773"/>
      <c r="BP24" s="595"/>
      <c r="BQ24" s="803"/>
      <c r="BR24" s="798"/>
      <c r="BS24" s="798"/>
      <c r="BT24" s="798"/>
      <c r="BU24" s="798"/>
      <c r="BV24" s="798"/>
      <c r="BW24" s="597"/>
      <c r="BX24" s="598"/>
      <c r="CL24" s="772"/>
      <c r="CM24" s="773"/>
      <c r="CN24" s="595"/>
      <c r="CO24" s="595"/>
      <c r="CP24" s="596"/>
      <c r="CQ24" s="596"/>
      <c r="CR24" s="596"/>
      <c r="CS24" s="596"/>
      <c r="CT24" s="596"/>
      <c r="CU24" s="597"/>
      <c r="CV24" s="598"/>
    </row>
    <row r="25" spans="2:100" ht="24" customHeight="1" x14ac:dyDescent="0.3">
      <c r="C25" s="611"/>
      <c r="D25" s="610" t="s">
        <v>38</v>
      </c>
      <c r="O25" s="611"/>
      <c r="P25" s="610" t="s">
        <v>38</v>
      </c>
      <c r="AA25" s="611">
        <f>AA24</f>
        <v>50</v>
      </c>
      <c r="AB25" s="612"/>
      <c r="AC25" s="601"/>
      <c r="AD25" s="601"/>
      <c r="AE25" s="601"/>
      <c r="AF25" s="601"/>
      <c r="AG25" s="601"/>
      <c r="AH25" s="601"/>
      <c r="AI25" s="601"/>
      <c r="AJ25" s="601"/>
      <c r="AK25" s="602"/>
      <c r="AL25" s="601"/>
      <c r="AM25" s="611"/>
      <c r="AN25" s="612"/>
      <c r="AO25" s="601"/>
      <c r="AP25" s="601"/>
      <c r="AQ25" s="601"/>
      <c r="AR25" s="601"/>
      <c r="AS25" s="601"/>
      <c r="AT25" s="601"/>
      <c r="AU25" s="601"/>
      <c r="AV25" s="601"/>
      <c r="AW25" s="601"/>
      <c r="BN25" s="609"/>
      <c r="BO25" s="610"/>
      <c r="BR25" s="798"/>
      <c r="BS25" s="798"/>
      <c r="BT25" s="798"/>
      <c r="BU25" s="798"/>
      <c r="BV25" s="798"/>
      <c r="CD25" s="650"/>
      <c r="CE25" s="650"/>
      <c r="CF25" s="650"/>
      <c r="CG25" s="650"/>
      <c r="CH25" s="650"/>
      <c r="CI25" s="650"/>
      <c r="CJ25" s="650"/>
      <c r="CL25" s="609"/>
      <c r="CM25" s="610"/>
    </row>
    <row r="26" spans="2:100" s="615" customFormat="1" ht="37.5" customHeight="1" x14ac:dyDescent="0.4">
      <c r="C26" s="613" t="s">
        <v>40</v>
      </c>
      <c r="D26" s="613" t="s">
        <v>41</v>
      </c>
      <c r="E26" s="613" t="s">
        <v>80</v>
      </c>
      <c r="F26" s="613" t="s">
        <v>79</v>
      </c>
      <c r="G26" s="613" t="s">
        <v>14</v>
      </c>
      <c r="H26" s="613" t="s">
        <v>113</v>
      </c>
      <c r="I26" s="613" t="s">
        <v>114</v>
      </c>
      <c r="J26" s="613" t="s">
        <v>115</v>
      </c>
      <c r="K26" s="613" t="s">
        <v>116</v>
      </c>
      <c r="L26" s="613" t="s">
        <v>117</v>
      </c>
      <c r="M26" s="614" t="s">
        <v>118</v>
      </c>
      <c r="O26" s="613" t="s">
        <v>40</v>
      </c>
      <c r="P26" s="613" t="s">
        <v>41</v>
      </c>
      <c r="Q26" s="613" t="s">
        <v>80</v>
      </c>
      <c r="R26" s="613" t="s">
        <v>79</v>
      </c>
      <c r="S26" s="613" t="s">
        <v>14</v>
      </c>
      <c r="T26" s="613" t="s">
        <v>113</v>
      </c>
      <c r="U26" s="613" t="s">
        <v>114</v>
      </c>
      <c r="V26" s="613" t="s">
        <v>115</v>
      </c>
      <c r="W26" s="613" t="s">
        <v>116</v>
      </c>
      <c r="X26" s="613" t="s">
        <v>117</v>
      </c>
      <c r="Y26" s="614" t="s">
        <v>118</v>
      </c>
      <c r="AA26" s="616" t="s">
        <v>40</v>
      </c>
      <c r="AB26" s="616" t="s">
        <v>41</v>
      </c>
      <c r="AC26" s="616" t="s">
        <v>80</v>
      </c>
      <c r="AD26" s="616" t="s">
        <v>79</v>
      </c>
      <c r="AE26" s="616" t="s">
        <v>14</v>
      </c>
      <c r="AF26" s="616" t="s">
        <v>218</v>
      </c>
      <c r="AG26" s="616" t="s">
        <v>219</v>
      </c>
      <c r="AH26" s="616" t="s">
        <v>220</v>
      </c>
      <c r="AI26" s="616" t="s">
        <v>221</v>
      </c>
      <c r="AJ26" s="616" t="s">
        <v>222</v>
      </c>
      <c r="AK26" s="617" t="s">
        <v>223</v>
      </c>
      <c r="AL26" s="618"/>
      <c r="AM26" s="616" t="s">
        <v>40</v>
      </c>
      <c r="AN26" s="616" t="s">
        <v>41</v>
      </c>
      <c r="AO26" s="616" t="s">
        <v>80</v>
      </c>
      <c r="AP26" s="616" t="s">
        <v>79</v>
      </c>
      <c r="AQ26" s="616" t="s">
        <v>14</v>
      </c>
      <c r="AR26" s="616" t="s">
        <v>218</v>
      </c>
      <c r="AS26" s="616" t="s">
        <v>219</v>
      </c>
      <c r="AT26" s="616" t="s">
        <v>220</v>
      </c>
      <c r="AU26" s="616" t="s">
        <v>221</v>
      </c>
      <c r="AV26" s="616" t="s">
        <v>222</v>
      </c>
      <c r="AW26" s="619" t="s">
        <v>223</v>
      </c>
      <c r="BN26" s="774"/>
      <c r="BO26" s="774"/>
      <c r="BP26" s="774"/>
      <c r="BQ26" s="800"/>
      <c r="BR26" s="798"/>
      <c r="BS26" s="798"/>
      <c r="BT26" s="798"/>
      <c r="BU26" s="798"/>
      <c r="BV26" s="798"/>
      <c r="BW26" s="774"/>
      <c r="BX26" s="651"/>
      <c r="BZ26" s="588"/>
      <c r="CA26" s="588"/>
      <c r="CB26" s="588"/>
      <c r="CC26" s="588"/>
      <c r="CD26" s="650"/>
      <c r="CE26" s="786"/>
      <c r="CF26" s="786"/>
      <c r="CG26" s="787"/>
      <c r="CH26" s="787"/>
      <c r="CI26" s="787"/>
      <c r="CJ26" s="787"/>
      <c r="CL26" s="774"/>
      <c r="CM26" s="774"/>
      <c r="CN26" s="774"/>
      <c r="CO26" s="774"/>
      <c r="CP26" s="774"/>
      <c r="CQ26" s="774"/>
      <c r="CR26" s="774"/>
      <c r="CS26" s="774"/>
      <c r="CT26" s="774"/>
      <c r="CU26" s="774"/>
      <c r="CV26" s="651"/>
    </row>
    <row r="27" spans="2:100" x14ac:dyDescent="0.3">
      <c r="C27" s="620" t="s">
        <v>83</v>
      </c>
      <c r="D27" s="621" t="s">
        <v>38</v>
      </c>
      <c r="E27" s="622" t="s">
        <v>11</v>
      </c>
      <c r="F27" s="623">
        <f>ID!L69</f>
        <v>8.7023357152673167E-15</v>
      </c>
      <c r="G27" s="623">
        <f>SQRT(3)</f>
        <v>1.7320508075688772</v>
      </c>
      <c r="H27" s="623">
        <f>(F27/G27)</f>
        <v>5.0242958677880797E-15</v>
      </c>
      <c r="I27" s="624">
        <v>1</v>
      </c>
      <c r="J27" s="624">
        <v>5</v>
      </c>
      <c r="K27" s="625">
        <f>H27*I27</f>
        <v>5.0242958677880797E-15</v>
      </c>
      <c r="L27" s="625">
        <f>K27^2</f>
        <v>2.5243548967072372E-29</v>
      </c>
      <c r="M27" s="625">
        <f>((K27)^4)/J27</f>
        <v>1.2744735289059612E-58</v>
      </c>
      <c r="O27" s="620" t="s">
        <v>83</v>
      </c>
      <c r="P27" s="621" t="s">
        <v>38</v>
      </c>
      <c r="Q27" s="622" t="s">
        <v>11</v>
      </c>
      <c r="R27" s="623">
        <f>ID!L72</f>
        <v>5.7735026918975703E-2</v>
      </c>
      <c r="S27" s="623">
        <f>SQRT(3)</f>
        <v>1.7320508075688772</v>
      </c>
      <c r="T27" s="623">
        <f>(R27/S27)</f>
        <v>3.3333333333340917E-2</v>
      </c>
      <c r="U27" s="624">
        <v>1</v>
      </c>
      <c r="V27" s="624">
        <v>5</v>
      </c>
      <c r="W27" s="625">
        <f>T27*U27</f>
        <v>3.3333333333340917E-2</v>
      </c>
      <c r="X27" s="625">
        <f>W27^2</f>
        <v>1.1111111111116168E-3</v>
      </c>
      <c r="Y27" s="625">
        <f>((W27)^4)/V27</f>
        <v>2.4691358024713832E-7</v>
      </c>
      <c r="AA27" s="626" t="s">
        <v>83</v>
      </c>
      <c r="AB27" s="627" t="s">
        <v>38</v>
      </c>
      <c r="AC27" s="628" t="s">
        <v>11</v>
      </c>
      <c r="AD27" s="629">
        <v>0</v>
      </c>
      <c r="AE27" s="629">
        <v>1.7320508075688772</v>
      </c>
      <c r="AF27" s="629">
        <f>0/1.7321</f>
        <v>0</v>
      </c>
      <c r="AG27" s="630">
        <v>1</v>
      </c>
      <c r="AH27" s="630">
        <f>3-1</f>
        <v>2</v>
      </c>
      <c r="AI27" s="631">
        <f>(0*1)</f>
        <v>0</v>
      </c>
      <c r="AJ27" s="631">
        <f>(0*1)^2</f>
        <v>0</v>
      </c>
      <c r="AK27" s="632">
        <f>((0*1)^4)/2</f>
        <v>0</v>
      </c>
      <c r="AL27" s="601"/>
      <c r="AM27" s="626" t="s">
        <v>83</v>
      </c>
      <c r="AN27" s="627" t="s">
        <v>38</v>
      </c>
      <c r="AO27" s="628" t="s">
        <v>11</v>
      </c>
      <c r="AP27" s="629">
        <v>0</v>
      </c>
      <c r="AQ27" s="629">
        <v>1.7320508075688772</v>
      </c>
      <c r="AR27" s="629">
        <f>0/1.7321</f>
        <v>0</v>
      </c>
      <c r="AS27" s="630">
        <v>1</v>
      </c>
      <c r="AT27" s="630">
        <f>3-1</f>
        <v>2</v>
      </c>
      <c r="AU27" s="631">
        <f>(0*1)</f>
        <v>0</v>
      </c>
      <c r="AV27" s="631">
        <f>(0*1)^2</f>
        <v>0</v>
      </c>
      <c r="AW27" s="632">
        <f>((0*1)^4)/2</f>
        <v>0</v>
      </c>
      <c r="BN27" s="595"/>
      <c r="BO27" s="775"/>
      <c r="BP27" s="776"/>
      <c r="BQ27" s="801"/>
      <c r="BR27" s="798"/>
      <c r="BS27" s="798"/>
      <c r="BT27" s="798"/>
      <c r="BU27" s="798"/>
      <c r="BV27" s="798"/>
      <c r="BW27" s="598"/>
      <c r="BX27" s="598"/>
      <c r="BZ27" s="1062"/>
      <c r="CA27" s="1063"/>
      <c r="CB27" s="1063"/>
      <c r="CC27" s="615"/>
      <c r="CD27" s="650"/>
      <c r="CE27" s="786"/>
      <c r="CF27" s="786"/>
      <c r="CG27" s="787"/>
      <c r="CH27" s="787"/>
      <c r="CI27" s="787"/>
      <c r="CJ27" s="787"/>
      <c r="CL27" s="595"/>
      <c r="CM27" s="775"/>
      <c r="CN27" s="776"/>
      <c r="CO27" s="637"/>
      <c r="CP27" s="637"/>
      <c r="CQ27" s="637"/>
      <c r="CR27" s="777"/>
      <c r="CS27" s="777"/>
      <c r="CT27" s="598"/>
      <c r="CU27" s="598"/>
      <c r="CV27" s="598"/>
    </row>
    <row r="28" spans="2:100" ht="29.25" customHeight="1" x14ac:dyDescent="0.3">
      <c r="C28" s="620" t="s">
        <v>82</v>
      </c>
      <c r="D28" s="621" t="s">
        <v>38</v>
      </c>
      <c r="E28" s="622" t="s">
        <v>11</v>
      </c>
      <c r="F28" s="1058">
        <f>'INTERPOLASI  '!AJ19</f>
        <v>0.4</v>
      </c>
      <c r="G28" s="624">
        <v>2</v>
      </c>
      <c r="H28" s="623">
        <f>F28/G28</f>
        <v>0.2</v>
      </c>
      <c r="I28" s="624">
        <v>1</v>
      </c>
      <c r="J28" s="624">
        <v>50</v>
      </c>
      <c r="K28" s="625">
        <f>H28*I28</f>
        <v>0.2</v>
      </c>
      <c r="L28" s="625">
        <f>K28^2</f>
        <v>4.0000000000000008E-2</v>
      </c>
      <c r="M28" s="625">
        <f>((K28)^4)/J28</f>
        <v>3.2000000000000012E-5</v>
      </c>
      <c r="O28" s="620" t="s">
        <v>82</v>
      </c>
      <c r="P28" s="621" t="s">
        <v>38</v>
      </c>
      <c r="Q28" s="622" t="s">
        <v>11</v>
      </c>
      <c r="R28" s="1058">
        <f>'INTERPOLASI  '!AJ22</f>
        <v>0.4</v>
      </c>
      <c r="S28" s="624">
        <v>2</v>
      </c>
      <c r="T28" s="623">
        <f>R28/S28</f>
        <v>0.2</v>
      </c>
      <c r="U28" s="624">
        <v>1</v>
      </c>
      <c r="V28" s="624">
        <v>50</v>
      </c>
      <c r="W28" s="625">
        <f>T28*U28</f>
        <v>0.2</v>
      </c>
      <c r="X28" s="625">
        <f>W28^2</f>
        <v>4.0000000000000008E-2</v>
      </c>
      <c r="Y28" s="625">
        <f>((W28)^4)/V28</f>
        <v>3.2000000000000012E-5</v>
      </c>
      <c r="AA28" s="626" t="s">
        <v>82</v>
      </c>
      <c r="AB28" s="627" t="s">
        <v>38</v>
      </c>
      <c r="AC28" s="628" t="s">
        <v>11</v>
      </c>
      <c r="AD28" s="633">
        <f>(((0.2-0.1)*(49-0))/(50-0))+(0.1)</f>
        <v>0.19800000000000001</v>
      </c>
      <c r="AE28" s="630">
        <v>2</v>
      </c>
      <c r="AF28" s="629">
        <f>0.198/2</f>
        <v>9.9000000000000005E-2</v>
      </c>
      <c r="AG28" s="630">
        <v>1</v>
      </c>
      <c r="AH28" s="630">
        <v>50</v>
      </c>
      <c r="AI28" s="631">
        <f>(0.099*1)</f>
        <v>9.9000000000000005E-2</v>
      </c>
      <c r="AJ28" s="631">
        <f>(0.099*1)^2</f>
        <v>9.8010000000000007E-3</v>
      </c>
      <c r="AK28" s="631">
        <f>((0.099*1)^4)/50</f>
        <v>1.9211920200000002E-6</v>
      </c>
      <c r="AL28" s="601"/>
      <c r="AM28" s="626" t="s">
        <v>82</v>
      </c>
      <c r="AN28" s="627" t="s">
        <v>38</v>
      </c>
      <c r="AO28" s="628" t="s">
        <v>11</v>
      </c>
      <c r="AP28" s="633">
        <f>(((0.2-0.2)*(149-0.2))/(150-100))+(0.2)</f>
        <v>0.2</v>
      </c>
      <c r="AQ28" s="630">
        <v>2</v>
      </c>
      <c r="AR28" s="629">
        <f>0.2/2</f>
        <v>0.1</v>
      </c>
      <c r="AS28" s="630">
        <v>1</v>
      </c>
      <c r="AT28" s="630">
        <v>50</v>
      </c>
      <c r="AU28" s="631">
        <f>(0.1*1)</f>
        <v>0.1</v>
      </c>
      <c r="AV28" s="631">
        <f>(0.1*1)^2</f>
        <v>1.0000000000000002E-2</v>
      </c>
      <c r="AW28" s="631">
        <f>((0.1*1)^4)/50</f>
        <v>2.0000000000000008E-6</v>
      </c>
      <c r="BH28" s="1041">
        <f>F28</f>
        <v>0.4</v>
      </c>
      <c r="BI28" s="790" t="s">
        <v>559</v>
      </c>
      <c r="BJ28" s="1059"/>
      <c r="BK28" s="1059"/>
      <c r="BL28" s="1040">
        <f>C25</f>
        <v>0</v>
      </c>
      <c r="BM28" s="791">
        <f>'INTERPOLASI  '!AH19</f>
        <v>50</v>
      </c>
      <c r="BN28" s="792">
        <f>'INTERPOLASI  '!AF19</f>
        <v>0.4</v>
      </c>
      <c r="BO28" s="793">
        <f>'INTERPOLASI  '!AI19</f>
        <v>100</v>
      </c>
      <c r="BP28" s="794">
        <f>'INTERPOLASI  '!AG19</f>
        <v>0.4</v>
      </c>
      <c r="BQ28" s="802">
        <f>((((BP28-BN28)*(BL28-BM28)))/(BO28-BM28))+BN28</f>
        <v>0.4</v>
      </c>
      <c r="BR28" s="798"/>
      <c r="BS28" s="796">
        <f>R28</f>
        <v>0.4</v>
      </c>
      <c r="BT28" s="790" t="s">
        <v>559</v>
      </c>
      <c r="BU28" s="1059"/>
      <c r="BV28" s="1059"/>
      <c r="BW28" s="1040">
        <f>O25</f>
        <v>0</v>
      </c>
      <c r="BX28" s="791">
        <f>'INTERPOLASI  '!AH22</f>
        <v>100</v>
      </c>
      <c r="BY28" s="792">
        <f>'INTERPOLASI  '!AF22</f>
        <v>0.4</v>
      </c>
      <c r="BZ28" s="793">
        <f>'INTERPOLASI  '!AI22</f>
        <v>150</v>
      </c>
      <c r="CA28" s="794">
        <f>'INTERPOLASI  '!AG22</f>
        <v>0.4</v>
      </c>
      <c r="CB28" s="802">
        <f>((((CA28-BY28)*(BW28-BX28)))/(BZ28-BX28))+BY28</f>
        <v>0.4</v>
      </c>
      <c r="CD28" s="650"/>
      <c r="CE28" s="786"/>
      <c r="CF28" s="786"/>
      <c r="CG28" s="787"/>
      <c r="CH28" s="787"/>
      <c r="CI28" s="787"/>
      <c r="CJ28" s="787"/>
      <c r="CL28" s="595"/>
      <c r="CM28" s="775"/>
      <c r="CN28" s="776"/>
      <c r="CO28" s="779"/>
      <c r="CP28" s="777"/>
      <c r="CQ28" s="637"/>
      <c r="CR28" s="777"/>
      <c r="CS28" s="777"/>
      <c r="CT28" s="598"/>
      <c r="CU28" s="598"/>
      <c r="CV28" s="598"/>
    </row>
    <row r="29" spans="2:100" ht="28.5" customHeight="1" x14ac:dyDescent="0.3">
      <c r="C29" s="620" t="s">
        <v>240</v>
      </c>
      <c r="D29" s="621" t="s">
        <v>38</v>
      </c>
      <c r="E29" s="622" t="s">
        <v>85</v>
      </c>
      <c r="F29" s="623">
        <f>B18</f>
        <v>0.4</v>
      </c>
      <c r="G29" s="623">
        <f>SQRT(3)</f>
        <v>1.7320508075688772</v>
      </c>
      <c r="H29" s="623">
        <f>F29/G29</f>
        <v>0.23094010767585033</v>
      </c>
      <c r="I29" s="624">
        <v>1</v>
      </c>
      <c r="J29" s="624">
        <v>50</v>
      </c>
      <c r="K29" s="625">
        <f>H29*I29</f>
        <v>0.23094010767585033</v>
      </c>
      <c r="L29" s="625">
        <f>K29^2</f>
        <v>5.3333333333333344E-2</v>
      </c>
      <c r="M29" s="625">
        <f>((K29)^4)/J29</f>
        <v>5.6888888888888908E-5</v>
      </c>
      <c r="O29" s="620" t="s">
        <v>240</v>
      </c>
      <c r="P29" s="621" t="s">
        <v>38</v>
      </c>
      <c r="Q29" s="622" t="s">
        <v>85</v>
      </c>
      <c r="R29" s="623">
        <f>B18</f>
        <v>0.4</v>
      </c>
      <c r="S29" s="623">
        <f>SQRT(3)</f>
        <v>1.7320508075688772</v>
      </c>
      <c r="T29" s="623">
        <f>R29/S29</f>
        <v>0.23094010767585033</v>
      </c>
      <c r="U29" s="624">
        <v>1</v>
      </c>
      <c r="V29" s="624">
        <v>50</v>
      </c>
      <c r="W29" s="625">
        <f>T29*U29</f>
        <v>0.23094010767585033</v>
      </c>
      <c r="X29" s="625">
        <f>W29^2</f>
        <v>5.3333333333333344E-2</v>
      </c>
      <c r="Y29" s="625">
        <f>((W29)^4)/V29</f>
        <v>5.6888888888888908E-5</v>
      </c>
      <c r="AA29" s="626" t="s">
        <v>76</v>
      </c>
      <c r="AB29" s="627" t="s">
        <v>38</v>
      </c>
      <c r="AC29" s="628" t="s">
        <v>85</v>
      </c>
      <c r="AD29" s="629">
        <f>(1/5)*2</f>
        <v>0.4</v>
      </c>
      <c r="AE29" s="629">
        <v>1.7320508075688772</v>
      </c>
      <c r="AF29" s="635">
        <f>0.4/1.7321</f>
        <v>0.23093354887131229</v>
      </c>
      <c r="AG29" s="630">
        <v>1</v>
      </c>
      <c r="AH29" s="630">
        <v>50</v>
      </c>
      <c r="AI29" s="631">
        <f>(0.230933548871*1)</f>
        <v>0.23093354887100001</v>
      </c>
      <c r="AJ29" s="631">
        <f>(0.230933548871*1)^2</f>
        <v>5.3330303994154553E-2</v>
      </c>
      <c r="AK29" s="631">
        <f>((0.230933548871*1)^4)/50</f>
        <v>5.6882426482178737E-5</v>
      </c>
      <c r="AL29" s="601"/>
      <c r="AM29" s="626" t="s">
        <v>76</v>
      </c>
      <c r="AN29" s="627" t="s">
        <v>38</v>
      </c>
      <c r="AO29" s="628" t="s">
        <v>85</v>
      </c>
      <c r="AP29" s="629">
        <f>(1/5)*2</f>
        <v>0.4</v>
      </c>
      <c r="AQ29" s="629">
        <v>1.7320508075688772</v>
      </c>
      <c r="AR29" s="635">
        <f>0.4/1.7321</f>
        <v>0.23093354887131229</v>
      </c>
      <c r="AS29" s="630">
        <v>1</v>
      </c>
      <c r="AT29" s="630">
        <v>50</v>
      </c>
      <c r="AU29" s="631">
        <f>(0.230933548871*1)</f>
        <v>0.23093354887100001</v>
      </c>
      <c r="AV29" s="631">
        <f>(0.230933548871*1)^2</f>
        <v>5.3330303994154553E-2</v>
      </c>
      <c r="AW29" s="631">
        <f>((0.230933548871*1)^4)/50</f>
        <v>5.6882426482178737E-5</v>
      </c>
      <c r="BH29" s="782"/>
      <c r="BI29" s="782"/>
      <c r="BJ29" s="783"/>
      <c r="BK29" s="783"/>
      <c r="BL29" s="636"/>
      <c r="BN29" s="595"/>
      <c r="BO29" s="775"/>
      <c r="BP29" s="776"/>
      <c r="BQ29" s="801"/>
      <c r="BR29" s="798"/>
      <c r="BS29" s="782"/>
      <c r="BT29" s="782"/>
      <c r="BU29" s="783"/>
      <c r="BV29" s="783"/>
      <c r="BW29" s="1042"/>
      <c r="BY29" s="595"/>
      <c r="BZ29" s="775"/>
      <c r="CA29" s="776"/>
      <c r="CB29" s="801"/>
      <c r="CD29" s="650"/>
      <c r="CE29" s="786"/>
      <c r="CF29" s="786"/>
      <c r="CG29" s="787"/>
      <c r="CH29" s="787"/>
      <c r="CI29" s="787"/>
      <c r="CJ29" s="787"/>
      <c r="CL29" s="595"/>
      <c r="CM29" s="775"/>
      <c r="CN29" s="776"/>
      <c r="CO29" s="637"/>
      <c r="CP29" s="637"/>
      <c r="CQ29" s="637"/>
      <c r="CR29" s="777"/>
      <c r="CS29" s="777"/>
      <c r="CT29" s="598"/>
      <c r="CU29" s="598"/>
      <c r="CV29" s="598"/>
    </row>
    <row r="30" spans="2:100" ht="28.5" customHeight="1" x14ac:dyDescent="0.3">
      <c r="C30" s="620" t="s">
        <v>241</v>
      </c>
      <c r="D30" s="621" t="s">
        <v>38</v>
      </c>
      <c r="E30" s="622" t="s">
        <v>85</v>
      </c>
      <c r="F30" s="637">
        <f>(1/2)*'RESOLUSI STANDAR'!$K$7</f>
        <v>0.05</v>
      </c>
      <c r="G30" s="623">
        <f>SQRT(3)</f>
        <v>1.7320508075688772</v>
      </c>
      <c r="H30" s="623">
        <f>F30/G30</f>
        <v>2.8867513459481291E-2</v>
      </c>
      <c r="I30" s="624">
        <v>1</v>
      </c>
      <c r="J30" s="624">
        <v>50</v>
      </c>
      <c r="K30" s="625">
        <f>H30*I30</f>
        <v>2.8867513459481291E-2</v>
      </c>
      <c r="L30" s="625">
        <f>K30^2</f>
        <v>8.333333333333335E-4</v>
      </c>
      <c r="M30" s="625">
        <f>((K30)^4)/J30</f>
        <v>1.3888888888888894E-8</v>
      </c>
      <c r="O30" s="620" t="s">
        <v>241</v>
      </c>
      <c r="P30" s="621" t="s">
        <v>38</v>
      </c>
      <c r="Q30" s="622" t="s">
        <v>85</v>
      </c>
      <c r="R30" s="637">
        <f>(1/2)*'RESOLUSI STANDAR'!$K$7</f>
        <v>0.05</v>
      </c>
      <c r="S30" s="623">
        <f>SQRT(3)</f>
        <v>1.7320508075688772</v>
      </c>
      <c r="T30" s="623">
        <f>R30/S30</f>
        <v>2.8867513459481291E-2</v>
      </c>
      <c r="U30" s="624">
        <v>1</v>
      </c>
      <c r="V30" s="624">
        <v>50</v>
      </c>
      <c r="W30" s="625">
        <f>T30*U30</f>
        <v>2.8867513459481291E-2</v>
      </c>
      <c r="X30" s="625">
        <f>W30^2</f>
        <v>8.333333333333335E-4</v>
      </c>
      <c r="Y30" s="625">
        <f>((W30)^4)/V30</f>
        <v>1.3888888888888894E-8</v>
      </c>
      <c r="AA30" s="626"/>
      <c r="AB30" s="627"/>
      <c r="AC30" s="628"/>
      <c r="AD30" s="638"/>
      <c r="AE30" s="629"/>
      <c r="AF30" s="635"/>
      <c r="AG30" s="630"/>
      <c r="AH30" s="630"/>
      <c r="AI30" s="631"/>
      <c r="AJ30" s="631"/>
      <c r="AK30" s="631"/>
      <c r="AL30" s="601"/>
      <c r="AM30" s="626"/>
      <c r="AN30" s="627"/>
      <c r="AO30" s="628"/>
      <c r="AP30" s="638"/>
      <c r="AQ30" s="629"/>
      <c r="AR30" s="635"/>
      <c r="AS30" s="630"/>
      <c r="AT30" s="630"/>
      <c r="AU30" s="631"/>
      <c r="AV30" s="631"/>
      <c r="AW30" s="631"/>
      <c r="BB30" s="780"/>
      <c r="BC30" s="780"/>
      <c r="BD30" s="779"/>
      <c r="BE30" s="779"/>
      <c r="BF30" s="781"/>
      <c r="BG30" s="781"/>
      <c r="BH30" s="782"/>
      <c r="BI30" s="782"/>
      <c r="BJ30" s="783"/>
      <c r="BK30" s="783"/>
      <c r="BL30" s="636"/>
      <c r="BN30" s="595"/>
      <c r="BO30" s="775"/>
      <c r="BP30" s="776"/>
      <c r="BQ30" s="801"/>
      <c r="BR30" s="798"/>
      <c r="BS30" s="782"/>
      <c r="BT30" s="782"/>
      <c r="BU30" s="783"/>
      <c r="BV30" s="783"/>
      <c r="BW30" s="1042"/>
      <c r="BY30" s="595"/>
      <c r="BZ30" s="775"/>
      <c r="CA30" s="776"/>
      <c r="CB30" s="801"/>
      <c r="CC30" s="779"/>
      <c r="CD30" s="781"/>
      <c r="CE30" s="781"/>
      <c r="CF30" s="782"/>
      <c r="CG30" s="782"/>
      <c r="CH30" s="783"/>
      <c r="CI30" s="783"/>
      <c r="CJ30" s="636"/>
      <c r="CK30" s="636"/>
      <c r="CL30" s="595"/>
      <c r="CM30" s="775"/>
      <c r="CN30" s="776"/>
      <c r="CO30" s="637"/>
      <c r="CP30" s="637"/>
      <c r="CQ30" s="637"/>
      <c r="CR30" s="777"/>
      <c r="CS30" s="777"/>
      <c r="CT30" s="598"/>
      <c r="CU30" s="598"/>
      <c r="CV30" s="598"/>
    </row>
    <row r="31" spans="2:100" ht="31.2" x14ac:dyDescent="0.3">
      <c r="C31" s="620" t="s">
        <v>51</v>
      </c>
      <c r="D31" s="621" t="s">
        <v>38</v>
      </c>
      <c r="E31" s="622" t="s">
        <v>85</v>
      </c>
      <c r="F31" s="1058">
        <f>'INTERPOLASI  '!BI19</f>
        <v>0.1</v>
      </c>
      <c r="G31" s="623">
        <f>SQRT(3)</f>
        <v>1.7320508075688772</v>
      </c>
      <c r="H31" s="623">
        <f>F31/G31</f>
        <v>5.7735026918962581E-2</v>
      </c>
      <c r="I31" s="624">
        <v>1</v>
      </c>
      <c r="J31" s="624">
        <v>50</v>
      </c>
      <c r="K31" s="625">
        <f>H31*I31</f>
        <v>5.7735026918962581E-2</v>
      </c>
      <c r="L31" s="625">
        <f>K31^2</f>
        <v>3.333333333333334E-3</v>
      </c>
      <c r="M31" s="625">
        <f>((K31)^4)/J31</f>
        <v>2.222222222222223E-7</v>
      </c>
      <c r="O31" s="620" t="s">
        <v>51</v>
      </c>
      <c r="P31" s="621" t="s">
        <v>38</v>
      </c>
      <c r="Q31" s="622" t="s">
        <v>85</v>
      </c>
      <c r="R31" s="1058">
        <f>'INTERPOLASI  '!BI22</f>
        <v>0.11000000000000001</v>
      </c>
      <c r="S31" s="623">
        <f>SQRT(3)</f>
        <v>1.7320508075688772</v>
      </c>
      <c r="T31" s="623">
        <f>R31/S31</f>
        <v>6.3508529610858844E-2</v>
      </c>
      <c r="U31" s="624">
        <v>1</v>
      </c>
      <c r="V31" s="624">
        <v>50</v>
      </c>
      <c r="W31" s="625">
        <f>T31*U31</f>
        <v>6.3508529610858844E-2</v>
      </c>
      <c r="X31" s="625">
        <f>W31^2</f>
        <v>4.0333333333333349E-3</v>
      </c>
      <c r="Y31" s="625">
        <f>((W31)^4)/V31</f>
        <v>3.253555555555558E-7</v>
      </c>
      <c r="AA31" s="626" t="s">
        <v>51</v>
      </c>
      <c r="AB31" s="627" t="s">
        <v>38</v>
      </c>
      <c r="AC31" s="628" t="s">
        <v>85</v>
      </c>
      <c r="AD31" s="633">
        <v>0</v>
      </c>
      <c r="AE31" s="629">
        <v>1.7320508075688772</v>
      </c>
      <c r="AF31" s="629">
        <f>0/1.7321</f>
        <v>0</v>
      </c>
      <c r="AG31" s="630">
        <v>1</v>
      </c>
      <c r="AH31" s="630">
        <v>50</v>
      </c>
      <c r="AI31" s="631">
        <f>(0*1)</f>
        <v>0</v>
      </c>
      <c r="AJ31" s="631">
        <f>(0*1)^2</f>
        <v>0</v>
      </c>
      <c r="AK31" s="632">
        <f>((0*1)^4)/50</f>
        <v>0</v>
      </c>
      <c r="AL31" s="601"/>
      <c r="AM31" s="626" t="s">
        <v>51</v>
      </c>
      <c r="AN31" s="627" t="s">
        <v>38</v>
      </c>
      <c r="AO31" s="628" t="s">
        <v>85</v>
      </c>
      <c r="AP31" s="633">
        <v>0</v>
      </c>
      <c r="AQ31" s="629">
        <v>1.7320508075688772</v>
      </c>
      <c r="AR31" s="629">
        <f>0/1.7321</f>
        <v>0</v>
      </c>
      <c r="AS31" s="630">
        <v>1</v>
      </c>
      <c r="AT31" s="630">
        <v>50</v>
      </c>
      <c r="AU31" s="631">
        <f>(0*1)</f>
        <v>0</v>
      </c>
      <c r="AV31" s="631">
        <f>(0*1)^2</f>
        <v>0</v>
      </c>
      <c r="AW31" s="632">
        <f>((0*1)^4)/50</f>
        <v>0</v>
      </c>
      <c r="BH31" s="782">
        <f>F31</f>
        <v>0.1</v>
      </c>
      <c r="BI31" s="790" t="s">
        <v>559</v>
      </c>
      <c r="BJ31" s="1059"/>
      <c r="BK31" s="1059"/>
      <c r="BL31" s="1040">
        <f>C25</f>
        <v>0</v>
      </c>
      <c r="BM31" s="791">
        <f>'INTERPOLASI  '!BG19</f>
        <v>50</v>
      </c>
      <c r="BN31" s="795">
        <f>'INTERPOLASI  '!BE19</f>
        <v>0.1</v>
      </c>
      <c r="BO31" s="793">
        <f>'INTERPOLASI  '!BH19</f>
        <v>100</v>
      </c>
      <c r="BP31" s="795">
        <f>'INTERPOLASI  '!BF19</f>
        <v>0.05</v>
      </c>
      <c r="BQ31" s="802">
        <f>((((BP31-BN31)*(BL31-BM31)))/(BO31-BM31))+BN31</f>
        <v>0.15000000000000002</v>
      </c>
      <c r="BR31" s="798"/>
      <c r="BS31" s="782">
        <f>R31</f>
        <v>0.11000000000000001</v>
      </c>
      <c r="BT31" s="790" t="s">
        <v>559</v>
      </c>
      <c r="BU31" s="1059"/>
      <c r="BV31" s="1059"/>
      <c r="BW31" s="1040">
        <f>O25</f>
        <v>0</v>
      </c>
      <c r="BX31" s="791">
        <f>'INTERPOLASI  '!BG22</f>
        <v>100</v>
      </c>
      <c r="BY31" s="795">
        <f>'INTERPOLASI  '!BE22</f>
        <v>0.05</v>
      </c>
      <c r="BZ31" s="793">
        <f>'INTERPOLASI  '!BH22</f>
        <v>150</v>
      </c>
      <c r="CA31" s="795">
        <f>'INTERPOLASI  '!BF22</f>
        <v>0.2</v>
      </c>
      <c r="CB31" s="802">
        <f>((((CA31-BY31)*(BW31-BX31)))/(BZ31-BX31))+BY31</f>
        <v>-0.25000000000000006</v>
      </c>
      <c r="CD31" s="650"/>
      <c r="CE31" s="786"/>
      <c r="CF31" s="786"/>
      <c r="CG31" s="787"/>
      <c r="CH31" s="787"/>
      <c r="CI31" s="787"/>
      <c r="CJ31" s="787"/>
      <c r="CL31" s="595"/>
      <c r="CM31" s="775"/>
      <c r="CN31" s="776"/>
      <c r="CO31" s="779"/>
      <c r="CP31" s="637"/>
      <c r="CQ31" s="637"/>
      <c r="CR31" s="777"/>
      <c r="CS31" s="777"/>
      <c r="CT31" s="598"/>
      <c r="CU31" s="598"/>
      <c r="CV31" s="598"/>
    </row>
    <row r="32" spans="2:100" x14ac:dyDescent="0.3">
      <c r="C32" s="639"/>
      <c r="D32" s="639"/>
      <c r="E32" s="639"/>
      <c r="F32" s="639"/>
      <c r="G32" s="1050" t="s">
        <v>84</v>
      </c>
      <c r="H32" s="1051"/>
      <c r="I32" s="1051"/>
      <c r="J32" s="1051"/>
      <c r="K32" s="1052"/>
      <c r="L32" s="640">
        <f>SUM(L27:L31)</f>
        <v>9.7500000000000031E-2</v>
      </c>
      <c r="M32" s="640">
        <f>SUM(M27:M31)</f>
        <v>8.9125000000000025E-5</v>
      </c>
      <c r="O32" s="639"/>
      <c r="P32" s="639"/>
      <c r="Q32" s="639"/>
      <c r="R32" s="639"/>
      <c r="S32" s="1050" t="s">
        <v>84</v>
      </c>
      <c r="T32" s="1051"/>
      <c r="U32" s="1051"/>
      <c r="V32" s="1051"/>
      <c r="W32" s="1052"/>
      <c r="X32" s="640">
        <f>SUM(X27:X31)</f>
        <v>9.9311111111111641E-2</v>
      </c>
      <c r="Y32" s="640">
        <f>SUM(Y27:Y31)</f>
        <v>8.9475046913580503E-5</v>
      </c>
      <c r="AA32" s="641"/>
      <c r="AB32" s="641"/>
      <c r="AC32" s="641"/>
      <c r="AD32" s="641"/>
      <c r="AE32" s="1047" t="s">
        <v>84</v>
      </c>
      <c r="AF32" s="1048"/>
      <c r="AG32" s="1048"/>
      <c r="AH32" s="1048"/>
      <c r="AI32" s="1049"/>
      <c r="AJ32" s="643">
        <f>SUM(AJ27:AJ31)</f>
        <v>6.313130399415455E-2</v>
      </c>
      <c r="AK32" s="642">
        <f>SUM(AK27:AK31)</f>
        <v>5.8803618502178739E-5</v>
      </c>
      <c r="AL32" s="601"/>
      <c r="AM32" s="641"/>
      <c r="AN32" s="641"/>
      <c r="AO32" s="641"/>
      <c r="AP32" s="641"/>
      <c r="AQ32" s="1047" t="s">
        <v>84</v>
      </c>
      <c r="AR32" s="1048"/>
      <c r="AS32" s="1048"/>
      <c r="AT32" s="1048"/>
      <c r="AU32" s="1049"/>
      <c r="AV32" s="643">
        <f>SUM(AV27:AV31)</f>
        <v>6.3330303994154555E-2</v>
      </c>
      <c r="AW32" s="643">
        <f>SUM(AW27:AW31)</f>
        <v>5.8882426482178738E-5</v>
      </c>
      <c r="BN32" s="595"/>
      <c r="BO32" s="595"/>
      <c r="BP32" s="595"/>
      <c r="BQ32" s="803"/>
      <c r="BR32" s="596"/>
      <c r="BS32" s="596"/>
      <c r="BT32" s="596"/>
      <c r="BU32" s="596"/>
      <c r="BV32" s="596"/>
      <c r="BW32" s="597"/>
      <c r="BX32" s="597"/>
      <c r="BZ32" s="1062"/>
      <c r="CA32" s="1063"/>
      <c r="CB32" s="1063"/>
      <c r="CD32" s="650"/>
      <c r="CE32" s="786"/>
      <c r="CF32" s="786"/>
      <c r="CG32" s="787"/>
      <c r="CH32" s="787"/>
      <c r="CI32" s="787"/>
      <c r="CJ32" s="787"/>
      <c r="CL32" s="595"/>
      <c r="CM32" s="595"/>
      <c r="CN32" s="595"/>
      <c r="CO32" s="595"/>
      <c r="CP32" s="596"/>
      <c r="CQ32" s="596"/>
      <c r="CR32" s="596"/>
      <c r="CS32" s="596"/>
      <c r="CT32" s="596"/>
      <c r="CU32" s="597"/>
      <c r="CV32" s="597"/>
    </row>
    <row r="33" spans="3:100" ht="15.75" customHeight="1" x14ac:dyDescent="0.4">
      <c r="C33" s="595"/>
      <c r="D33" s="595"/>
      <c r="E33" s="595"/>
      <c r="F33" s="595"/>
      <c r="G33" s="1313" t="s">
        <v>119</v>
      </c>
      <c r="H33" s="1314"/>
      <c r="I33" s="1314"/>
      <c r="J33" s="1314"/>
      <c r="K33" s="1315"/>
      <c r="L33" s="640">
        <f>SQRT(L32)</f>
        <v>0.31224989991991997</v>
      </c>
      <c r="M33" s="625"/>
      <c r="O33" s="595"/>
      <c r="P33" s="595"/>
      <c r="Q33" s="595"/>
      <c r="R33" s="595"/>
      <c r="S33" s="1313" t="s">
        <v>119</v>
      </c>
      <c r="T33" s="1314"/>
      <c r="U33" s="1314"/>
      <c r="V33" s="1314"/>
      <c r="W33" s="1315"/>
      <c r="X33" s="640">
        <f>SQRT(X32)</f>
        <v>0.31513665466129392</v>
      </c>
      <c r="Y33" s="625"/>
      <c r="AA33" s="644" t="s">
        <v>48</v>
      </c>
      <c r="AB33" s="644" t="s">
        <v>194</v>
      </c>
      <c r="AC33" s="605"/>
      <c r="AD33" s="605"/>
      <c r="AE33" s="1310" t="s">
        <v>224</v>
      </c>
      <c r="AF33" s="1311"/>
      <c r="AG33" s="1311"/>
      <c r="AH33" s="1311"/>
      <c r="AI33" s="1312"/>
      <c r="AJ33" s="643">
        <f>SQRT(AJ32)</f>
        <v>0.25125943563208636</v>
      </c>
      <c r="AK33" s="632"/>
      <c r="AL33" s="601"/>
      <c r="AM33" s="644" t="s">
        <v>48</v>
      </c>
      <c r="AN33" s="644" t="s">
        <v>194</v>
      </c>
      <c r="AO33" s="605"/>
      <c r="AP33" s="605"/>
      <c r="AQ33" s="1310" t="s">
        <v>224</v>
      </c>
      <c r="AR33" s="1311"/>
      <c r="AS33" s="1311"/>
      <c r="AT33" s="1311"/>
      <c r="AU33" s="1312"/>
      <c r="AV33" s="643">
        <f>SQRT(AV32)</f>
        <v>0.25165512908374144</v>
      </c>
      <c r="AW33" s="631"/>
      <c r="BN33" s="595"/>
      <c r="BO33" s="595"/>
      <c r="BP33" s="595"/>
      <c r="BQ33" s="803"/>
      <c r="BR33" s="1306"/>
      <c r="BS33" s="1306"/>
      <c r="BT33" s="1306"/>
      <c r="BU33" s="1306"/>
      <c r="BV33" s="1306"/>
      <c r="BW33" s="597"/>
      <c r="BX33" s="598"/>
      <c r="BZ33" s="1062"/>
      <c r="CA33" s="1063"/>
      <c r="CB33" s="1063"/>
      <c r="CL33" s="595"/>
      <c r="CM33" s="595"/>
      <c r="CN33" s="595"/>
      <c r="CO33" s="595"/>
      <c r="CP33" s="1306"/>
      <c r="CQ33" s="1306"/>
      <c r="CR33" s="1306"/>
      <c r="CS33" s="1306"/>
      <c r="CT33" s="1306"/>
      <c r="CU33" s="597"/>
      <c r="CV33" s="598"/>
    </row>
    <row r="34" spans="3:100" ht="15.75" customHeight="1" x14ac:dyDescent="0.3">
      <c r="C34" s="595"/>
      <c r="D34" s="595"/>
      <c r="E34" s="595"/>
      <c r="F34" s="595"/>
      <c r="G34" s="1313" t="s">
        <v>89</v>
      </c>
      <c r="H34" s="1314"/>
      <c r="I34" s="1314"/>
      <c r="J34" s="1314"/>
      <c r="K34" s="1315"/>
      <c r="L34" s="640">
        <f>((L33)^4)/M32</f>
        <v>106.66199158485277</v>
      </c>
      <c r="M34" s="648"/>
      <c r="O34" s="595"/>
      <c r="P34" s="595"/>
      <c r="Q34" s="595"/>
      <c r="R34" s="595"/>
      <c r="S34" s="1313" t="s">
        <v>89</v>
      </c>
      <c r="T34" s="1314"/>
      <c r="U34" s="1314"/>
      <c r="V34" s="1314"/>
      <c r="W34" s="1315"/>
      <c r="X34" s="640">
        <f>((X33)^4)/Y32</f>
        <v>110.22846179281076</v>
      </c>
      <c r="Y34" s="625"/>
      <c r="AA34" s="1060">
        <v>0</v>
      </c>
      <c r="AB34" s="1061">
        <v>0.1</v>
      </c>
      <c r="AC34" s="605"/>
      <c r="AD34" s="605"/>
      <c r="AE34" s="1310" t="s">
        <v>89</v>
      </c>
      <c r="AF34" s="1311"/>
      <c r="AG34" s="1311"/>
      <c r="AH34" s="1311"/>
      <c r="AI34" s="1312"/>
      <c r="AJ34" s="643">
        <f>((AJ33)^4)/AK32</f>
        <v>67.777487942424571</v>
      </c>
      <c r="AK34" s="649"/>
      <c r="AL34" s="601"/>
      <c r="AM34" s="1060">
        <v>100</v>
      </c>
      <c r="AN34" s="1061">
        <v>0.2</v>
      </c>
      <c r="AO34" s="605"/>
      <c r="AP34" s="605"/>
      <c r="AQ34" s="1310" t="s">
        <v>89</v>
      </c>
      <c r="AR34" s="1311"/>
      <c r="AS34" s="1311"/>
      <c r="AT34" s="1311"/>
      <c r="AU34" s="1312"/>
      <c r="AV34" s="643">
        <f>((AV33)^4)/AW32</f>
        <v>68.114166545190031</v>
      </c>
      <c r="AW34" s="631"/>
      <c r="BN34" s="595"/>
      <c r="BO34" s="595"/>
      <c r="BP34" s="595"/>
      <c r="BQ34" s="803"/>
      <c r="BR34" s="1306"/>
      <c r="BS34" s="1306"/>
      <c r="BT34" s="1306"/>
      <c r="BU34" s="1306"/>
      <c r="BV34" s="1306"/>
      <c r="BW34" s="597"/>
      <c r="BX34" s="652"/>
      <c r="BZ34" s="1062"/>
      <c r="CA34" s="1063"/>
      <c r="CB34" s="1063"/>
      <c r="CL34" s="595"/>
      <c r="CM34" s="595"/>
      <c r="CN34" s="595"/>
      <c r="CO34" s="595"/>
      <c r="CP34" s="1306"/>
      <c r="CQ34" s="1306"/>
      <c r="CR34" s="1306"/>
      <c r="CS34" s="1306"/>
      <c r="CT34" s="1306"/>
      <c r="CU34" s="597"/>
      <c r="CV34" s="598"/>
    </row>
    <row r="35" spans="3:100" ht="15.75" customHeight="1" x14ac:dyDescent="0.3">
      <c r="C35" s="595"/>
      <c r="D35" s="595"/>
      <c r="E35" s="595"/>
      <c r="F35" s="595"/>
      <c r="G35" s="1313" t="s">
        <v>42</v>
      </c>
      <c r="H35" s="1314"/>
      <c r="I35" s="1314"/>
      <c r="J35" s="1314"/>
      <c r="K35" s="1315"/>
      <c r="L35" s="625">
        <f>TINV(0.05,L34)</f>
        <v>1.9825972617654992</v>
      </c>
      <c r="M35" s="625">
        <f>1.95996+(2.37356/L34)+(2.818745/L34^2)+(2.546662/L34^3)+(1.7861829/L34^4)+(0.245458/L34^5)+(1.000764/L34^6)</f>
        <v>1.9824629757858512</v>
      </c>
      <c r="O35" s="595"/>
      <c r="P35" s="595"/>
      <c r="Q35" s="595"/>
      <c r="R35" s="595"/>
      <c r="S35" s="1313" t="s">
        <v>42</v>
      </c>
      <c r="T35" s="1314"/>
      <c r="U35" s="1314"/>
      <c r="V35" s="1314"/>
      <c r="W35" s="1315"/>
      <c r="X35" s="625">
        <f>TINV(0.05,X34)</f>
        <v>1.9817652821323735</v>
      </c>
      <c r="Y35" s="625"/>
      <c r="AA35" s="1060">
        <v>50</v>
      </c>
      <c r="AB35" s="1061">
        <v>0.2</v>
      </c>
      <c r="AC35" s="605"/>
      <c r="AD35" s="605"/>
      <c r="AE35" s="1310" t="s">
        <v>42</v>
      </c>
      <c r="AF35" s="1311"/>
      <c r="AG35" s="1311"/>
      <c r="AH35" s="1311"/>
      <c r="AI35" s="1312"/>
      <c r="AJ35" s="631">
        <f>TINV(0.05,AJ34)</f>
        <v>1.9960083540252964</v>
      </c>
      <c r="AK35" s="631">
        <f>1.95996+(2.37356/AJ34)+(2.818745/AJ34^2)+(2.546662/AJ34^3)+(1.7861829/AJ34^4)+(0.245458/AJ34^5)+(1.000764/AJ34^6)</f>
        <v>1.9956017508544639</v>
      </c>
      <c r="AL35" s="601"/>
      <c r="AM35" s="1060">
        <v>150</v>
      </c>
      <c r="AN35" s="1061">
        <v>0.2</v>
      </c>
      <c r="AO35" s="605"/>
      <c r="AP35" s="605"/>
      <c r="AQ35" s="1310" t="s">
        <v>42</v>
      </c>
      <c r="AR35" s="1311"/>
      <c r="AS35" s="1311"/>
      <c r="AT35" s="1311"/>
      <c r="AU35" s="1312"/>
      <c r="AV35" s="631">
        <f>TINV(0.05,AV34)</f>
        <v>1.9954689314298424</v>
      </c>
      <c r="AW35" s="631"/>
      <c r="BN35" s="595"/>
      <c r="BO35" s="595"/>
      <c r="BP35" s="595"/>
      <c r="BQ35" s="803"/>
      <c r="BR35" s="1306"/>
      <c r="BS35" s="1306"/>
      <c r="BT35" s="1306"/>
      <c r="BU35" s="1306"/>
      <c r="BV35" s="1306"/>
      <c r="BW35" s="598"/>
      <c r="BX35" s="598"/>
      <c r="CL35" s="595"/>
      <c r="CM35" s="595"/>
      <c r="CN35" s="595"/>
      <c r="CO35" s="595"/>
      <c r="CP35" s="1306"/>
      <c r="CQ35" s="1306"/>
      <c r="CR35" s="1306"/>
      <c r="CS35" s="1306"/>
      <c r="CT35" s="1306"/>
      <c r="CU35" s="598"/>
      <c r="CV35" s="598"/>
    </row>
    <row r="36" spans="3:100" ht="15.75" customHeight="1" x14ac:dyDescent="0.3">
      <c r="C36" s="595"/>
      <c r="D36" s="595"/>
      <c r="E36" s="595"/>
      <c r="F36" s="595"/>
      <c r="G36" s="1313" t="s">
        <v>120</v>
      </c>
      <c r="H36" s="1314"/>
      <c r="I36" s="1314"/>
      <c r="J36" s="1314"/>
      <c r="K36" s="1315"/>
      <c r="L36" s="645">
        <f>L35*L33</f>
        <v>0.61906579656778449</v>
      </c>
      <c r="M36" s="625"/>
      <c r="O36" s="595"/>
      <c r="P36" s="595"/>
      <c r="Q36" s="595"/>
      <c r="R36" s="595"/>
      <c r="S36" s="1313" t="s">
        <v>120</v>
      </c>
      <c r="T36" s="1314"/>
      <c r="U36" s="1314"/>
      <c r="V36" s="1314"/>
      <c r="W36" s="1315"/>
      <c r="X36" s="645">
        <f>X35*X33</f>
        <v>0.62452688133509149</v>
      </c>
      <c r="Y36" s="625"/>
      <c r="AA36" s="605"/>
      <c r="AB36" s="605"/>
      <c r="AC36" s="605"/>
      <c r="AD36" s="605"/>
      <c r="AE36" s="1310" t="s">
        <v>225</v>
      </c>
      <c r="AF36" s="1311"/>
      <c r="AG36" s="1311"/>
      <c r="AH36" s="1311"/>
      <c r="AI36" s="1312"/>
      <c r="AJ36" s="646">
        <f>AJ35*AJ33</f>
        <v>0.50151593254932558</v>
      </c>
      <c r="AK36" s="632"/>
      <c r="AL36" s="601"/>
      <c r="AM36" s="605"/>
      <c r="AN36" s="605"/>
      <c r="AO36" s="605"/>
      <c r="AP36" s="605"/>
      <c r="AQ36" s="1310" t="s">
        <v>225</v>
      </c>
      <c r="AR36" s="1311"/>
      <c r="AS36" s="1311"/>
      <c r="AT36" s="1311"/>
      <c r="AU36" s="1312"/>
      <c r="AV36" s="646">
        <f>AV35*AV33</f>
        <v>0.5021699915215726</v>
      </c>
      <c r="AW36" s="631"/>
      <c r="BN36" s="595"/>
      <c r="BO36" s="595"/>
      <c r="BP36" s="595"/>
      <c r="BQ36" s="803"/>
      <c r="BR36" s="1306"/>
      <c r="BS36" s="1306"/>
      <c r="BT36" s="1306"/>
      <c r="BU36" s="1306"/>
      <c r="BV36" s="1306"/>
      <c r="BW36" s="785"/>
      <c r="BX36" s="598"/>
      <c r="CL36" s="595"/>
      <c r="CM36" s="595"/>
      <c r="CN36" s="595"/>
      <c r="CO36" s="595"/>
      <c r="CP36" s="1306"/>
      <c r="CQ36" s="1306"/>
      <c r="CR36" s="1306"/>
      <c r="CS36" s="1306"/>
      <c r="CT36" s="1306"/>
      <c r="CU36" s="785"/>
      <c r="CV36" s="598"/>
    </row>
    <row r="37" spans="3:100" ht="6.75" customHeight="1" x14ac:dyDescent="0.3">
      <c r="C37" s="595"/>
      <c r="D37" s="595"/>
      <c r="E37" s="595"/>
      <c r="F37" s="595"/>
      <c r="G37" s="596"/>
      <c r="H37" s="596"/>
      <c r="I37" s="596"/>
      <c r="J37" s="596"/>
      <c r="K37" s="596"/>
      <c r="L37" s="597"/>
      <c r="M37" s="598"/>
      <c r="AA37" s="605"/>
      <c r="AB37" s="605"/>
      <c r="AC37" s="605"/>
      <c r="AD37" s="605"/>
      <c r="AE37" s="606"/>
      <c r="AF37" s="606"/>
      <c r="AG37" s="606"/>
      <c r="AH37" s="606"/>
      <c r="AI37" s="606"/>
      <c r="AJ37" s="607"/>
      <c r="AK37" s="647"/>
      <c r="AL37" s="601"/>
      <c r="AM37" s="601"/>
      <c r="AN37" s="601"/>
      <c r="AO37" s="601"/>
      <c r="AP37" s="601"/>
      <c r="AQ37" s="601"/>
      <c r="AR37" s="601"/>
      <c r="AS37" s="601"/>
      <c r="AT37" s="601"/>
      <c r="AU37" s="601"/>
      <c r="AV37" s="601"/>
      <c r="AW37" s="601"/>
      <c r="BN37" s="595"/>
      <c r="BO37" s="595"/>
      <c r="BP37" s="595"/>
      <c r="BQ37" s="803"/>
      <c r="BR37" s="596"/>
      <c r="BS37" s="596"/>
      <c r="BT37" s="596"/>
      <c r="BU37" s="596"/>
      <c r="BV37" s="596"/>
      <c r="BW37" s="597"/>
      <c r="BX37" s="598"/>
    </row>
    <row r="38" spans="3:100" ht="6.75" customHeight="1" x14ac:dyDescent="0.3">
      <c r="C38" s="595"/>
      <c r="D38" s="595"/>
      <c r="E38" s="595"/>
      <c r="F38" s="595"/>
      <c r="G38" s="596"/>
      <c r="H38" s="596"/>
      <c r="I38" s="596"/>
      <c r="J38" s="596"/>
      <c r="K38" s="596"/>
      <c r="L38" s="597"/>
      <c r="M38" s="598"/>
      <c r="AA38" s="605"/>
      <c r="AB38" s="605"/>
      <c r="AC38" s="605"/>
      <c r="AD38" s="605"/>
      <c r="AE38" s="606"/>
      <c r="AF38" s="606"/>
      <c r="AG38" s="606"/>
      <c r="AH38" s="606"/>
      <c r="AI38" s="606"/>
      <c r="AJ38" s="607"/>
      <c r="AK38" s="647"/>
      <c r="AL38" s="601"/>
      <c r="AM38" s="601"/>
      <c r="AN38" s="601"/>
      <c r="AO38" s="601"/>
      <c r="AP38" s="601"/>
      <c r="AQ38" s="601"/>
      <c r="AR38" s="601"/>
      <c r="AS38" s="601"/>
      <c r="AT38" s="601"/>
      <c r="AU38" s="601"/>
      <c r="AV38" s="601"/>
      <c r="AW38" s="601"/>
      <c r="BB38" s="650"/>
      <c r="BC38" s="650"/>
      <c r="BD38" s="650"/>
      <c r="BE38" s="650"/>
      <c r="BF38" s="650"/>
      <c r="BG38" s="650"/>
      <c r="BH38" s="650"/>
      <c r="BN38" s="595"/>
      <c r="BO38" s="595"/>
      <c r="BP38" s="595"/>
      <c r="BQ38" s="803"/>
      <c r="BR38" s="596"/>
      <c r="BS38" s="596"/>
      <c r="BT38" s="596"/>
      <c r="BU38" s="596"/>
      <c r="BV38" s="596"/>
      <c r="BW38" s="597"/>
      <c r="BX38" s="598"/>
      <c r="BZ38" s="650"/>
      <c r="CA38" s="650"/>
      <c r="CB38" s="650"/>
      <c r="CC38" s="650"/>
      <c r="CD38" s="650"/>
      <c r="CE38" s="650"/>
      <c r="CF38" s="650"/>
    </row>
    <row r="39" spans="3:100" ht="15.75" customHeight="1" x14ac:dyDescent="0.3">
      <c r="C39" s="593">
        <f>ID!A70</f>
        <v>70</v>
      </c>
      <c r="D39" s="594" t="str">
        <f>D40</f>
        <v>mmHg</v>
      </c>
      <c r="E39" s="595"/>
      <c r="F39" s="595"/>
      <c r="G39" s="596"/>
      <c r="H39" s="596"/>
      <c r="I39" s="596"/>
      <c r="J39" s="596"/>
      <c r="K39" s="596"/>
      <c r="L39" s="597"/>
      <c r="M39" s="598"/>
      <c r="O39" s="593">
        <f>ID!A73</f>
        <v>150</v>
      </c>
      <c r="P39" s="594" t="str">
        <f>P40</f>
        <v>mmHg</v>
      </c>
      <c r="Q39" s="595"/>
      <c r="R39" s="595"/>
      <c r="S39" s="596"/>
      <c r="T39" s="596"/>
      <c r="U39" s="596"/>
      <c r="V39" s="596"/>
      <c r="W39" s="596"/>
      <c r="X39" s="597"/>
      <c r="Y39" s="598"/>
      <c r="AA39" s="603">
        <v>100</v>
      </c>
      <c r="AB39" s="604">
        <f>AB40</f>
        <v>0</v>
      </c>
      <c r="AC39" s="605"/>
      <c r="AD39" s="605"/>
      <c r="AE39" s="606"/>
      <c r="AF39" s="606"/>
      <c r="AG39" s="606"/>
      <c r="AH39" s="606"/>
      <c r="AI39" s="606"/>
      <c r="AJ39" s="607"/>
      <c r="AK39" s="647"/>
      <c r="AL39" s="601"/>
      <c r="AM39" s="603">
        <v>250</v>
      </c>
      <c r="AN39" s="604" t="str">
        <f>AN40</f>
        <v>mmHg</v>
      </c>
      <c r="AO39" s="605"/>
      <c r="AP39" s="605"/>
      <c r="AQ39" s="606"/>
      <c r="AR39" s="606"/>
      <c r="AS39" s="606"/>
      <c r="AT39" s="606"/>
      <c r="AU39" s="606"/>
      <c r="AV39" s="607"/>
      <c r="AW39" s="608"/>
      <c r="BN39" s="772"/>
      <c r="BO39" s="773"/>
      <c r="BP39" s="595"/>
      <c r="BQ39" s="803"/>
      <c r="BR39" s="596"/>
      <c r="BS39" s="596"/>
      <c r="BT39" s="596"/>
      <c r="BU39" s="596"/>
      <c r="BV39" s="596"/>
      <c r="BW39" s="597"/>
      <c r="BX39" s="598"/>
      <c r="CL39" s="772"/>
      <c r="CM39" s="773"/>
      <c r="CN39" s="595"/>
      <c r="CO39" s="595"/>
      <c r="CP39" s="596"/>
      <c r="CQ39" s="596"/>
      <c r="CR39" s="596"/>
      <c r="CS39" s="596"/>
      <c r="CT39" s="596"/>
      <c r="CU39" s="597"/>
      <c r="CV39" s="598"/>
    </row>
    <row r="40" spans="3:100" ht="23.25" customHeight="1" x14ac:dyDescent="0.3">
      <c r="C40" s="611"/>
      <c r="D40" s="610" t="s">
        <v>38</v>
      </c>
      <c r="O40" s="611"/>
      <c r="P40" s="610" t="s">
        <v>38</v>
      </c>
      <c r="AA40" s="611"/>
      <c r="AB40" s="612"/>
      <c r="AC40" s="601"/>
      <c r="AD40" s="601"/>
      <c r="AE40" s="601"/>
      <c r="AF40" s="601"/>
      <c r="AG40" s="601"/>
      <c r="AH40" s="601"/>
      <c r="AI40" s="601"/>
      <c r="AJ40" s="601"/>
      <c r="AK40" s="602"/>
      <c r="AL40" s="601"/>
      <c r="AM40" s="611">
        <f>ID!Z73</f>
        <v>0.2</v>
      </c>
      <c r="AN40" s="612" t="s">
        <v>38</v>
      </c>
      <c r="AO40" s="601"/>
      <c r="AP40" s="601"/>
      <c r="AQ40" s="601"/>
      <c r="AR40" s="601"/>
      <c r="AS40" s="601"/>
      <c r="AT40" s="601"/>
      <c r="AU40" s="601"/>
      <c r="AV40" s="601"/>
      <c r="AW40" s="601"/>
      <c r="BF40" s="650"/>
      <c r="BG40" s="650"/>
      <c r="BH40" s="650"/>
      <c r="BI40" s="650"/>
      <c r="BJ40" s="650"/>
      <c r="BK40" s="650"/>
      <c r="BL40" s="650"/>
      <c r="BN40" s="609"/>
      <c r="BO40" s="610"/>
      <c r="CK40" s="650"/>
      <c r="CL40" s="609"/>
      <c r="CM40" s="610"/>
    </row>
    <row r="41" spans="3:100" s="615" customFormat="1" ht="37.5" customHeight="1" x14ac:dyDescent="0.4">
      <c r="C41" s="613" t="s">
        <v>40</v>
      </c>
      <c r="D41" s="613" t="s">
        <v>41</v>
      </c>
      <c r="E41" s="613" t="s">
        <v>80</v>
      </c>
      <c r="F41" s="613" t="s">
        <v>79</v>
      </c>
      <c r="G41" s="613" t="s">
        <v>14</v>
      </c>
      <c r="H41" s="613" t="s">
        <v>113</v>
      </c>
      <c r="I41" s="613" t="s">
        <v>114</v>
      </c>
      <c r="J41" s="613" t="s">
        <v>115</v>
      </c>
      <c r="K41" s="613" t="s">
        <v>116</v>
      </c>
      <c r="L41" s="613" t="s">
        <v>117</v>
      </c>
      <c r="M41" s="614" t="s">
        <v>118</v>
      </c>
      <c r="O41" s="613" t="s">
        <v>40</v>
      </c>
      <c r="P41" s="613" t="s">
        <v>41</v>
      </c>
      <c r="Q41" s="613" t="s">
        <v>80</v>
      </c>
      <c r="R41" s="613" t="s">
        <v>79</v>
      </c>
      <c r="S41" s="613" t="s">
        <v>14</v>
      </c>
      <c r="T41" s="613" t="s">
        <v>113</v>
      </c>
      <c r="U41" s="613" t="s">
        <v>114</v>
      </c>
      <c r="V41" s="613" t="s">
        <v>115</v>
      </c>
      <c r="W41" s="613" t="s">
        <v>116</v>
      </c>
      <c r="X41" s="613" t="s">
        <v>117</v>
      </c>
      <c r="Y41" s="614" t="s">
        <v>118</v>
      </c>
      <c r="AA41" s="616" t="s">
        <v>40</v>
      </c>
      <c r="AB41" s="616" t="s">
        <v>41</v>
      </c>
      <c r="AC41" s="616" t="s">
        <v>80</v>
      </c>
      <c r="AD41" s="616" t="s">
        <v>79</v>
      </c>
      <c r="AE41" s="616" t="s">
        <v>14</v>
      </c>
      <c r="AF41" s="616" t="s">
        <v>218</v>
      </c>
      <c r="AG41" s="616" t="s">
        <v>219</v>
      </c>
      <c r="AH41" s="616" t="s">
        <v>220</v>
      </c>
      <c r="AI41" s="616" t="s">
        <v>221</v>
      </c>
      <c r="AJ41" s="616" t="s">
        <v>222</v>
      </c>
      <c r="AK41" s="617" t="s">
        <v>223</v>
      </c>
      <c r="AL41" s="618"/>
      <c r="AM41" s="616" t="s">
        <v>40</v>
      </c>
      <c r="AN41" s="616" t="s">
        <v>41</v>
      </c>
      <c r="AO41" s="616" t="s">
        <v>80</v>
      </c>
      <c r="AP41" s="616" t="s">
        <v>79</v>
      </c>
      <c r="AQ41" s="616" t="s">
        <v>14</v>
      </c>
      <c r="AR41" s="616" t="s">
        <v>218</v>
      </c>
      <c r="AS41" s="616" t="s">
        <v>219</v>
      </c>
      <c r="AT41" s="616" t="s">
        <v>220</v>
      </c>
      <c r="AU41" s="616" t="s">
        <v>221</v>
      </c>
      <c r="AV41" s="616" t="s">
        <v>222</v>
      </c>
      <c r="AW41" s="619" t="s">
        <v>223</v>
      </c>
      <c r="BB41" s="588"/>
      <c r="BC41" s="588"/>
      <c r="BD41" s="588"/>
      <c r="BE41" s="588"/>
      <c r="BF41" s="788"/>
      <c r="BG41" s="788"/>
      <c r="BH41" s="788"/>
      <c r="BI41" s="789"/>
      <c r="BJ41" s="789"/>
      <c r="BK41" s="789"/>
      <c r="BL41" s="789"/>
      <c r="BN41" s="774"/>
      <c r="BO41" s="774"/>
      <c r="BP41" s="774"/>
      <c r="BQ41" s="800"/>
      <c r="BR41" s="774"/>
      <c r="BS41" s="774"/>
      <c r="BT41" s="774"/>
      <c r="BU41" s="774"/>
      <c r="BV41" s="774"/>
      <c r="BW41" s="774"/>
      <c r="BX41" s="651"/>
      <c r="CK41" s="650"/>
      <c r="CL41" s="774"/>
      <c r="CM41" s="774"/>
      <c r="CN41" s="774"/>
      <c r="CO41" s="774"/>
      <c r="CP41" s="774"/>
      <c r="CQ41" s="774"/>
      <c r="CR41" s="774"/>
      <c r="CS41" s="774"/>
      <c r="CT41" s="774"/>
      <c r="CU41" s="774"/>
      <c r="CV41" s="651"/>
    </row>
    <row r="42" spans="3:100" x14ac:dyDescent="0.3">
      <c r="C42" s="620" t="s">
        <v>83</v>
      </c>
      <c r="D42" s="621" t="s">
        <v>38</v>
      </c>
      <c r="E42" s="622" t="s">
        <v>11</v>
      </c>
      <c r="F42" s="623">
        <f>ID!L70</f>
        <v>0</v>
      </c>
      <c r="G42" s="623">
        <f>SQRT(3)</f>
        <v>1.7320508075688772</v>
      </c>
      <c r="H42" s="623">
        <f>(F42/G42)</f>
        <v>0</v>
      </c>
      <c r="I42" s="624">
        <v>1</v>
      </c>
      <c r="J42" s="624">
        <v>5</v>
      </c>
      <c r="K42" s="625">
        <f>H42*I42</f>
        <v>0</v>
      </c>
      <c r="L42" s="625">
        <f>K42^2</f>
        <v>0</v>
      </c>
      <c r="M42" s="625">
        <f>((K42)^4)/J42</f>
        <v>0</v>
      </c>
      <c r="O42" s="620" t="s">
        <v>83</v>
      </c>
      <c r="P42" s="621" t="s">
        <v>38</v>
      </c>
      <c r="Q42" s="622" t="s">
        <v>11</v>
      </c>
      <c r="R42" s="623">
        <f>ID!L73</f>
        <v>3.4809342861069267E-14</v>
      </c>
      <c r="S42" s="623">
        <f>SQRT(3)</f>
        <v>1.7320508075688772</v>
      </c>
      <c r="T42" s="623">
        <f>(R42/S42)</f>
        <v>2.0097183471152319E-14</v>
      </c>
      <c r="U42" s="624">
        <v>1</v>
      </c>
      <c r="V42" s="624">
        <v>5</v>
      </c>
      <c r="W42" s="625">
        <f>T42*U42</f>
        <v>2.0097183471152319E-14</v>
      </c>
      <c r="X42" s="625">
        <f>W42^2</f>
        <v>4.0389678347315795E-28</v>
      </c>
      <c r="Y42" s="625">
        <f>((W42)^4)/V42</f>
        <v>3.2626522339992606E-56</v>
      </c>
      <c r="AA42" s="626" t="s">
        <v>83</v>
      </c>
      <c r="AB42" s="627" t="s">
        <v>38</v>
      </c>
      <c r="AC42" s="628" t="s">
        <v>11</v>
      </c>
      <c r="AD42" s="629">
        <v>0</v>
      </c>
      <c r="AE42" s="629">
        <v>1.7320508075688772</v>
      </c>
      <c r="AF42" s="629">
        <f>0/1.7321</f>
        <v>0</v>
      </c>
      <c r="AG42" s="630">
        <v>1</v>
      </c>
      <c r="AH42" s="630">
        <f>3-1</f>
        <v>2</v>
      </c>
      <c r="AI42" s="631">
        <f>(0*1)</f>
        <v>0</v>
      </c>
      <c r="AJ42" s="631">
        <f>(0*1)^2</f>
        <v>0</v>
      </c>
      <c r="AK42" s="632">
        <f>((0*1)^4)/2</f>
        <v>0</v>
      </c>
      <c r="AL42" s="601"/>
      <c r="AM42" s="626" t="s">
        <v>83</v>
      </c>
      <c r="AN42" s="627" t="s">
        <v>38</v>
      </c>
      <c r="AO42" s="628" t="s">
        <v>11</v>
      </c>
      <c r="AP42" s="629">
        <v>0</v>
      </c>
      <c r="AQ42" s="629">
        <v>1.7320508075688772</v>
      </c>
      <c r="AR42" s="629">
        <f>(AP42/AQ42)</f>
        <v>0</v>
      </c>
      <c r="AS42" s="630">
        <v>1</v>
      </c>
      <c r="AT42" s="630">
        <f>3-1</f>
        <v>2</v>
      </c>
      <c r="AU42" s="631">
        <f>AR42*AS42</f>
        <v>0</v>
      </c>
      <c r="AV42" s="631">
        <f>AU42^2</f>
        <v>0</v>
      </c>
      <c r="AW42" s="631">
        <f>((AU42)^4)/AT42</f>
        <v>0</v>
      </c>
      <c r="BB42" s="1062"/>
      <c r="BC42" s="1063"/>
      <c r="BD42" s="1063"/>
      <c r="BE42" s="615"/>
      <c r="BF42" s="788"/>
      <c r="BG42" s="788"/>
      <c r="BH42" s="788"/>
      <c r="BI42" s="789"/>
      <c r="BJ42" s="789"/>
      <c r="BK42" s="789"/>
      <c r="BL42" s="789"/>
      <c r="BN42" s="595"/>
      <c r="BO42" s="775"/>
      <c r="BP42" s="776"/>
      <c r="BQ42" s="801"/>
      <c r="BR42" s="637"/>
      <c r="BS42" s="637"/>
      <c r="BT42" s="777"/>
      <c r="BU42" s="777"/>
      <c r="BV42" s="598"/>
      <c r="BW42" s="598"/>
      <c r="BX42" s="598"/>
      <c r="CK42" s="650"/>
      <c r="CL42" s="595"/>
      <c r="CM42" s="775"/>
      <c r="CN42" s="776"/>
      <c r="CO42" s="637"/>
      <c r="CP42" s="637"/>
      <c r="CQ42" s="637"/>
      <c r="CR42" s="777"/>
      <c r="CS42" s="777"/>
      <c r="CT42" s="598"/>
      <c r="CU42" s="598"/>
      <c r="CV42" s="598"/>
    </row>
    <row r="43" spans="3:100" ht="33.75" customHeight="1" x14ac:dyDescent="0.3">
      <c r="C43" s="620" t="s">
        <v>82</v>
      </c>
      <c r="D43" s="621" t="s">
        <v>38</v>
      </c>
      <c r="E43" s="622" t="s">
        <v>11</v>
      </c>
      <c r="F43" s="1058">
        <f>'INTERPOLASI  '!AJ20</f>
        <v>0.4</v>
      </c>
      <c r="G43" s="624">
        <v>2</v>
      </c>
      <c r="H43" s="623">
        <f>F43/G43</f>
        <v>0.2</v>
      </c>
      <c r="I43" s="624">
        <v>1</v>
      </c>
      <c r="J43" s="624">
        <v>50</v>
      </c>
      <c r="K43" s="625">
        <f>H43*I43</f>
        <v>0.2</v>
      </c>
      <c r="L43" s="625">
        <f>K43^2</f>
        <v>4.0000000000000008E-2</v>
      </c>
      <c r="M43" s="625">
        <f>((K43)^4)/J43</f>
        <v>3.2000000000000012E-5</v>
      </c>
      <c r="O43" s="620" t="s">
        <v>82</v>
      </c>
      <c r="P43" s="621" t="s">
        <v>38</v>
      </c>
      <c r="Q43" s="622" t="s">
        <v>11</v>
      </c>
      <c r="R43" s="1058">
        <f>'INTERPOLASI  '!AJ23</f>
        <v>0.4</v>
      </c>
      <c r="S43" s="624">
        <v>2</v>
      </c>
      <c r="T43" s="623">
        <f>R43/S43</f>
        <v>0.2</v>
      </c>
      <c r="U43" s="624">
        <v>1</v>
      </c>
      <c r="V43" s="624">
        <v>50</v>
      </c>
      <c r="W43" s="625">
        <f>T43*U43</f>
        <v>0.2</v>
      </c>
      <c r="X43" s="625">
        <f>W43^2</f>
        <v>4.0000000000000008E-2</v>
      </c>
      <c r="Y43" s="625">
        <f>((W43)^4)/V43</f>
        <v>3.2000000000000012E-5</v>
      </c>
      <c r="AA43" s="626" t="s">
        <v>82</v>
      </c>
      <c r="AB43" s="627" t="s">
        <v>38</v>
      </c>
      <c r="AC43" s="628" t="s">
        <v>11</v>
      </c>
      <c r="AD43" s="633">
        <f>(((0.2-0.2)*(99-0.2))/(150-100))+(0.2)</f>
        <v>0.2</v>
      </c>
      <c r="AE43" s="630">
        <v>2</v>
      </c>
      <c r="AF43" s="629">
        <f>0.2/2</f>
        <v>0.1</v>
      </c>
      <c r="AG43" s="630">
        <v>1</v>
      </c>
      <c r="AH43" s="630">
        <v>50</v>
      </c>
      <c r="AI43" s="631">
        <f>(0.1*1)</f>
        <v>0.1</v>
      </c>
      <c r="AJ43" s="631">
        <f>(0.1*1)^2</f>
        <v>1.0000000000000002E-2</v>
      </c>
      <c r="AK43" s="631">
        <f>((0.1*1)^4)/50</f>
        <v>2.0000000000000008E-6</v>
      </c>
      <c r="AL43" s="601"/>
      <c r="AM43" s="626" t="s">
        <v>82</v>
      </c>
      <c r="AN43" s="627" t="s">
        <v>38</v>
      </c>
      <c r="AO43" s="628" t="s">
        <v>11</v>
      </c>
      <c r="AP43" s="633">
        <v>0.60159999999999991</v>
      </c>
      <c r="AQ43" s="630">
        <v>2</v>
      </c>
      <c r="AR43" s="629">
        <f>AP43/AQ43</f>
        <v>0.30079999999999996</v>
      </c>
      <c r="AS43" s="630">
        <v>1</v>
      </c>
      <c r="AT43" s="630">
        <v>50</v>
      </c>
      <c r="AU43" s="631">
        <f>AR43*AS43</f>
        <v>0.30079999999999996</v>
      </c>
      <c r="AV43" s="631">
        <f>AU43^2</f>
        <v>9.0480639999999973E-2</v>
      </c>
      <c r="AW43" s="631">
        <f>((AU43)^4)/AT43</f>
        <v>1.637349242961919E-4</v>
      </c>
      <c r="BB43" s="1062"/>
      <c r="BC43" s="1063"/>
      <c r="BD43" s="1063"/>
      <c r="BF43" s="788"/>
      <c r="BG43" s="788"/>
      <c r="BH43" s="796">
        <f>F43</f>
        <v>0.4</v>
      </c>
      <c r="BI43" s="790" t="s">
        <v>559</v>
      </c>
      <c r="BJ43" s="1059"/>
      <c r="BK43" s="1059"/>
      <c r="BL43" s="1040">
        <f>C40</f>
        <v>0</v>
      </c>
      <c r="BM43" s="791">
        <f>'INTERPOLASI  '!AH20</f>
        <v>50</v>
      </c>
      <c r="BN43" s="792">
        <f>'INTERPOLASI  '!AF20</f>
        <v>0.4</v>
      </c>
      <c r="BO43" s="793">
        <f>'INTERPOLASI  '!AI20</f>
        <v>100</v>
      </c>
      <c r="BP43" s="794">
        <f>'INTERPOLASI  '!AG20</f>
        <v>0.4</v>
      </c>
      <c r="BQ43" s="802">
        <f>((((BP43-BN43)*(BL43-BM43)))/(BO43-BM43))+BN43</f>
        <v>0.4</v>
      </c>
      <c r="BR43" s="777"/>
      <c r="BS43" s="796">
        <f>R43</f>
        <v>0.4</v>
      </c>
      <c r="BT43" s="790" t="s">
        <v>559</v>
      </c>
      <c r="BU43" s="1059"/>
      <c r="BV43" s="1059"/>
      <c r="BW43" s="1040">
        <f>O40</f>
        <v>0</v>
      </c>
      <c r="BX43" s="791">
        <f>'INTERPOLASI  '!AH23</f>
        <v>150</v>
      </c>
      <c r="BY43" s="792">
        <f>'INTERPOLASI  '!AF23</f>
        <v>0.4</v>
      </c>
      <c r="BZ43" s="793">
        <f>'INTERPOLASI  '!AI23</f>
        <v>200</v>
      </c>
      <c r="CA43" s="794">
        <f>'INTERPOLASI  '!AG23</f>
        <v>0.4</v>
      </c>
      <c r="CB43" s="802">
        <f>((((CA43-BY43)*(BW43-BX43)))/(BZ43-BX43))+BY43</f>
        <v>0.4</v>
      </c>
      <c r="CK43" s="650"/>
      <c r="CL43" s="595"/>
      <c r="CM43" s="775"/>
      <c r="CN43" s="776"/>
      <c r="CO43" s="779"/>
      <c r="CP43" s="777"/>
      <c r="CQ43" s="637"/>
      <c r="CR43" s="777"/>
      <c r="CS43" s="777"/>
      <c r="CT43" s="598"/>
      <c r="CU43" s="598"/>
      <c r="CV43" s="598"/>
    </row>
    <row r="44" spans="3:100" ht="32.25" customHeight="1" x14ac:dyDescent="0.3">
      <c r="C44" s="620" t="s">
        <v>240</v>
      </c>
      <c r="D44" s="621" t="s">
        <v>38</v>
      </c>
      <c r="E44" s="622" t="s">
        <v>85</v>
      </c>
      <c r="F44" s="623">
        <f>B18</f>
        <v>0.4</v>
      </c>
      <c r="G44" s="623">
        <f>SQRT(3)</f>
        <v>1.7320508075688772</v>
      </c>
      <c r="H44" s="623">
        <f>F44/G44</f>
        <v>0.23094010767585033</v>
      </c>
      <c r="I44" s="624">
        <v>1</v>
      </c>
      <c r="J44" s="624">
        <v>50</v>
      </c>
      <c r="K44" s="625">
        <f>H44*I44</f>
        <v>0.23094010767585033</v>
      </c>
      <c r="L44" s="625">
        <f>K44^2</f>
        <v>5.3333333333333344E-2</v>
      </c>
      <c r="M44" s="625">
        <f>((K44)^4)/J44</f>
        <v>5.6888888888888908E-5</v>
      </c>
      <c r="O44" s="620" t="s">
        <v>240</v>
      </c>
      <c r="P44" s="621" t="s">
        <v>38</v>
      </c>
      <c r="Q44" s="622" t="s">
        <v>85</v>
      </c>
      <c r="R44" s="623">
        <f>B18</f>
        <v>0.4</v>
      </c>
      <c r="S44" s="623">
        <f>SQRT(3)</f>
        <v>1.7320508075688772</v>
      </c>
      <c r="T44" s="623">
        <f>R44/S44</f>
        <v>0.23094010767585033</v>
      </c>
      <c r="U44" s="624">
        <v>1</v>
      </c>
      <c r="V44" s="624">
        <v>50</v>
      </c>
      <c r="W44" s="625">
        <f>T44*U44</f>
        <v>0.23094010767585033</v>
      </c>
      <c r="X44" s="625">
        <f>W44^2</f>
        <v>5.3333333333333344E-2</v>
      </c>
      <c r="Y44" s="625">
        <f>((W44)^4)/V44</f>
        <v>5.6888888888888908E-5</v>
      </c>
      <c r="AA44" s="626" t="s">
        <v>76</v>
      </c>
      <c r="AB44" s="627" t="s">
        <v>38</v>
      </c>
      <c r="AC44" s="628" t="s">
        <v>85</v>
      </c>
      <c r="AD44" s="629">
        <f>(1/5)*2</f>
        <v>0.4</v>
      </c>
      <c r="AE44" s="629">
        <v>1.7320508075688772</v>
      </c>
      <c r="AF44" s="635">
        <f>0.4/1.7321</f>
        <v>0.23093354887131229</v>
      </c>
      <c r="AG44" s="630">
        <v>1</v>
      </c>
      <c r="AH44" s="630">
        <v>50</v>
      </c>
      <c r="AI44" s="631">
        <f>(0.230933548871*1)</f>
        <v>0.23093354887100001</v>
      </c>
      <c r="AJ44" s="631">
        <f>(0.230933548871*1)^2</f>
        <v>5.3330303994154553E-2</v>
      </c>
      <c r="AK44" s="631">
        <f>((0.230933548871*1)^4)/50</f>
        <v>5.6882426482178737E-5</v>
      </c>
      <c r="AL44" s="601"/>
      <c r="AM44" s="626" t="s">
        <v>76</v>
      </c>
      <c r="AN44" s="627" t="s">
        <v>38</v>
      </c>
      <c r="AO44" s="628" t="s">
        <v>85</v>
      </c>
      <c r="AP44" s="629">
        <v>0.4</v>
      </c>
      <c r="AQ44" s="629">
        <v>1.7320508075688772</v>
      </c>
      <c r="AR44" s="629">
        <f>AP44/AQ44</f>
        <v>0.23094010767585033</v>
      </c>
      <c r="AS44" s="630">
        <v>1</v>
      </c>
      <c r="AT44" s="630">
        <v>50</v>
      </c>
      <c r="AU44" s="631">
        <f>AR44*AS44</f>
        <v>0.23094010767585033</v>
      </c>
      <c r="AV44" s="631">
        <f>AU44^2</f>
        <v>5.3333333333333344E-2</v>
      </c>
      <c r="AW44" s="631">
        <f>((AU44)^4)/AT44</f>
        <v>5.6888888888888908E-5</v>
      </c>
      <c r="BB44" s="1062"/>
      <c r="BC44" s="1063"/>
      <c r="BD44" s="1063"/>
      <c r="BF44" s="788"/>
      <c r="BG44" s="788"/>
      <c r="BH44" s="782"/>
      <c r="BI44" s="782"/>
      <c r="BJ44" s="783"/>
      <c r="BK44" s="783"/>
      <c r="BL44" s="1042"/>
      <c r="BN44" s="595"/>
      <c r="BO44" s="775"/>
      <c r="BP44" s="776"/>
      <c r="BQ44" s="801"/>
      <c r="BR44" s="637"/>
      <c r="BS44" s="782"/>
      <c r="BT44" s="782"/>
      <c r="BU44" s="783"/>
      <c r="BV44" s="783"/>
      <c r="BW44" s="1042"/>
      <c r="BY44" s="595"/>
      <c r="BZ44" s="775"/>
      <c r="CA44" s="776"/>
      <c r="CB44" s="801"/>
      <c r="CK44" s="650"/>
      <c r="CL44" s="595"/>
      <c r="CM44" s="775"/>
      <c r="CN44" s="776"/>
      <c r="CO44" s="637"/>
      <c r="CP44" s="637"/>
      <c r="CQ44" s="637"/>
      <c r="CR44" s="777"/>
      <c r="CS44" s="777"/>
      <c r="CT44" s="598"/>
      <c r="CU44" s="598"/>
      <c r="CV44" s="598"/>
    </row>
    <row r="45" spans="3:100" ht="28.5" customHeight="1" x14ac:dyDescent="0.3">
      <c r="C45" s="620" t="s">
        <v>241</v>
      </c>
      <c r="D45" s="621" t="s">
        <v>38</v>
      </c>
      <c r="E45" s="622" t="s">
        <v>85</v>
      </c>
      <c r="F45" s="637">
        <f>(1/2)*'RESOLUSI STANDAR'!$K$7</f>
        <v>0.05</v>
      </c>
      <c r="G45" s="623">
        <f>SQRT(3)</f>
        <v>1.7320508075688772</v>
      </c>
      <c r="H45" s="623">
        <f>F45/G45</f>
        <v>2.8867513459481291E-2</v>
      </c>
      <c r="I45" s="624">
        <v>1</v>
      </c>
      <c r="J45" s="624">
        <v>50</v>
      </c>
      <c r="K45" s="625">
        <f>H45*I45</f>
        <v>2.8867513459481291E-2</v>
      </c>
      <c r="L45" s="625">
        <f>K45^2</f>
        <v>8.333333333333335E-4</v>
      </c>
      <c r="M45" s="625">
        <f>((K45)^4)/J45</f>
        <v>1.3888888888888894E-8</v>
      </c>
      <c r="O45" s="620" t="s">
        <v>241</v>
      </c>
      <c r="P45" s="621" t="s">
        <v>38</v>
      </c>
      <c r="Q45" s="622" t="s">
        <v>85</v>
      </c>
      <c r="R45" s="637">
        <f>(1/2)*'RESOLUSI STANDAR'!$K$7</f>
        <v>0.05</v>
      </c>
      <c r="S45" s="623">
        <f>SQRT(3)</f>
        <v>1.7320508075688772</v>
      </c>
      <c r="T45" s="623">
        <f>R45/S45</f>
        <v>2.8867513459481291E-2</v>
      </c>
      <c r="U45" s="624">
        <v>1</v>
      </c>
      <c r="V45" s="624">
        <v>50</v>
      </c>
      <c r="W45" s="625">
        <f>T45*U45</f>
        <v>2.8867513459481291E-2</v>
      </c>
      <c r="X45" s="625">
        <f>W45^2</f>
        <v>8.333333333333335E-4</v>
      </c>
      <c r="Y45" s="625">
        <f>((W45)^4)/V45</f>
        <v>1.3888888888888894E-8</v>
      </c>
      <c r="AA45" s="626"/>
      <c r="AB45" s="627"/>
      <c r="AC45" s="628"/>
      <c r="AD45" s="638"/>
      <c r="AE45" s="629"/>
      <c r="AF45" s="635"/>
      <c r="AG45" s="630"/>
      <c r="AH45" s="630"/>
      <c r="AI45" s="631"/>
      <c r="AJ45" s="631"/>
      <c r="AK45" s="631"/>
      <c r="AL45" s="601"/>
      <c r="AM45" s="626"/>
      <c r="AN45" s="627"/>
      <c r="AO45" s="628"/>
      <c r="AP45" s="638"/>
      <c r="AQ45" s="629"/>
      <c r="AR45" s="635"/>
      <c r="AS45" s="630"/>
      <c r="AT45" s="630"/>
      <c r="AU45" s="631"/>
      <c r="AV45" s="631"/>
      <c r="AW45" s="631"/>
      <c r="BB45" s="780"/>
      <c r="BC45" s="780"/>
      <c r="BD45" s="779"/>
      <c r="BE45" s="779"/>
      <c r="BF45" s="781"/>
      <c r="BG45" s="781"/>
      <c r="BH45" s="782"/>
      <c r="BI45" s="782"/>
      <c r="BJ45" s="783"/>
      <c r="BK45" s="783"/>
      <c r="BL45" s="1042"/>
      <c r="BN45" s="595"/>
      <c r="BO45" s="775"/>
      <c r="BP45" s="776"/>
      <c r="BQ45" s="801"/>
      <c r="BR45" s="637"/>
      <c r="BS45" s="782"/>
      <c r="BT45" s="782"/>
      <c r="BU45" s="783"/>
      <c r="BV45" s="783"/>
      <c r="BW45" s="1042"/>
      <c r="BY45" s="595"/>
      <c r="BZ45" s="775"/>
      <c r="CA45" s="776"/>
      <c r="CB45" s="801"/>
      <c r="CC45" s="779"/>
      <c r="CD45" s="781"/>
      <c r="CE45" s="781"/>
      <c r="CF45" s="782"/>
      <c r="CG45" s="782"/>
      <c r="CH45" s="783"/>
      <c r="CI45" s="783"/>
      <c r="CJ45" s="636"/>
      <c r="CK45" s="636"/>
      <c r="CL45" s="595"/>
      <c r="CM45" s="775"/>
      <c r="CN45" s="776"/>
      <c r="CO45" s="637"/>
      <c r="CP45" s="637"/>
      <c r="CQ45" s="637"/>
      <c r="CR45" s="777"/>
      <c r="CS45" s="777"/>
      <c r="CT45" s="598"/>
      <c r="CU45" s="598"/>
      <c r="CV45" s="598"/>
    </row>
    <row r="46" spans="3:100" ht="31.2" x14ac:dyDescent="0.3">
      <c r="C46" s="620" t="s">
        <v>51</v>
      </c>
      <c r="D46" s="621" t="s">
        <v>38</v>
      </c>
      <c r="E46" s="622" t="s">
        <v>85</v>
      </c>
      <c r="F46" s="1058">
        <f>'INTERPOLASI  '!BI20</f>
        <v>0.08</v>
      </c>
      <c r="G46" s="623">
        <f>SQRT(3)</f>
        <v>1.7320508075688772</v>
      </c>
      <c r="H46" s="623">
        <f>F46/G46</f>
        <v>4.6188021535170064E-2</v>
      </c>
      <c r="I46" s="624">
        <v>1</v>
      </c>
      <c r="J46" s="624">
        <v>50</v>
      </c>
      <c r="K46" s="625">
        <f>H46*I46</f>
        <v>4.6188021535170064E-2</v>
      </c>
      <c r="L46" s="625">
        <f>K46^2</f>
        <v>2.1333333333333334E-3</v>
      </c>
      <c r="M46" s="625">
        <f>((K46)^4)/J46</f>
        <v>9.1022222222222234E-8</v>
      </c>
      <c r="O46" s="620" t="s">
        <v>51</v>
      </c>
      <c r="P46" s="621" t="s">
        <v>38</v>
      </c>
      <c r="Q46" s="622" t="s">
        <v>85</v>
      </c>
      <c r="R46" s="1058">
        <f>'INTERPOLASI  '!BI23</f>
        <v>0.2</v>
      </c>
      <c r="S46" s="623">
        <f>SQRT(3)</f>
        <v>1.7320508075688772</v>
      </c>
      <c r="T46" s="623">
        <f>R46/S46</f>
        <v>0.11547005383792516</v>
      </c>
      <c r="U46" s="624">
        <v>1</v>
      </c>
      <c r="V46" s="624">
        <v>50</v>
      </c>
      <c r="W46" s="625">
        <f>T46*U46</f>
        <v>0.11547005383792516</v>
      </c>
      <c r="X46" s="625">
        <f>W46^2</f>
        <v>1.3333333333333336E-2</v>
      </c>
      <c r="Y46" s="625">
        <f>((W46)^4)/V46</f>
        <v>3.5555555555555568E-6</v>
      </c>
      <c r="AA46" s="626" t="s">
        <v>51</v>
      </c>
      <c r="AB46" s="627" t="s">
        <v>38</v>
      </c>
      <c r="AC46" s="628" t="s">
        <v>85</v>
      </c>
      <c r="AD46" s="633">
        <v>0</v>
      </c>
      <c r="AE46" s="629">
        <v>1.7320508075688772</v>
      </c>
      <c r="AF46" s="629">
        <f>0/1.7321</f>
        <v>0</v>
      </c>
      <c r="AG46" s="630">
        <v>1</v>
      </c>
      <c r="AH46" s="630">
        <v>50</v>
      </c>
      <c r="AI46" s="631">
        <f>(0*1)</f>
        <v>0</v>
      </c>
      <c r="AJ46" s="631">
        <f>(0*1)^2</f>
        <v>0</v>
      </c>
      <c r="AK46" s="632">
        <f>((0*1)^4)/50</f>
        <v>0</v>
      </c>
      <c r="AL46" s="601"/>
      <c r="AM46" s="626" t="s">
        <v>51</v>
      </c>
      <c r="AN46" s="627" t="s">
        <v>38</v>
      </c>
      <c r="AO46" s="628" t="s">
        <v>85</v>
      </c>
      <c r="AP46" s="633">
        <v>5.0399999999997336E-2</v>
      </c>
      <c r="AQ46" s="629">
        <v>1.7320508075688772</v>
      </c>
      <c r="AR46" s="629">
        <f>AP46/AQ46</f>
        <v>2.9098453567155604E-2</v>
      </c>
      <c r="AS46" s="630">
        <v>1</v>
      </c>
      <c r="AT46" s="630">
        <v>50</v>
      </c>
      <c r="AU46" s="631">
        <f>AR46*AS46</f>
        <v>2.9098453567155604E-2</v>
      </c>
      <c r="AV46" s="631">
        <f>AU46^2</f>
        <v>8.4671999999991069E-4</v>
      </c>
      <c r="AW46" s="631">
        <f>((AU46)^4)/AT46</f>
        <v>1.4338695167996975E-8</v>
      </c>
      <c r="BB46" s="1062"/>
      <c r="BC46" s="1063"/>
      <c r="BD46" s="1063"/>
      <c r="BF46" s="788"/>
      <c r="BG46" s="788"/>
      <c r="BH46" s="782">
        <f>F46</f>
        <v>0.08</v>
      </c>
      <c r="BI46" s="790" t="s">
        <v>559</v>
      </c>
      <c r="BJ46" s="1059"/>
      <c r="BK46" s="1059"/>
      <c r="BL46" s="1040">
        <f>C40</f>
        <v>0</v>
      </c>
      <c r="BM46" s="791">
        <f>'INTERPOLASI  '!BG20</f>
        <v>50</v>
      </c>
      <c r="BN46" s="795">
        <f>'INTERPOLASI  '!BE20</f>
        <v>0.1</v>
      </c>
      <c r="BO46" s="793">
        <f>'INTERPOLASI  '!BH20</f>
        <v>100</v>
      </c>
      <c r="BP46" s="795">
        <f>'INTERPOLASI  '!BF20</f>
        <v>0.05</v>
      </c>
      <c r="BQ46" s="802">
        <f>((((BP46-BN46)*(BL46-BM46)))/(BO46-BM46))+BN46</f>
        <v>0.15000000000000002</v>
      </c>
      <c r="BR46" s="637"/>
      <c r="BS46" s="782">
        <f>R46</f>
        <v>0.2</v>
      </c>
      <c r="BT46" s="790" t="s">
        <v>559</v>
      </c>
      <c r="BU46" s="1059"/>
      <c r="BV46" s="1059"/>
      <c r="BW46" s="1040">
        <f>O40</f>
        <v>0</v>
      </c>
      <c r="BX46" s="791">
        <f>'INTERPOLASI  '!BG23</f>
        <v>150</v>
      </c>
      <c r="BY46" s="795">
        <f>'INTERPOLASI  '!BE23</f>
        <v>0.2</v>
      </c>
      <c r="BZ46" s="793">
        <f>'INTERPOLASI  '!BH23</f>
        <v>200</v>
      </c>
      <c r="CA46" s="795">
        <f>'INTERPOLASI  '!BF23</f>
        <v>0.2</v>
      </c>
      <c r="CB46" s="802">
        <f>((((CA46-BY46)*(BW46-BX46)))/(BZ46-BX46))+BY46</f>
        <v>0.2</v>
      </c>
      <c r="CK46" s="650"/>
      <c r="CL46" s="595"/>
      <c r="CM46" s="775"/>
      <c r="CN46" s="776"/>
      <c r="CO46" s="779"/>
      <c r="CP46" s="637"/>
      <c r="CQ46" s="637"/>
      <c r="CR46" s="777"/>
      <c r="CS46" s="777"/>
      <c r="CT46" s="598"/>
      <c r="CU46" s="598"/>
      <c r="CV46" s="598"/>
    </row>
    <row r="47" spans="3:100" x14ac:dyDescent="0.3">
      <c r="C47" s="639"/>
      <c r="D47" s="639"/>
      <c r="E47" s="639"/>
      <c r="F47" s="639"/>
      <c r="G47" s="1050" t="s">
        <v>84</v>
      </c>
      <c r="H47" s="1051"/>
      <c r="I47" s="1051"/>
      <c r="J47" s="1051"/>
      <c r="K47" s="1052"/>
      <c r="L47" s="640">
        <f>SUM(L42:L46)</f>
        <v>9.6300000000000024E-2</v>
      </c>
      <c r="M47" s="640">
        <f>SUM(M42:M46)</f>
        <v>8.8993800000000036E-5</v>
      </c>
      <c r="O47" s="639"/>
      <c r="P47" s="639"/>
      <c r="Q47" s="639"/>
      <c r="R47" s="639"/>
      <c r="S47" s="1050" t="s">
        <v>84</v>
      </c>
      <c r="T47" s="1051"/>
      <c r="U47" s="1051"/>
      <c r="V47" s="1051"/>
      <c r="W47" s="1052"/>
      <c r="X47" s="640">
        <f>SUM(X42:X46)</f>
        <v>0.10750000000000003</v>
      </c>
      <c r="Y47" s="640">
        <f>SUM(Y42:Y46)</f>
        <v>9.2458333333333363E-5</v>
      </c>
      <c r="AA47" s="641"/>
      <c r="AB47" s="641"/>
      <c r="AC47" s="641"/>
      <c r="AD47" s="641"/>
      <c r="AE47" s="1047" t="s">
        <v>84</v>
      </c>
      <c r="AF47" s="1048"/>
      <c r="AG47" s="1048"/>
      <c r="AH47" s="1048"/>
      <c r="AI47" s="1049"/>
      <c r="AJ47" s="643">
        <f>SUM(AJ42:AJ46)</f>
        <v>6.3330303994154555E-2</v>
      </c>
      <c r="AK47" s="642">
        <f>SUM(AK42:AK46)</f>
        <v>5.8882426482178738E-5</v>
      </c>
      <c r="AL47" s="601"/>
      <c r="AM47" s="641"/>
      <c r="AN47" s="641"/>
      <c r="AO47" s="641"/>
      <c r="AP47" s="641"/>
      <c r="AQ47" s="1047" t="s">
        <v>84</v>
      </c>
      <c r="AR47" s="1048"/>
      <c r="AS47" s="1048"/>
      <c r="AT47" s="1048"/>
      <c r="AU47" s="1049"/>
      <c r="AV47" s="643">
        <f>SUM(AV42:AV46)</f>
        <v>0.14466069333333323</v>
      </c>
      <c r="AW47" s="643">
        <f>SUM(AW42:AW46)</f>
        <v>2.206381518802488E-4</v>
      </c>
      <c r="BB47" s="1062"/>
      <c r="BC47" s="1063"/>
      <c r="BD47" s="1063"/>
      <c r="BF47" s="788"/>
      <c r="BG47" s="788"/>
      <c r="BH47" s="788"/>
      <c r="BI47" s="789"/>
      <c r="BJ47" s="789"/>
      <c r="BK47" s="789"/>
      <c r="BL47" s="789"/>
      <c r="BN47" s="595"/>
      <c r="BO47" s="595"/>
      <c r="BP47" s="595"/>
      <c r="BQ47" s="803"/>
      <c r="BR47" s="596"/>
      <c r="BS47" s="596"/>
      <c r="BT47" s="596"/>
      <c r="BU47" s="596"/>
      <c r="BV47" s="596"/>
      <c r="BW47" s="597"/>
      <c r="BX47" s="597"/>
      <c r="CK47" s="650"/>
      <c r="CL47" s="595"/>
      <c r="CM47" s="595"/>
      <c r="CN47" s="595"/>
      <c r="CO47" s="595"/>
      <c r="CP47" s="596"/>
      <c r="CQ47" s="596"/>
      <c r="CR47" s="596"/>
      <c r="CS47" s="596"/>
      <c r="CT47" s="596"/>
      <c r="CU47" s="597"/>
      <c r="CV47" s="597"/>
    </row>
    <row r="48" spans="3:100" ht="18.75" customHeight="1" x14ac:dyDescent="0.4">
      <c r="C48" s="595"/>
      <c r="D48" s="595"/>
      <c r="E48" s="595"/>
      <c r="F48" s="595"/>
      <c r="G48" s="1313" t="s">
        <v>119</v>
      </c>
      <c r="H48" s="1314"/>
      <c r="I48" s="1314"/>
      <c r="J48" s="1314"/>
      <c r="K48" s="1315"/>
      <c r="L48" s="640">
        <f>SQRT(L47)</f>
        <v>0.31032241298365804</v>
      </c>
      <c r="M48" s="625"/>
      <c r="O48" s="595"/>
      <c r="P48" s="595"/>
      <c r="Q48" s="595"/>
      <c r="R48" s="595"/>
      <c r="S48" s="1313" t="s">
        <v>119</v>
      </c>
      <c r="T48" s="1314"/>
      <c r="U48" s="1314"/>
      <c r="V48" s="1314"/>
      <c r="W48" s="1315"/>
      <c r="X48" s="640">
        <f>SQRT(X47)</f>
        <v>0.32787192621510008</v>
      </c>
      <c r="Y48" s="625"/>
      <c r="AA48" s="644" t="s">
        <v>48</v>
      </c>
      <c r="AB48" s="644" t="s">
        <v>194</v>
      </c>
      <c r="AC48" s="605"/>
      <c r="AD48" s="605"/>
      <c r="AE48" s="1310" t="s">
        <v>224</v>
      </c>
      <c r="AF48" s="1311"/>
      <c r="AG48" s="1311"/>
      <c r="AH48" s="1311"/>
      <c r="AI48" s="1312"/>
      <c r="AJ48" s="643">
        <f>SQRT(AJ47)</f>
        <v>0.25165512908374144</v>
      </c>
      <c r="AK48" s="632"/>
      <c r="AL48" s="601"/>
      <c r="AM48" s="605"/>
      <c r="AN48" s="605"/>
      <c r="AO48" s="605"/>
      <c r="AP48" s="605"/>
      <c r="AQ48" s="1310" t="s">
        <v>224</v>
      </c>
      <c r="AR48" s="1311"/>
      <c r="AS48" s="1311"/>
      <c r="AT48" s="1311"/>
      <c r="AU48" s="1312"/>
      <c r="AV48" s="643">
        <f>SQRT(AV47)</f>
        <v>0.3803428628663002</v>
      </c>
      <c r="AW48" s="631"/>
      <c r="BB48" s="1062"/>
      <c r="BC48" s="1063"/>
      <c r="BD48" s="1063"/>
      <c r="BN48" s="595"/>
      <c r="BO48" s="595"/>
      <c r="BP48" s="595"/>
      <c r="BQ48" s="803"/>
      <c r="BR48" s="1306"/>
      <c r="BS48" s="1306"/>
      <c r="BT48" s="1306"/>
      <c r="BU48" s="1306"/>
      <c r="BV48" s="1306"/>
      <c r="BW48" s="597"/>
      <c r="BX48" s="598"/>
      <c r="CL48" s="595"/>
      <c r="CM48" s="595"/>
      <c r="CN48" s="595"/>
      <c r="CO48" s="595"/>
      <c r="CP48" s="1306"/>
      <c r="CQ48" s="1306"/>
      <c r="CR48" s="1306"/>
      <c r="CS48" s="1306"/>
      <c r="CT48" s="1306"/>
      <c r="CU48" s="597"/>
      <c r="CV48" s="598"/>
    </row>
    <row r="49" spans="3:100" ht="15.75" customHeight="1" x14ac:dyDescent="0.3">
      <c r="C49" s="595"/>
      <c r="D49" s="595"/>
      <c r="E49" s="595"/>
      <c r="F49" s="595"/>
      <c r="G49" s="1313" t="s">
        <v>89</v>
      </c>
      <c r="H49" s="1314"/>
      <c r="I49" s="1314"/>
      <c r="J49" s="1314"/>
      <c r="K49" s="1315"/>
      <c r="L49" s="640">
        <f>((L48)^4)/M47</f>
        <v>104.20602334095183</v>
      </c>
      <c r="M49" s="625"/>
      <c r="O49" s="595"/>
      <c r="P49" s="595"/>
      <c r="Q49" s="595"/>
      <c r="R49" s="595"/>
      <c r="S49" s="1313" t="s">
        <v>89</v>
      </c>
      <c r="T49" s="1314"/>
      <c r="U49" s="1314"/>
      <c r="V49" s="1314"/>
      <c r="W49" s="1315"/>
      <c r="X49" s="640">
        <f>((X48)^4)/Y47</f>
        <v>124.98873366381258</v>
      </c>
      <c r="Y49" s="625"/>
      <c r="AA49" s="1060">
        <v>100</v>
      </c>
      <c r="AB49" s="1061">
        <v>0.2</v>
      </c>
      <c r="AC49" s="605"/>
      <c r="AD49" s="605"/>
      <c r="AE49" s="1310" t="s">
        <v>89</v>
      </c>
      <c r="AF49" s="1311"/>
      <c r="AG49" s="1311"/>
      <c r="AH49" s="1311"/>
      <c r="AI49" s="1312"/>
      <c r="AJ49" s="643">
        <f>((AJ48)^4)/AK47</f>
        <v>68.114166545190031</v>
      </c>
      <c r="AK49" s="632"/>
      <c r="AL49" s="601"/>
      <c r="AM49" s="605"/>
      <c r="AN49" s="605"/>
      <c r="AO49" s="605"/>
      <c r="AP49" s="605"/>
      <c r="AQ49" s="1310" t="s">
        <v>89</v>
      </c>
      <c r="AR49" s="1311"/>
      <c r="AS49" s="1311"/>
      <c r="AT49" s="1311"/>
      <c r="AU49" s="1312"/>
      <c r="AV49" s="643">
        <f>((AV48)^4)/AW47</f>
        <v>94.846317453921756</v>
      </c>
      <c r="AW49" s="631"/>
      <c r="BB49" s="1062"/>
      <c r="BC49" s="1063"/>
      <c r="BD49" s="1063"/>
      <c r="BN49" s="595"/>
      <c r="BO49" s="595"/>
      <c r="BP49" s="595"/>
      <c r="BQ49" s="803"/>
      <c r="BR49" s="1306"/>
      <c r="BS49" s="1306"/>
      <c r="BT49" s="1306"/>
      <c r="BU49" s="1306"/>
      <c r="BV49" s="1306"/>
      <c r="BW49" s="597"/>
      <c r="BX49" s="598"/>
      <c r="CL49" s="595"/>
      <c r="CM49" s="595"/>
      <c r="CN49" s="595"/>
      <c r="CO49" s="595"/>
      <c r="CP49" s="1306"/>
      <c r="CQ49" s="1306"/>
      <c r="CR49" s="1306"/>
      <c r="CS49" s="1306"/>
      <c r="CT49" s="1306"/>
      <c r="CU49" s="597"/>
      <c r="CV49" s="598"/>
    </row>
    <row r="50" spans="3:100" ht="15.75" customHeight="1" x14ac:dyDescent="0.3">
      <c r="C50" s="595"/>
      <c r="D50" s="595"/>
      <c r="E50" s="595"/>
      <c r="F50" s="595"/>
      <c r="G50" s="1313" t="s">
        <v>42</v>
      </c>
      <c r="H50" s="1314"/>
      <c r="I50" s="1314"/>
      <c r="J50" s="1314"/>
      <c r="K50" s="1315"/>
      <c r="L50" s="625">
        <f>TINV(0.05,L49)</f>
        <v>1.9830375264837292</v>
      </c>
      <c r="M50" s="625"/>
      <c r="O50" s="595"/>
      <c r="P50" s="595"/>
      <c r="Q50" s="595"/>
      <c r="R50" s="595"/>
      <c r="S50" s="1313" t="s">
        <v>42</v>
      </c>
      <c r="T50" s="1314"/>
      <c r="U50" s="1314"/>
      <c r="V50" s="1314"/>
      <c r="W50" s="1315"/>
      <c r="X50" s="625">
        <f>TINV(0.05,X49)</f>
        <v>1.9792801166048588</v>
      </c>
      <c r="Y50" s="625"/>
      <c r="AA50" s="1060">
        <v>150</v>
      </c>
      <c r="AB50" s="1061">
        <v>0.2</v>
      </c>
      <c r="AC50" s="605"/>
      <c r="AD50" s="605"/>
      <c r="AE50" s="1310" t="s">
        <v>42</v>
      </c>
      <c r="AF50" s="1311"/>
      <c r="AG50" s="1311"/>
      <c r="AH50" s="1311"/>
      <c r="AI50" s="1312"/>
      <c r="AJ50" s="631">
        <f>TINV(0.05,AJ49)</f>
        <v>1.9954689314298424</v>
      </c>
      <c r="AK50" s="632"/>
      <c r="AL50" s="601"/>
      <c r="AM50" s="605"/>
      <c r="AN50" s="605"/>
      <c r="AO50" s="605"/>
      <c r="AP50" s="605"/>
      <c r="AQ50" s="1310" t="s">
        <v>42</v>
      </c>
      <c r="AR50" s="1311"/>
      <c r="AS50" s="1311"/>
      <c r="AT50" s="1311"/>
      <c r="AU50" s="1312"/>
      <c r="AV50" s="631">
        <f>TINV(0.05,AV49)</f>
        <v>1.9855234418666059</v>
      </c>
      <c r="AW50" s="631"/>
      <c r="BN50" s="595"/>
      <c r="BO50" s="595"/>
      <c r="BP50" s="595"/>
      <c r="BQ50" s="803"/>
      <c r="BR50" s="1306"/>
      <c r="BS50" s="1306"/>
      <c r="BT50" s="1306"/>
      <c r="BU50" s="1306"/>
      <c r="BV50" s="1306"/>
      <c r="BW50" s="598"/>
      <c r="BX50" s="598"/>
      <c r="CL50" s="595"/>
      <c r="CM50" s="595"/>
      <c r="CN50" s="595"/>
      <c r="CO50" s="595"/>
      <c r="CP50" s="1306"/>
      <c r="CQ50" s="1306"/>
      <c r="CR50" s="1306"/>
      <c r="CS50" s="1306"/>
      <c r="CT50" s="1306"/>
      <c r="CU50" s="598"/>
      <c r="CV50" s="598"/>
    </row>
    <row r="51" spans="3:100" ht="15.75" customHeight="1" x14ac:dyDescent="0.3">
      <c r="C51" s="595"/>
      <c r="D51" s="595"/>
      <c r="E51" s="595"/>
      <c r="F51" s="595"/>
      <c r="G51" s="1313" t="s">
        <v>120</v>
      </c>
      <c r="H51" s="1314"/>
      <c r="I51" s="1314"/>
      <c r="J51" s="1314"/>
      <c r="K51" s="1315"/>
      <c r="L51" s="645">
        <f>L50*L48</f>
        <v>0.61538099025557558</v>
      </c>
      <c r="M51" s="625"/>
      <c r="O51" s="595"/>
      <c r="P51" s="595"/>
      <c r="Q51" s="595"/>
      <c r="R51" s="595"/>
      <c r="S51" s="1313" t="s">
        <v>120</v>
      </c>
      <c r="T51" s="1314"/>
      <c r="U51" s="1314"/>
      <c r="V51" s="1314"/>
      <c r="W51" s="1315"/>
      <c r="X51" s="645">
        <f>X50*X48</f>
        <v>0.64895038435048291</v>
      </c>
      <c r="Y51" s="625"/>
      <c r="AA51" s="605"/>
      <c r="AB51" s="605"/>
      <c r="AC51" s="605"/>
      <c r="AD51" s="605"/>
      <c r="AE51" s="1310" t="s">
        <v>225</v>
      </c>
      <c r="AF51" s="1311"/>
      <c r="AG51" s="1311"/>
      <c r="AH51" s="1311"/>
      <c r="AI51" s="1312"/>
      <c r="AJ51" s="646">
        <f>AJ50*AJ48</f>
        <v>0.5021699915215726</v>
      </c>
      <c r="AK51" s="632"/>
      <c r="AL51" s="601"/>
      <c r="AM51" s="605"/>
      <c r="AN51" s="605"/>
      <c r="AO51" s="605"/>
      <c r="AP51" s="605"/>
      <c r="AQ51" s="1310" t="s">
        <v>225</v>
      </c>
      <c r="AR51" s="1311"/>
      <c r="AS51" s="1311"/>
      <c r="AT51" s="1311"/>
      <c r="AU51" s="1312"/>
      <c r="AV51" s="646">
        <f>AV50*AV48</f>
        <v>0.75517967016769483</v>
      </c>
      <c r="AW51" s="631"/>
      <c r="BN51" s="595"/>
      <c r="BO51" s="595"/>
      <c r="BP51" s="595"/>
      <c r="BQ51" s="803"/>
      <c r="BR51" s="1306"/>
      <c r="BS51" s="1306"/>
      <c r="BT51" s="1306"/>
      <c r="BU51" s="1306"/>
      <c r="BV51" s="1306"/>
      <c r="BW51" s="785"/>
      <c r="BX51" s="598"/>
      <c r="CL51" s="595"/>
      <c r="CM51" s="595"/>
      <c r="CN51" s="595"/>
      <c r="CO51" s="595"/>
      <c r="CP51" s="1306"/>
      <c r="CQ51" s="1306"/>
      <c r="CR51" s="1306"/>
      <c r="CS51" s="1306"/>
      <c r="CT51" s="1306"/>
      <c r="CU51" s="785"/>
      <c r="CV51" s="598"/>
    </row>
  </sheetData>
  <mergeCells count="85">
    <mergeCell ref="CP34:CT34"/>
    <mergeCell ref="BR35:BV35"/>
    <mergeCell ref="CP35:CT35"/>
    <mergeCell ref="BR36:BV36"/>
    <mergeCell ref="CP36:CT36"/>
    <mergeCell ref="CU4:CV4"/>
    <mergeCell ref="BN5:CT5"/>
    <mergeCell ref="CP18:CT18"/>
    <mergeCell ref="CP19:CT19"/>
    <mergeCell ref="BN4:CT4"/>
    <mergeCell ref="S50:W50"/>
    <mergeCell ref="S51:W51"/>
    <mergeCell ref="S36:W36"/>
    <mergeCell ref="S48:W48"/>
    <mergeCell ref="X4:Y4"/>
    <mergeCell ref="C4:W4"/>
    <mergeCell ref="C5:W5"/>
    <mergeCell ref="S34:W34"/>
    <mergeCell ref="S35:W35"/>
    <mergeCell ref="G35:K35"/>
    <mergeCell ref="S49:W49"/>
    <mergeCell ref="S18:W18"/>
    <mergeCell ref="S19:W19"/>
    <mergeCell ref="S20:W20"/>
    <mergeCell ref="S21:W21"/>
    <mergeCell ref="S33:W33"/>
    <mergeCell ref="G18:K18"/>
    <mergeCell ref="G50:K50"/>
    <mergeCell ref="G51:K51"/>
    <mergeCell ref="G21:K21"/>
    <mergeCell ref="G33:K33"/>
    <mergeCell ref="G34:K34"/>
    <mergeCell ref="G36:K36"/>
    <mergeCell ref="G19:K19"/>
    <mergeCell ref="G20:K20"/>
    <mergeCell ref="G48:K48"/>
    <mergeCell ref="G49:K49"/>
    <mergeCell ref="AE51:AI51"/>
    <mergeCell ref="AQ51:AU51"/>
    <mergeCell ref="AE35:AI35"/>
    <mergeCell ref="AQ35:AU35"/>
    <mergeCell ref="AE36:AI36"/>
    <mergeCell ref="AQ36:AU36"/>
    <mergeCell ref="AE48:AI48"/>
    <mergeCell ref="AQ48:AU48"/>
    <mergeCell ref="AE49:AI49"/>
    <mergeCell ref="AQ49:AU49"/>
    <mergeCell ref="AE50:AI50"/>
    <mergeCell ref="AQ50:AU50"/>
    <mergeCell ref="AE33:AI33"/>
    <mergeCell ref="AQ33:AU33"/>
    <mergeCell ref="AE34:AI34"/>
    <mergeCell ref="AQ34:AU34"/>
    <mergeCell ref="AE19:AI19"/>
    <mergeCell ref="AQ19:AU19"/>
    <mergeCell ref="AE20:AI20"/>
    <mergeCell ref="AQ20:AU20"/>
    <mergeCell ref="AA5:AW5"/>
    <mergeCell ref="AE18:AI18"/>
    <mergeCell ref="AQ18:AU18"/>
    <mergeCell ref="CP21:CT21"/>
    <mergeCell ref="AE21:AI21"/>
    <mergeCell ref="AQ21:AU21"/>
    <mergeCell ref="BB11:BC12"/>
    <mergeCell ref="BD11:BE12"/>
    <mergeCell ref="BF11:BG12"/>
    <mergeCell ref="BH11:BI12"/>
    <mergeCell ref="BJ11:BK12"/>
    <mergeCell ref="CP20:CT20"/>
    <mergeCell ref="BR50:BV50"/>
    <mergeCell ref="CP50:CT50"/>
    <mergeCell ref="BR51:BV51"/>
    <mergeCell ref="CP51:CT51"/>
    <mergeCell ref="BZ11:CA12"/>
    <mergeCell ref="CB11:CC12"/>
    <mergeCell ref="CD11:CE12"/>
    <mergeCell ref="CF11:CG12"/>
    <mergeCell ref="CH11:CI12"/>
    <mergeCell ref="BR48:BV48"/>
    <mergeCell ref="CP48:CT48"/>
    <mergeCell ref="BR49:BV49"/>
    <mergeCell ref="CP49:CT49"/>
    <mergeCell ref="BR33:BV33"/>
    <mergeCell ref="CP33:CT33"/>
    <mergeCell ref="BR34:BV34"/>
  </mergeCells>
  <phoneticPr fontId="6" type="noConversion"/>
  <printOptions horizontalCentered="1"/>
  <pageMargins left="0.19685039370078741" right="0.23622047244094491" top="0.19685039370078741" bottom="0.15748031496062992" header="0.19685039370078741" footer="0.19685039370078741"/>
  <pageSetup paperSize="9" scale="55" orientation="landscape" horizontalDpi="4294967294" r:id="rId1"/>
  <headerFooter>
    <oddFooter>&amp;R&amp;8&amp;K00-014Software Spygmomanometer 2018</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B4:DM91"/>
  <sheetViews>
    <sheetView view="pageBreakPreview" topLeftCell="A4" zoomScale="70" zoomScaleNormal="100" zoomScaleSheetLayoutView="70" workbookViewId="0">
      <pane xSplit="6" topLeftCell="R1" activePane="topRight" state="frozen"/>
      <selection pane="topRight" activeCell="S23" sqref="S23"/>
    </sheetView>
  </sheetViews>
  <sheetFormatPr defaultColWidth="9.21875" defaultRowHeight="15.6" x14ac:dyDescent="0.3"/>
  <cols>
    <col min="1" max="1" width="3.21875" style="588" customWidth="1"/>
    <col min="2" max="2" width="10.21875" style="588" customWidth="1"/>
    <col min="3" max="3" width="13.77734375" style="588" customWidth="1"/>
    <col min="4" max="4" width="7.21875" style="588" customWidth="1"/>
    <col min="5" max="5" width="12.44140625" style="588" customWidth="1"/>
    <col min="6" max="6" width="8.77734375" style="588" bestFit="1" customWidth="1"/>
    <col min="7" max="7" width="9.44140625" style="588" customWidth="1"/>
    <col min="8" max="8" width="10.21875" style="588" customWidth="1"/>
    <col min="9" max="9" width="4.77734375" style="588" customWidth="1"/>
    <col min="10" max="10" width="6.21875" style="588" customWidth="1"/>
    <col min="11" max="11" width="13.77734375" style="588" customWidth="1"/>
    <col min="12" max="12" width="18.77734375" style="588" customWidth="1"/>
    <col min="13" max="13" width="14.77734375" style="588" customWidth="1"/>
    <col min="14" max="14" width="1.77734375" style="588" customWidth="1"/>
    <col min="15" max="15" width="13.21875" style="588" customWidth="1"/>
    <col min="16" max="16" width="7.44140625" style="588" customWidth="1"/>
    <col min="17" max="17" width="13" style="588" customWidth="1"/>
    <col min="18" max="20" width="9.21875" style="588"/>
    <col min="21" max="22" width="6" style="588" customWidth="1"/>
    <col min="23" max="23" width="16.77734375" style="588" customWidth="1"/>
    <col min="24" max="24" width="17.21875" style="588" customWidth="1"/>
    <col min="25" max="25" width="14.21875" style="588" customWidth="1"/>
    <col min="26" max="26" width="0" style="588" hidden="1" customWidth="1"/>
    <col min="27" max="27" width="13.77734375" style="588" hidden="1" customWidth="1"/>
    <col min="28" max="28" width="7.21875" style="588" hidden="1" customWidth="1"/>
    <col min="29" max="29" width="12.44140625" style="588" hidden="1" customWidth="1"/>
    <col min="30" max="30" width="7.77734375" style="588" hidden="1" customWidth="1"/>
    <col min="31" max="31" width="9.44140625" style="588" hidden="1" customWidth="1"/>
    <col min="32" max="32" width="10.21875" style="588" hidden="1" customWidth="1"/>
    <col min="33" max="33" width="4.77734375" style="588" hidden="1" customWidth="1"/>
    <col min="34" max="34" width="6.21875" style="588" hidden="1" customWidth="1"/>
    <col min="35" max="35" width="15.21875" style="588" hidden="1" customWidth="1"/>
    <col min="36" max="36" width="17.77734375" style="588" hidden="1" customWidth="1"/>
    <col min="37" max="37" width="20.21875" style="588" hidden="1" customWidth="1"/>
    <col min="38" max="38" width="1.77734375" style="588" hidden="1" customWidth="1"/>
    <col min="39" max="39" width="13.21875" style="588" hidden="1" customWidth="1"/>
    <col min="40" max="40" width="7.44140625" style="588" hidden="1" customWidth="1"/>
    <col min="41" max="41" width="13" style="588" hidden="1" customWidth="1"/>
    <col min="42" max="44" width="0" style="588" hidden="1" customWidth="1"/>
    <col min="45" max="46" width="6" style="588" hidden="1" customWidth="1"/>
    <col min="47" max="47" width="16.77734375" style="588" hidden="1" customWidth="1"/>
    <col min="48" max="48" width="15.5546875" style="588" hidden="1" customWidth="1"/>
    <col min="49" max="49" width="14.21875" style="588" hidden="1" customWidth="1"/>
    <col min="50" max="60" width="9.21875" style="588"/>
    <col min="61" max="61" width="19.44140625" style="588" customWidth="1"/>
    <col min="62" max="63" width="9.21875" style="588"/>
    <col min="64" max="64" width="33.44140625" style="588" customWidth="1"/>
    <col min="65" max="65" width="17.21875" style="588" customWidth="1"/>
    <col min="66" max="66" width="9.21875" style="588"/>
    <col min="67" max="67" width="15.77734375" style="588" customWidth="1"/>
    <col min="68" max="68" width="9.21875" style="588"/>
    <col min="69" max="69" width="33.44140625" style="588" customWidth="1"/>
    <col min="70" max="71" width="9.21875" style="588"/>
    <col min="72" max="72" width="23.5546875" style="588" customWidth="1"/>
    <col min="73" max="73" width="15.77734375" style="588" customWidth="1"/>
    <col min="74" max="74" width="18.44140625" style="588" customWidth="1"/>
    <col min="75" max="75" width="33.44140625" style="588" customWidth="1"/>
    <col min="76" max="79" width="9.21875" style="588"/>
    <col min="80" max="80" width="33.44140625" style="588" customWidth="1"/>
    <col min="81" max="90" width="9.21875" style="588"/>
    <col min="91" max="91" width="15.21875" style="588" customWidth="1"/>
    <col min="92" max="92" width="9.21875" style="588"/>
    <col min="93" max="93" width="13.44140625" style="588" customWidth="1"/>
    <col min="94" max="98" width="9.21875" style="588"/>
    <col min="99" max="101" width="16.77734375" style="588" customWidth="1"/>
    <col min="102" max="16384" width="9.21875" style="588"/>
  </cols>
  <sheetData>
    <row r="4" spans="2:117" ht="18" x14ac:dyDescent="0.35">
      <c r="C4" s="1317" t="s">
        <v>167</v>
      </c>
      <c r="D4" s="1317"/>
      <c r="E4" s="1317"/>
      <c r="F4" s="1317"/>
      <c r="G4" s="1317"/>
      <c r="H4" s="1317"/>
      <c r="I4" s="1317"/>
      <c r="J4" s="1317"/>
      <c r="K4" s="1317"/>
      <c r="L4" s="1317"/>
      <c r="M4" s="1317"/>
      <c r="N4" s="1317"/>
      <c r="O4" s="1317"/>
      <c r="P4" s="1317"/>
      <c r="Q4" s="1317"/>
      <c r="R4" s="1317"/>
      <c r="S4" s="1317"/>
      <c r="T4" s="1317"/>
      <c r="U4" s="1317"/>
      <c r="V4" s="1317"/>
      <c r="W4" s="1317"/>
      <c r="X4" s="1316" t="s">
        <v>564</v>
      </c>
      <c r="Y4" s="1316"/>
      <c r="Z4" s="1057"/>
      <c r="AA4" s="1309" t="s">
        <v>226</v>
      </c>
      <c r="AB4" s="1309"/>
      <c r="AC4" s="1309"/>
      <c r="AD4" s="1309"/>
      <c r="AE4" s="1309"/>
      <c r="AF4" s="1309"/>
      <c r="AG4" s="1309"/>
      <c r="AH4" s="1309"/>
      <c r="AI4" s="1309"/>
      <c r="AJ4" s="1309"/>
      <c r="AK4" s="1309"/>
      <c r="AL4" s="1309"/>
      <c r="AM4" s="1309"/>
      <c r="AN4" s="1309"/>
      <c r="AO4" s="1309"/>
      <c r="AP4" s="1309"/>
      <c r="AQ4" s="1309"/>
      <c r="AR4" s="1309"/>
      <c r="AS4" s="1309"/>
      <c r="AT4" s="1309"/>
      <c r="AU4" s="1309"/>
      <c r="AV4" s="1309"/>
      <c r="AW4" s="1309"/>
    </row>
    <row r="5" spans="2:117" ht="17.399999999999999" x14ac:dyDescent="0.35">
      <c r="C5" s="1318" t="str">
        <f>ID!D2&amp;" "&amp;ID!I2</f>
        <v>Nomor Surat Keterangan : 44 / M - 11 / II - 21 / E - 035.66 DL</v>
      </c>
      <c r="D5" s="1318"/>
      <c r="E5" s="1318"/>
      <c r="F5" s="1318"/>
      <c r="G5" s="1318"/>
      <c r="H5" s="1318"/>
      <c r="I5" s="1318"/>
      <c r="J5" s="1318"/>
      <c r="K5" s="1318"/>
      <c r="L5" s="1318"/>
      <c r="M5" s="1318"/>
      <c r="N5" s="1318"/>
      <c r="O5" s="1318"/>
      <c r="P5" s="1318"/>
      <c r="Q5" s="1318"/>
      <c r="R5" s="1318"/>
      <c r="S5" s="1318"/>
      <c r="T5" s="1318"/>
      <c r="U5" s="1318"/>
      <c r="V5" s="1318"/>
      <c r="W5" s="1318"/>
      <c r="X5" s="590"/>
    </row>
    <row r="6" spans="2:117" ht="1.5" customHeight="1" x14ac:dyDescent="0.3"/>
    <row r="7" spans="2:117" ht="1.5" customHeight="1" x14ac:dyDescent="0.3"/>
    <row r="8" spans="2:117" ht="1.5" customHeight="1" x14ac:dyDescent="0.3"/>
    <row r="9" spans="2:117" ht="18.75" customHeight="1" x14ac:dyDescent="0.3">
      <c r="C9" s="591">
        <f>ID!A68</f>
        <v>0</v>
      </c>
      <c r="D9" s="592" t="str">
        <f>D10</f>
        <v>mmHg</v>
      </c>
      <c r="O9" s="593">
        <f>ID!A71</f>
        <v>100</v>
      </c>
      <c r="P9" s="594" t="str">
        <f>P10</f>
        <v>mmHg</v>
      </c>
      <c r="Q9" s="595"/>
      <c r="R9" s="595"/>
      <c r="S9" s="596"/>
      <c r="T9" s="596"/>
      <c r="U9" s="596"/>
      <c r="V9" s="596"/>
      <c r="W9" s="596"/>
      <c r="X9" s="597"/>
      <c r="Y9" s="598"/>
      <c r="AA9" s="599" t="e">
        <f>ID!#REF!</f>
        <v>#REF!</v>
      </c>
      <c r="AB9" s="600">
        <f>AB10</f>
        <v>0</v>
      </c>
      <c r="AC9" s="601"/>
      <c r="AD9" s="601"/>
      <c r="AE9" s="601"/>
      <c r="AF9" s="601"/>
      <c r="AG9" s="601"/>
      <c r="AH9" s="601"/>
      <c r="AI9" s="601"/>
      <c r="AJ9" s="601"/>
      <c r="AK9" s="602"/>
      <c r="AL9" s="601"/>
      <c r="AM9" s="603">
        <v>150</v>
      </c>
      <c r="AN9" s="604">
        <f>AN10</f>
        <v>0</v>
      </c>
      <c r="AO9" s="605"/>
      <c r="AP9" s="605"/>
      <c r="AQ9" s="606"/>
      <c r="AR9" s="606"/>
      <c r="AS9" s="606"/>
      <c r="AT9" s="606"/>
      <c r="AU9" s="606"/>
      <c r="AV9" s="607"/>
      <c r="AW9" s="608"/>
    </row>
    <row r="10" spans="2:117" ht="9" customHeight="1" x14ac:dyDescent="0.3">
      <c r="C10" s="611"/>
      <c r="D10" s="610" t="s">
        <v>38</v>
      </c>
      <c r="O10" s="611"/>
      <c r="P10" s="610" t="s">
        <v>38</v>
      </c>
      <c r="AA10" s="609"/>
      <c r="AB10" s="610"/>
      <c r="AC10" s="601"/>
      <c r="AD10" s="601"/>
      <c r="AE10" s="601"/>
      <c r="AF10" s="601"/>
      <c r="AG10" s="601"/>
      <c r="AH10" s="601"/>
      <c r="AI10" s="601"/>
      <c r="AJ10" s="601"/>
      <c r="AK10" s="602"/>
      <c r="AL10" s="601"/>
      <c r="AM10" s="611"/>
      <c r="AN10" s="612"/>
      <c r="AO10" s="601"/>
      <c r="AP10" s="601"/>
      <c r="AQ10" s="601"/>
      <c r="AR10" s="601"/>
      <c r="AS10" s="601"/>
      <c r="AT10" s="601"/>
      <c r="AU10" s="601"/>
      <c r="AV10" s="601"/>
      <c r="AW10" s="601"/>
    </row>
    <row r="11" spans="2:117" s="615" customFormat="1" ht="18.75" customHeight="1" x14ac:dyDescent="0.4">
      <c r="C11" s="613" t="s">
        <v>40</v>
      </c>
      <c r="D11" s="613" t="s">
        <v>41</v>
      </c>
      <c r="E11" s="613" t="s">
        <v>80</v>
      </c>
      <c r="F11" s="613" t="s">
        <v>79</v>
      </c>
      <c r="G11" s="613" t="s">
        <v>14</v>
      </c>
      <c r="H11" s="613" t="s">
        <v>113</v>
      </c>
      <c r="I11" s="613" t="s">
        <v>114</v>
      </c>
      <c r="J11" s="613" t="s">
        <v>115</v>
      </c>
      <c r="K11" s="613" t="s">
        <v>116</v>
      </c>
      <c r="L11" s="613" t="s">
        <v>117</v>
      </c>
      <c r="M11" s="614" t="s">
        <v>118</v>
      </c>
      <c r="O11" s="613" t="s">
        <v>40</v>
      </c>
      <c r="P11" s="613" t="s">
        <v>41</v>
      </c>
      <c r="Q11" s="613" t="s">
        <v>80</v>
      </c>
      <c r="R11" s="613" t="s">
        <v>79</v>
      </c>
      <c r="S11" s="613" t="s">
        <v>14</v>
      </c>
      <c r="T11" s="613" t="s">
        <v>113</v>
      </c>
      <c r="U11" s="613" t="s">
        <v>114</v>
      </c>
      <c r="V11" s="613" t="s">
        <v>115</v>
      </c>
      <c r="W11" s="613" t="s">
        <v>116</v>
      </c>
      <c r="X11" s="613" t="s">
        <v>117</v>
      </c>
      <c r="Y11" s="614" t="s">
        <v>118</v>
      </c>
      <c r="AA11" s="616" t="s">
        <v>40</v>
      </c>
      <c r="AB11" s="616" t="s">
        <v>41</v>
      </c>
      <c r="AC11" s="616" t="s">
        <v>80</v>
      </c>
      <c r="AD11" s="616" t="s">
        <v>79</v>
      </c>
      <c r="AE11" s="616" t="s">
        <v>14</v>
      </c>
      <c r="AF11" s="616" t="s">
        <v>218</v>
      </c>
      <c r="AG11" s="616" t="s">
        <v>219</v>
      </c>
      <c r="AH11" s="616" t="s">
        <v>220</v>
      </c>
      <c r="AI11" s="616" t="s">
        <v>221</v>
      </c>
      <c r="AJ11" s="616" t="s">
        <v>222</v>
      </c>
      <c r="AK11" s="617" t="s">
        <v>223</v>
      </c>
      <c r="AL11" s="618"/>
      <c r="AM11" s="616" t="s">
        <v>40</v>
      </c>
      <c r="AN11" s="616" t="s">
        <v>41</v>
      </c>
      <c r="AO11" s="616" t="s">
        <v>80</v>
      </c>
      <c r="AP11" s="616" t="s">
        <v>79</v>
      </c>
      <c r="AQ11" s="616" t="s">
        <v>14</v>
      </c>
      <c r="AR11" s="616" t="s">
        <v>218</v>
      </c>
      <c r="AS11" s="616" t="s">
        <v>219</v>
      </c>
      <c r="AT11" s="616" t="s">
        <v>220</v>
      </c>
      <c r="AU11" s="616" t="s">
        <v>221</v>
      </c>
      <c r="AV11" s="616" t="s">
        <v>222</v>
      </c>
      <c r="AW11" s="619" t="s">
        <v>223</v>
      </c>
      <c r="AZ11" s="588"/>
      <c r="BA11" s="588"/>
      <c r="BB11" s="588"/>
      <c r="BC11" s="588"/>
      <c r="BD11" s="588"/>
      <c r="BE11" s="588"/>
      <c r="BF11" s="588"/>
      <c r="BG11" s="588"/>
      <c r="BH11" s="588"/>
      <c r="BI11" s="588"/>
      <c r="BJ11" s="588"/>
      <c r="BK11" s="588"/>
      <c r="BL11" s="588"/>
      <c r="BM11" s="588"/>
      <c r="BN11" s="588"/>
      <c r="BO11" s="588"/>
      <c r="BP11" s="588"/>
      <c r="BQ11" s="588"/>
      <c r="BR11" s="588"/>
      <c r="BS11" s="588"/>
      <c r="BT11" s="588"/>
      <c r="BU11" s="588"/>
      <c r="BV11" s="588"/>
      <c r="BW11" s="588"/>
      <c r="BX11" s="588"/>
      <c r="BY11" s="588"/>
      <c r="BZ11" s="588"/>
      <c r="CA11" s="588"/>
      <c r="CB11" s="588"/>
      <c r="CC11" s="588"/>
      <c r="CD11" s="588"/>
      <c r="CE11" s="588"/>
      <c r="CF11" s="588"/>
      <c r="CG11" s="588"/>
      <c r="CH11" s="588"/>
      <c r="CI11" s="588"/>
      <c r="CJ11" s="588"/>
      <c r="CK11" s="588"/>
      <c r="CL11" s="588"/>
      <c r="CM11" s="588"/>
      <c r="CN11" s="588"/>
      <c r="CO11" s="588"/>
      <c r="CP11" s="588"/>
      <c r="CQ11" s="588"/>
      <c r="CR11" s="588"/>
      <c r="CS11" s="588"/>
      <c r="CT11" s="588"/>
      <c r="CU11" s="588"/>
      <c r="CV11" s="588"/>
      <c r="CW11" s="588"/>
      <c r="CX11" s="588"/>
      <c r="CY11" s="588"/>
      <c r="CZ11" s="588"/>
      <c r="DA11" s="588"/>
      <c r="DB11" s="588"/>
      <c r="DC11" s="588"/>
      <c r="DD11" s="588"/>
      <c r="DE11" s="588"/>
      <c r="DF11" s="588"/>
      <c r="DG11" s="588"/>
      <c r="DH11" s="588"/>
      <c r="DI11" s="588"/>
      <c r="DJ11" s="588"/>
      <c r="DK11" s="588"/>
      <c r="DL11" s="588"/>
      <c r="DM11" s="588"/>
    </row>
    <row r="12" spans="2:117" ht="31.2" x14ac:dyDescent="0.3">
      <c r="C12" s="620" t="s">
        <v>83</v>
      </c>
      <c r="D12" s="621" t="s">
        <v>38</v>
      </c>
      <c r="E12" s="622" t="s">
        <v>11</v>
      </c>
      <c r="F12" s="623">
        <f>ID!M68</f>
        <v>0</v>
      </c>
      <c r="G12" s="623">
        <f>SQRT(3)</f>
        <v>1.7320508075688772</v>
      </c>
      <c r="H12" s="623">
        <f>(F12/G12)</f>
        <v>0</v>
      </c>
      <c r="I12" s="624">
        <v>1</v>
      </c>
      <c r="J12" s="624">
        <v>5</v>
      </c>
      <c r="K12" s="625">
        <f>H12*I12</f>
        <v>0</v>
      </c>
      <c r="L12" s="625">
        <f>K12^2</f>
        <v>0</v>
      </c>
      <c r="M12" s="625">
        <f>((K12)^4)/J12</f>
        <v>0</v>
      </c>
      <c r="O12" s="620" t="s">
        <v>83</v>
      </c>
      <c r="P12" s="621" t="s">
        <v>38</v>
      </c>
      <c r="Q12" s="622" t="s">
        <v>11</v>
      </c>
      <c r="R12" s="623">
        <f>ID!M71</f>
        <v>5.7735026918975703E-2</v>
      </c>
      <c r="S12" s="623">
        <f>SQRT(3)</f>
        <v>1.7320508075688772</v>
      </c>
      <c r="T12" s="623">
        <f>(R12/S12)</f>
        <v>3.3333333333340917E-2</v>
      </c>
      <c r="U12" s="624">
        <v>1</v>
      </c>
      <c r="V12" s="624">
        <v>5</v>
      </c>
      <c r="W12" s="625">
        <f>T12*U12</f>
        <v>3.3333333333340917E-2</v>
      </c>
      <c r="X12" s="625">
        <f>W12^2</f>
        <v>1.1111111111116168E-3</v>
      </c>
      <c r="Y12" s="625">
        <f>((W12)^4)/V12</f>
        <v>2.4691358024713832E-7</v>
      </c>
      <c r="AA12" s="626" t="s">
        <v>83</v>
      </c>
      <c r="AB12" s="627" t="s">
        <v>38</v>
      </c>
      <c r="AC12" s="628" t="s">
        <v>11</v>
      </c>
      <c r="AD12" s="629">
        <v>0</v>
      </c>
      <c r="AE12" s="629">
        <v>1.7320508075688772</v>
      </c>
      <c r="AF12" s="629">
        <f>0/1.7321</f>
        <v>0</v>
      </c>
      <c r="AG12" s="630">
        <v>1</v>
      </c>
      <c r="AH12" s="630">
        <f>3-1</f>
        <v>2</v>
      </c>
      <c r="AI12" s="631">
        <f>(0*1)</f>
        <v>0</v>
      </c>
      <c r="AJ12" s="631">
        <f>(0*1)^2</f>
        <v>0</v>
      </c>
      <c r="AK12" s="632">
        <f>((0*1)^4)/2</f>
        <v>0</v>
      </c>
      <c r="AL12" s="601"/>
      <c r="AM12" s="626" t="s">
        <v>83</v>
      </c>
      <c r="AN12" s="627" t="s">
        <v>38</v>
      </c>
      <c r="AO12" s="628" t="s">
        <v>11</v>
      </c>
      <c r="AP12" s="629">
        <v>0</v>
      </c>
      <c r="AQ12" s="629">
        <v>1.7320508075688772</v>
      </c>
      <c r="AR12" s="629">
        <f>0/1.7321</f>
        <v>0</v>
      </c>
      <c r="AS12" s="630">
        <v>1</v>
      </c>
      <c r="AT12" s="630">
        <f>3-1</f>
        <v>2</v>
      </c>
      <c r="AU12" s="631">
        <f>(0*1)</f>
        <v>0</v>
      </c>
      <c r="AV12" s="631">
        <f>(0*1)^2</f>
        <v>0</v>
      </c>
      <c r="AW12" s="632">
        <f>((0*1)^4)/2</f>
        <v>0</v>
      </c>
    </row>
    <row r="13" spans="2:117" ht="31.5" customHeight="1" x14ac:dyDescent="0.3">
      <c r="C13" s="620" t="s">
        <v>82</v>
      </c>
      <c r="D13" s="621" t="s">
        <v>38</v>
      </c>
      <c r="E13" s="622" t="s">
        <v>11</v>
      </c>
      <c r="F13" s="1058">
        <f>'INTERPOLASI  '!AU18</f>
        <v>0.4</v>
      </c>
      <c r="G13" s="624">
        <v>2</v>
      </c>
      <c r="H13" s="623">
        <f>F13/G13</f>
        <v>0.2</v>
      </c>
      <c r="I13" s="624">
        <v>1</v>
      </c>
      <c r="J13" s="624">
        <v>50</v>
      </c>
      <c r="K13" s="625">
        <f>H13*I13</f>
        <v>0.2</v>
      </c>
      <c r="L13" s="625">
        <f>K13^2</f>
        <v>4.0000000000000008E-2</v>
      </c>
      <c r="M13" s="625">
        <f>((K13)^4)/J13</f>
        <v>3.2000000000000012E-5</v>
      </c>
      <c r="O13" s="620" t="s">
        <v>82</v>
      </c>
      <c r="P13" s="621" t="s">
        <v>38</v>
      </c>
      <c r="Q13" s="622" t="s">
        <v>11</v>
      </c>
      <c r="R13" s="1058">
        <f>'INTERPOLASI  '!AU21</f>
        <v>0.4</v>
      </c>
      <c r="S13" s="624">
        <v>2</v>
      </c>
      <c r="T13" s="623">
        <f>R13/S13</f>
        <v>0.2</v>
      </c>
      <c r="U13" s="624">
        <v>1</v>
      </c>
      <c r="V13" s="624">
        <v>50</v>
      </c>
      <c r="W13" s="625">
        <f>T13*U13</f>
        <v>0.2</v>
      </c>
      <c r="X13" s="625">
        <f>W13^2</f>
        <v>4.0000000000000008E-2</v>
      </c>
      <c r="Y13" s="625">
        <f>((W13)^4)/V13</f>
        <v>3.2000000000000012E-5</v>
      </c>
      <c r="AA13" s="626" t="s">
        <v>82</v>
      </c>
      <c r="AB13" s="627" t="s">
        <v>38</v>
      </c>
      <c r="AC13" s="628" t="s">
        <v>11</v>
      </c>
      <c r="AD13" s="633">
        <f>(((0.2-0.1)*(0-0))/(50-0))+(0.1)</f>
        <v>0.1</v>
      </c>
      <c r="AE13" s="630">
        <v>2</v>
      </c>
      <c r="AF13" s="629">
        <f>0.1/2</f>
        <v>0.05</v>
      </c>
      <c r="AG13" s="630">
        <v>1</v>
      </c>
      <c r="AH13" s="630">
        <v>50</v>
      </c>
      <c r="AI13" s="631">
        <f>(0.005*1)</f>
        <v>5.0000000000000001E-3</v>
      </c>
      <c r="AJ13" s="631">
        <f>(0.005*1)^2</f>
        <v>2.5000000000000001E-5</v>
      </c>
      <c r="AK13" s="632">
        <f>((0.005*1)^4)/50</f>
        <v>1.25E-11</v>
      </c>
      <c r="AL13" s="601"/>
      <c r="AM13" s="626" t="s">
        <v>82</v>
      </c>
      <c r="AN13" s="627" t="s">
        <v>38</v>
      </c>
      <c r="AO13" s="628" t="s">
        <v>11</v>
      </c>
      <c r="AP13" s="633">
        <f>(((0.2-0.2)*(149-0.2))/(150-100))+(0.2)</f>
        <v>0.2</v>
      </c>
      <c r="AQ13" s="630">
        <v>2</v>
      </c>
      <c r="AR13" s="629">
        <f>0.2/2</f>
        <v>0.1</v>
      </c>
      <c r="AS13" s="630">
        <v>1</v>
      </c>
      <c r="AT13" s="630">
        <v>50</v>
      </c>
      <c r="AU13" s="631">
        <f>(0.1*1)</f>
        <v>0.1</v>
      </c>
      <c r="AV13" s="631">
        <f>(0.1*1)^2</f>
        <v>1.0000000000000002E-2</v>
      </c>
      <c r="AW13" s="631">
        <f>((0.1*1)^4)/50</f>
        <v>2.0000000000000008E-6</v>
      </c>
      <c r="BH13" s="796">
        <f>F13</f>
        <v>0.4</v>
      </c>
      <c r="BI13" s="790" t="s">
        <v>559</v>
      </c>
      <c r="BJ13" s="1059"/>
      <c r="BK13" s="1059"/>
      <c r="BL13" s="1043">
        <f>C10</f>
        <v>0</v>
      </c>
      <c r="BM13" s="791">
        <f>'INTERPOLASI  '!AS18</f>
        <v>0</v>
      </c>
      <c r="BN13" s="792">
        <f>'INTERPOLASI  '!AQ18</f>
        <v>0.4</v>
      </c>
      <c r="BO13" s="793">
        <f>'INTERPOLASI  '!AT18</f>
        <v>50</v>
      </c>
      <c r="BP13" s="794">
        <f>'INTERPOLASI  '!AR18</f>
        <v>0.4</v>
      </c>
      <c r="BQ13" s="802">
        <f>((((BP13-BN13)*(BL13-BM13)))/(BO13-BM13))+BN13</f>
        <v>0.4</v>
      </c>
      <c r="BR13" s="798"/>
      <c r="BS13" s="796">
        <f>R13</f>
        <v>0.4</v>
      </c>
      <c r="BT13" s="790" t="s">
        <v>559</v>
      </c>
      <c r="BU13" s="1059"/>
      <c r="BV13" s="1059"/>
      <c r="BW13" s="1043">
        <f>O10</f>
        <v>0</v>
      </c>
      <c r="BX13" s="791">
        <f>'INTERPOLASI  '!AS21</f>
        <v>100</v>
      </c>
      <c r="BY13" s="792">
        <f>'INTERPOLASI  '!AQ21</f>
        <v>0.4</v>
      </c>
      <c r="BZ13" s="793">
        <f>'INTERPOLASI  '!AT21</f>
        <v>150</v>
      </c>
      <c r="CA13" s="794">
        <f>'INTERPOLASI  '!AR21</f>
        <v>0.4</v>
      </c>
      <c r="CB13" s="802">
        <f>((((CA13-BY13)*(BW13-BX13)))/(BZ13-BX13))+BY13</f>
        <v>0.4</v>
      </c>
    </row>
    <row r="14" spans="2:117" ht="28.5" customHeight="1" x14ac:dyDescent="0.3">
      <c r="C14" s="620" t="s">
        <v>240</v>
      </c>
      <c r="D14" s="621" t="s">
        <v>38</v>
      </c>
      <c r="E14" s="622" t="s">
        <v>85</v>
      </c>
      <c r="F14" s="623">
        <f>B15</f>
        <v>0.4</v>
      </c>
      <c r="G14" s="623">
        <f>SQRT(3)</f>
        <v>1.7320508075688772</v>
      </c>
      <c r="H14" s="623">
        <f>F14/G14</f>
        <v>0.23094010767585033</v>
      </c>
      <c r="I14" s="624">
        <v>1</v>
      </c>
      <c r="J14" s="624">
        <v>50</v>
      </c>
      <c r="K14" s="625">
        <f>H14*I14</f>
        <v>0.23094010767585033</v>
      </c>
      <c r="L14" s="625">
        <f>K14^2</f>
        <v>5.3333333333333344E-2</v>
      </c>
      <c r="M14" s="625">
        <f>((K14)^4)/J14</f>
        <v>5.6888888888888908E-5</v>
      </c>
      <c r="O14" s="620" t="s">
        <v>240</v>
      </c>
      <c r="P14" s="621" t="s">
        <v>38</v>
      </c>
      <c r="Q14" s="622" t="s">
        <v>85</v>
      </c>
      <c r="R14" s="623">
        <f>B15</f>
        <v>0.4</v>
      </c>
      <c r="S14" s="623">
        <f>SQRT(3)</f>
        <v>1.7320508075688772</v>
      </c>
      <c r="T14" s="623">
        <f>R14/S14</f>
        <v>0.23094010767585033</v>
      </c>
      <c r="U14" s="624">
        <v>1</v>
      </c>
      <c r="V14" s="624">
        <v>50</v>
      </c>
      <c r="W14" s="625">
        <f>T14*U14</f>
        <v>0.23094010767585033</v>
      </c>
      <c r="X14" s="625">
        <f>W14^2</f>
        <v>5.3333333333333344E-2</v>
      </c>
      <c r="Y14" s="625">
        <f>((W14)^4)/V14</f>
        <v>5.6888888888888908E-5</v>
      </c>
      <c r="AA14" s="626" t="s">
        <v>76</v>
      </c>
      <c r="AB14" s="627" t="s">
        <v>38</v>
      </c>
      <c r="AC14" s="628" t="s">
        <v>85</v>
      </c>
      <c r="AD14" s="629">
        <f>(1/5)*2</f>
        <v>0.4</v>
      </c>
      <c r="AE14" s="629">
        <v>1.7320508075688772</v>
      </c>
      <c r="AF14" s="635">
        <f>0.4/1.7321</f>
        <v>0.23093354887131229</v>
      </c>
      <c r="AG14" s="630">
        <v>1</v>
      </c>
      <c r="AH14" s="630">
        <v>50</v>
      </c>
      <c r="AI14" s="631">
        <f>(0.230933548871*1)</f>
        <v>0.23093354887100001</v>
      </c>
      <c r="AJ14" s="631">
        <f>(0.230933548871*1)^2</f>
        <v>5.3330303994154553E-2</v>
      </c>
      <c r="AK14" s="631">
        <f>((0.230933548871*1)^4)/50</f>
        <v>5.6882426482178737E-5</v>
      </c>
      <c r="AL14" s="601"/>
      <c r="AM14" s="626" t="s">
        <v>76</v>
      </c>
      <c r="AN14" s="627" t="s">
        <v>38</v>
      </c>
      <c r="AO14" s="628" t="s">
        <v>85</v>
      </c>
      <c r="AP14" s="629">
        <f>(1/5)*2</f>
        <v>0.4</v>
      </c>
      <c r="AQ14" s="629">
        <v>1.7320508075688772</v>
      </c>
      <c r="AR14" s="635">
        <f>0.4/1.7321</f>
        <v>0.23093354887131229</v>
      </c>
      <c r="AS14" s="630">
        <v>1</v>
      </c>
      <c r="AT14" s="630">
        <v>50</v>
      </c>
      <c r="AU14" s="631">
        <f>(0.230933548871*1)</f>
        <v>0.23093354887100001</v>
      </c>
      <c r="AV14" s="631">
        <f>(0.230933548871*1)^2</f>
        <v>5.3330303994154553E-2</v>
      </c>
      <c r="AW14" s="631">
        <f>((0.230933548871*1)^4)/50</f>
        <v>5.6882426482178737E-5</v>
      </c>
      <c r="BH14" s="782"/>
      <c r="BI14" s="782"/>
      <c r="BJ14" s="783"/>
      <c r="BK14" s="783"/>
      <c r="BL14" s="636"/>
      <c r="BN14" s="595"/>
      <c r="BO14" s="775"/>
      <c r="BP14" s="776"/>
      <c r="BQ14" s="801"/>
      <c r="BR14" s="798"/>
      <c r="BS14" s="782"/>
      <c r="BT14" s="782"/>
      <c r="BU14" s="783"/>
      <c r="BV14" s="783"/>
      <c r="BW14" s="1044"/>
      <c r="BY14" s="595"/>
      <c r="BZ14" s="775"/>
      <c r="CA14" s="776"/>
      <c r="CB14" s="801"/>
    </row>
    <row r="15" spans="2:117" ht="28.5" customHeight="1" x14ac:dyDescent="0.3">
      <c r="B15" s="797">
        <f>0.2*2</f>
        <v>0.4</v>
      </c>
      <c r="C15" s="620" t="s">
        <v>241</v>
      </c>
      <c r="D15" s="621" t="s">
        <v>38</v>
      </c>
      <c r="E15" s="622" t="s">
        <v>85</v>
      </c>
      <c r="F15" s="637">
        <f>(1/2)*'RESOLUSI STANDAR'!$K$7</f>
        <v>0.05</v>
      </c>
      <c r="G15" s="623">
        <f>SQRT(3)</f>
        <v>1.7320508075688772</v>
      </c>
      <c r="H15" s="623">
        <f>F15/G15</f>
        <v>2.8867513459481291E-2</v>
      </c>
      <c r="I15" s="624">
        <v>1</v>
      </c>
      <c r="J15" s="624">
        <v>50</v>
      </c>
      <c r="K15" s="625">
        <f>H15*I15</f>
        <v>2.8867513459481291E-2</v>
      </c>
      <c r="L15" s="625">
        <f>K15^2</f>
        <v>8.333333333333335E-4</v>
      </c>
      <c r="M15" s="625">
        <f>((K15)^4)/J15</f>
        <v>1.3888888888888894E-8</v>
      </c>
      <c r="O15" s="620" t="s">
        <v>241</v>
      </c>
      <c r="P15" s="621" t="s">
        <v>38</v>
      </c>
      <c r="Q15" s="622" t="s">
        <v>85</v>
      </c>
      <c r="R15" s="637">
        <f>(1/2)*'RESOLUSI STANDAR'!$K$7</f>
        <v>0.05</v>
      </c>
      <c r="S15" s="623">
        <f>SQRT(3)</f>
        <v>1.7320508075688772</v>
      </c>
      <c r="T15" s="623">
        <f>R15/S15</f>
        <v>2.8867513459481291E-2</v>
      </c>
      <c r="U15" s="624">
        <v>1</v>
      </c>
      <c r="V15" s="624">
        <v>50</v>
      </c>
      <c r="W15" s="625">
        <f>T15*U15</f>
        <v>2.8867513459481291E-2</v>
      </c>
      <c r="X15" s="625">
        <f>W15^2</f>
        <v>8.333333333333335E-4</v>
      </c>
      <c r="Y15" s="625">
        <f>((W15)^4)/V15</f>
        <v>1.3888888888888894E-8</v>
      </c>
      <c r="AA15" s="626"/>
      <c r="AB15" s="627"/>
      <c r="AC15" s="628"/>
      <c r="AD15" s="638"/>
      <c r="AE15" s="629"/>
      <c r="AF15" s="635"/>
      <c r="AG15" s="630"/>
      <c r="AH15" s="630"/>
      <c r="AI15" s="631"/>
      <c r="AJ15" s="631"/>
      <c r="AK15" s="631"/>
      <c r="AL15" s="601"/>
      <c r="AM15" s="626"/>
      <c r="AN15" s="627"/>
      <c r="AO15" s="628"/>
      <c r="AP15" s="638"/>
      <c r="AQ15" s="629"/>
      <c r="AR15" s="635"/>
      <c r="AS15" s="630"/>
      <c r="AT15" s="630"/>
      <c r="AU15" s="631"/>
      <c r="AV15" s="631"/>
      <c r="AW15" s="631"/>
      <c r="BH15" s="782"/>
      <c r="BI15" s="782"/>
      <c r="BJ15" s="783"/>
      <c r="BK15" s="783"/>
      <c r="BL15" s="636"/>
      <c r="BN15" s="595"/>
      <c r="BO15" s="775"/>
      <c r="BP15" s="776"/>
      <c r="BQ15" s="801"/>
      <c r="BR15" s="798"/>
      <c r="BS15" s="782"/>
      <c r="BT15" s="782"/>
      <c r="BU15" s="783"/>
      <c r="BV15" s="783"/>
      <c r="BW15" s="1044"/>
      <c r="BY15" s="595"/>
      <c r="BZ15" s="775"/>
      <c r="CA15" s="776"/>
      <c r="CB15" s="801"/>
    </row>
    <row r="16" spans="2:117" x14ac:dyDescent="0.3">
      <c r="C16" s="620" t="s">
        <v>51</v>
      </c>
      <c r="D16" s="621" t="s">
        <v>38</v>
      </c>
      <c r="E16" s="622" t="s">
        <v>85</v>
      </c>
      <c r="F16" s="1058">
        <f>'INTERPOLASI  '!BT18</f>
        <v>5.0000000000000001E-9</v>
      </c>
      <c r="G16" s="623">
        <f>SQRT(3)</f>
        <v>1.7320508075688772</v>
      </c>
      <c r="H16" s="623">
        <f>F16/G16</f>
        <v>2.8867513459481292E-9</v>
      </c>
      <c r="I16" s="624">
        <v>1</v>
      </c>
      <c r="J16" s="624">
        <v>50</v>
      </c>
      <c r="K16" s="625">
        <f>H16*I16</f>
        <v>2.8867513459481292E-9</v>
      </c>
      <c r="L16" s="625">
        <f>K16^2</f>
        <v>8.3333333333333352E-18</v>
      </c>
      <c r="M16" s="625">
        <f>((K16)^4)/J16</f>
        <v>1.3888888888888895E-36</v>
      </c>
      <c r="O16" s="620" t="s">
        <v>51</v>
      </c>
      <c r="P16" s="621" t="s">
        <v>38</v>
      </c>
      <c r="Q16" s="622" t="s">
        <v>85</v>
      </c>
      <c r="R16" s="1058">
        <f>'INTERPOLASI  '!BT21</f>
        <v>0.2</v>
      </c>
      <c r="S16" s="623">
        <f>SQRT(3)</f>
        <v>1.7320508075688772</v>
      </c>
      <c r="T16" s="623">
        <f>R16/S16</f>
        <v>0.11547005383792516</v>
      </c>
      <c r="U16" s="624">
        <v>1</v>
      </c>
      <c r="V16" s="624">
        <v>50</v>
      </c>
      <c r="W16" s="625">
        <f>T16*U16</f>
        <v>0.11547005383792516</v>
      </c>
      <c r="X16" s="625">
        <f>W16^2</f>
        <v>1.3333333333333336E-2</v>
      </c>
      <c r="Y16" s="625">
        <f>((W16)^4)/V16</f>
        <v>3.5555555555555568E-6</v>
      </c>
      <c r="AA16" s="626" t="s">
        <v>51</v>
      </c>
      <c r="AB16" s="627" t="s">
        <v>38</v>
      </c>
      <c r="AC16" s="628" t="s">
        <v>85</v>
      </c>
      <c r="AD16" s="633">
        <v>0</v>
      </c>
      <c r="AE16" s="629">
        <v>1.7320508075688772</v>
      </c>
      <c r="AF16" s="629">
        <f>0/1.7321</f>
        <v>0</v>
      </c>
      <c r="AG16" s="630">
        <v>1</v>
      </c>
      <c r="AH16" s="630">
        <v>50</v>
      </c>
      <c r="AI16" s="631">
        <f>(0*1)</f>
        <v>0</v>
      </c>
      <c r="AJ16" s="631">
        <f>(0*1)^2</f>
        <v>0</v>
      </c>
      <c r="AK16" s="632">
        <f>((0*1)^4)/50</f>
        <v>0</v>
      </c>
      <c r="AL16" s="601"/>
      <c r="AM16" s="626" t="s">
        <v>51</v>
      </c>
      <c r="AN16" s="627" t="s">
        <v>38</v>
      </c>
      <c r="AO16" s="628" t="s">
        <v>85</v>
      </c>
      <c r="AP16" s="633">
        <v>0</v>
      </c>
      <c r="AQ16" s="629">
        <v>1.7320508075688772</v>
      </c>
      <c r="AR16" s="629">
        <f>0/1.7321</f>
        <v>0</v>
      </c>
      <c r="AS16" s="630">
        <v>1</v>
      </c>
      <c r="AT16" s="630">
        <v>50</v>
      </c>
      <c r="AU16" s="631">
        <f>(0*1)</f>
        <v>0</v>
      </c>
      <c r="AV16" s="631">
        <f>(0*1)^2</f>
        <v>0</v>
      </c>
      <c r="AW16" s="632">
        <f>((0*1)^4)/50</f>
        <v>0</v>
      </c>
      <c r="BH16" s="782">
        <f>F16</f>
        <v>5.0000000000000001E-9</v>
      </c>
      <c r="BI16" s="790" t="s">
        <v>559</v>
      </c>
      <c r="BJ16" s="1059"/>
      <c r="BK16" s="1059"/>
      <c r="BL16" s="1043">
        <f>C10</f>
        <v>0</v>
      </c>
      <c r="BM16" s="791">
        <f>'INTERPOLASI  '!BR18</f>
        <v>0</v>
      </c>
      <c r="BN16" s="795">
        <f>'INTERPOLASI  '!BP18</f>
        <v>0</v>
      </c>
      <c r="BO16" s="793">
        <f>'INTERPOLASI  '!BS18</f>
        <v>50</v>
      </c>
      <c r="BP16" s="795">
        <f>'INTERPOLASI  '!BQ18</f>
        <v>0.25</v>
      </c>
      <c r="BQ16" s="802">
        <f>((((BP16-BN16)*(BL16-BM16)))/(BO16-BM16))+BN16</f>
        <v>0</v>
      </c>
      <c r="BR16" s="798"/>
      <c r="BS16" s="782">
        <f>R16</f>
        <v>0.2</v>
      </c>
      <c r="BT16" s="790" t="s">
        <v>559</v>
      </c>
      <c r="BU16" s="1059"/>
      <c r="BV16" s="1059"/>
      <c r="BW16" s="1043">
        <f>O10</f>
        <v>0</v>
      </c>
      <c r="BX16" s="791">
        <f>'INTERPOLASI  '!BR21</f>
        <v>100</v>
      </c>
      <c r="BY16" s="795">
        <f>'INTERPOLASI  '!BP21</f>
        <v>0.2</v>
      </c>
      <c r="BZ16" s="793">
        <f>'INTERPOLASI  '!BS21</f>
        <v>150</v>
      </c>
      <c r="CA16" s="795">
        <f>'INTERPOLASI  '!BQ21</f>
        <v>0.15000000000000002</v>
      </c>
      <c r="CB16" s="802">
        <f>((((CA16-BY16)*(BW16-BX16)))/(BZ16-BX16))+BY16</f>
        <v>0.3</v>
      </c>
    </row>
    <row r="17" spans="3:117" x14ac:dyDescent="0.3">
      <c r="C17" s="639"/>
      <c r="D17" s="639"/>
      <c r="E17" s="639"/>
      <c r="F17" s="639"/>
      <c r="G17" s="1050" t="s">
        <v>84</v>
      </c>
      <c r="H17" s="1051"/>
      <c r="I17" s="1051"/>
      <c r="J17" s="1051"/>
      <c r="K17" s="1052"/>
      <c r="L17" s="640">
        <f>SUM(L12:L16)</f>
        <v>9.4166666666666704E-2</v>
      </c>
      <c r="M17" s="640">
        <f>SUM(M12:M16)</f>
        <v>8.8902777777777808E-5</v>
      </c>
      <c r="O17" s="639"/>
      <c r="P17" s="639"/>
      <c r="Q17" s="639"/>
      <c r="R17" s="639"/>
      <c r="S17" s="1050" t="s">
        <v>84</v>
      </c>
      <c r="T17" s="1051"/>
      <c r="U17" s="1051"/>
      <c r="V17" s="1051"/>
      <c r="W17" s="1052"/>
      <c r="X17" s="640">
        <f>SUM(X12:X16)</f>
        <v>0.10861111111111164</v>
      </c>
      <c r="Y17" s="640">
        <f>SUM(Y12:Y16)</f>
        <v>9.2705246913580498E-5</v>
      </c>
      <c r="AA17" s="641"/>
      <c r="AB17" s="641"/>
      <c r="AC17" s="641"/>
      <c r="AD17" s="641"/>
      <c r="AE17" s="1047" t="s">
        <v>84</v>
      </c>
      <c r="AF17" s="1048"/>
      <c r="AG17" s="1048"/>
      <c r="AH17" s="1048"/>
      <c r="AI17" s="1049"/>
      <c r="AJ17" s="642">
        <f>SUM(AJ12:AJ16)</f>
        <v>5.335530399415455E-2</v>
      </c>
      <c r="AK17" s="642">
        <f>SUM(AK12:AK16)</f>
        <v>5.6882438982178735E-5</v>
      </c>
      <c r="AL17" s="601"/>
      <c r="AM17" s="641"/>
      <c r="AN17" s="641"/>
      <c r="AO17" s="641"/>
      <c r="AP17" s="641"/>
      <c r="AQ17" s="1047" t="s">
        <v>84</v>
      </c>
      <c r="AR17" s="1048"/>
      <c r="AS17" s="1048"/>
      <c r="AT17" s="1048"/>
      <c r="AU17" s="1049"/>
      <c r="AV17" s="643">
        <f>SUM(AV12:AV16)</f>
        <v>6.3330303994154555E-2</v>
      </c>
      <c r="AW17" s="643">
        <f>SUM(AW12:AW16)</f>
        <v>5.8882426482178738E-5</v>
      </c>
      <c r="BH17" s="782"/>
      <c r="BI17" s="782"/>
      <c r="BJ17" s="783"/>
      <c r="BK17" s="783"/>
      <c r="BL17" s="636"/>
      <c r="BN17" s="595"/>
      <c r="BO17" s="595"/>
      <c r="BP17" s="595"/>
      <c r="BQ17" s="803"/>
      <c r="BR17" s="798"/>
      <c r="BS17" s="798"/>
      <c r="BT17" s="798"/>
      <c r="BU17" s="798"/>
      <c r="BV17" s="798"/>
      <c r="BW17" s="597"/>
      <c r="BX17" s="597"/>
      <c r="BZ17" s="780"/>
      <c r="CA17" s="780"/>
      <c r="CB17" s="779"/>
    </row>
    <row r="18" spans="3:117" ht="17.25" customHeight="1" x14ac:dyDescent="0.4">
      <c r="C18" s="595"/>
      <c r="D18" s="595"/>
      <c r="E18" s="595"/>
      <c r="F18" s="595"/>
      <c r="G18" s="1313" t="s">
        <v>119</v>
      </c>
      <c r="H18" s="1314"/>
      <c r="I18" s="1314"/>
      <c r="J18" s="1314"/>
      <c r="K18" s="1315"/>
      <c r="L18" s="640">
        <f>SQRT(L17)</f>
        <v>0.30686587732536619</v>
      </c>
      <c r="M18" s="625"/>
      <c r="O18" s="595"/>
      <c r="P18" s="595"/>
      <c r="Q18" s="595"/>
      <c r="R18" s="595"/>
      <c r="S18" s="1313" t="s">
        <v>119</v>
      </c>
      <c r="T18" s="1314"/>
      <c r="U18" s="1314"/>
      <c r="V18" s="1314"/>
      <c r="W18" s="1315"/>
      <c r="X18" s="640">
        <f>SQRT(X17)</f>
        <v>0.32956199888808729</v>
      </c>
      <c r="Y18" s="625"/>
      <c r="AA18" s="644" t="s">
        <v>48</v>
      </c>
      <c r="AB18" s="644" t="s">
        <v>194</v>
      </c>
      <c r="AC18" s="605"/>
      <c r="AD18" s="605"/>
      <c r="AE18" s="1310" t="s">
        <v>224</v>
      </c>
      <c r="AF18" s="1311"/>
      <c r="AG18" s="1311"/>
      <c r="AH18" s="1311"/>
      <c r="AI18" s="1312"/>
      <c r="AJ18" s="643">
        <f>SQRT(AJ17)</f>
        <v>0.23098767065398654</v>
      </c>
      <c r="AK18" s="632"/>
      <c r="AL18" s="601"/>
      <c r="AM18" s="644" t="s">
        <v>48</v>
      </c>
      <c r="AN18" s="644" t="s">
        <v>194</v>
      </c>
      <c r="AO18" s="605"/>
      <c r="AP18" s="605"/>
      <c r="AQ18" s="1310" t="s">
        <v>224</v>
      </c>
      <c r="AR18" s="1311"/>
      <c r="AS18" s="1311"/>
      <c r="AT18" s="1311"/>
      <c r="AU18" s="1312"/>
      <c r="AV18" s="643">
        <f>SQRT(AV17)</f>
        <v>0.25165512908374144</v>
      </c>
      <c r="AW18" s="631"/>
      <c r="BH18" s="782"/>
      <c r="BI18" s="782"/>
      <c r="BJ18" s="783"/>
      <c r="BK18" s="783"/>
      <c r="BL18" s="636"/>
      <c r="BN18" s="595"/>
      <c r="BO18" s="595"/>
      <c r="BP18" s="595"/>
      <c r="BQ18" s="803"/>
      <c r="BR18" s="798"/>
      <c r="BS18" s="798"/>
      <c r="BT18" s="798"/>
      <c r="BU18" s="798"/>
      <c r="BV18" s="798"/>
      <c r="BW18" s="597"/>
      <c r="BX18" s="598"/>
      <c r="BZ18" s="780"/>
      <c r="CA18" s="780"/>
      <c r="CB18" s="779"/>
    </row>
    <row r="19" spans="3:117" ht="15.75" customHeight="1" x14ac:dyDescent="0.3">
      <c r="C19" s="595"/>
      <c r="D19" s="595"/>
      <c r="E19" s="595"/>
      <c r="F19" s="595"/>
      <c r="G19" s="1313" t="s">
        <v>89</v>
      </c>
      <c r="H19" s="1314"/>
      <c r="I19" s="1314"/>
      <c r="J19" s="1314"/>
      <c r="K19" s="1315"/>
      <c r="L19" s="640">
        <f>((L18)^4)/M17</f>
        <v>99.742227776909871</v>
      </c>
      <c r="M19" s="625"/>
      <c r="O19" s="595"/>
      <c r="P19" s="595"/>
      <c r="Q19" s="595"/>
      <c r="R19" s="595"/>
      <c r="S19" s="1313" t="s">
        <v>89</v>
      </c>
      <c r="T19" s="1314"/>
      <c r="U19" s="1314"/>
      <c r="V19" s="1314"/>
      <c r="W19" s="1315"/>
      <c r="X19" s="640">
        <f>((X18)^4)/Y17</f>
        <v>127.24601734556381</v>
      </c>
      <c r="Y19" s="625"/>
      <c r="AA19" s="1060">
        <v>0</v>
      </c>
      <c r="AB19" s="1061">
        <v>0.1</v>
      </c>
      <c r="AC19" s="605"/>
      <c r="AD19" s="605"/>
      <c r="AE19" s="1310" t="s">
        <v>89</v>
      </c>
      <c r="AF19" s="1311"/>
      <c r="AG19" s="1311"/>
      <c r="AH19" s="1311"/>
      <c r="AI19" s="1312"/>
      <c r="AJ19" s="643">
        <f>((AJ18)^4)/AK17</f>
        <v>50.046877652354937</v>
      </c>
      <c r="AK19" s="632"/>
      <c r="AL19" s="601"/>
      <c r="AM19" s="1060">
        <v>100</v>
      </c>
      <c r="AN19" s="1061">
        <v>0.2</v>
      </c>
      <c r="AO19" s="605"/>
      <c r="AP19" s="605"/>
      <c r="AQ19" s="1310" t="s">
        <v>89</v>
      </c>
      <c r="AR19" s="1311"/>
      <c r="AS19" s="1311"/>
      <c r="AT19" s="1311"/>
      <c r="AU19" s="1312"/>
      <c r="AV19" s="643">
        <f>((AV18)^4)/AW17</f>
        <v>68.114166545190031</v>
      </c>
      <c r="AW19" s="631"/>
      <c r="BH19" s="782"/>
      <c r="BI19" s="782"/>
      <c r="BJ19" s="783"/>
      <c r="BK19" s="783"/>
      <c r="BL19" s="636"/>
      <c r="BN19" s="595"/>
      <c r="BO19" s="595"/>
      <c r="BP19" s="595"/>
      <c r="BQ19" s="803"/>
      <c r="BR19" s="798"/>
      <c r="BS19" s="798"/>
      <c r="BT19" s="798"/>
      <c r="BU19" s="798"/>
      <c r="BV19" s="798"/>
      <c r="BW19" s="597"/>
      <c r="BX19" s="598"/>
      <c r="BZ19" s="780"/>
      <c r="CA19" s="780"/>
      <c r="CB19" s="779"/>
    </row>
    <row r="20" spans="3:117" ht="15.75" customHeight="1" x14ac:dyDescent="0.3">
      <c r="C20" s="595"/>
      <c r="D20" s="595"/>
      <c r="E20" s="595"/>
      <c r="F20" s="595"/>
      <c r="G20" s="1313" t="s">
        <v>42</v>
      </c>
      <c r="H20" s="1314"/>
      <c r="I20" s="1314"/>
      <c r="J20" s="1314"/>
      <c r="K20" s="1315"/>
      <c r="L20" s="625">
        <f>TINV(0.05,L19)</f>
        <v>1.9842169515864165</v>
      </c>
      <c r="M20" s="625"/>
      <c r="O20" s="595"/>
      <c r="P20" s="595"/>
      <c r="Q20" s="595"/>
      <c r="R20" s="595"/>
      <c r="S20" s="1313" t="s">
        <v>42</v>
      </c>
      <c r="T20" s="1314"/>
      <c r="U20" s="1314"/>
      <c r="V20" s="1314"/>
      <c r="W20" s="1315"/>
      <c r="X20" s="625">
        <f>TINV(0.05,X19)</f>
        <v>1.9788195347028543</v>
      </c>
      <c r="Y20" s="625"/>
      <c r="AA20" s="1060">
        <v>50</v>
      </c>
      <c r="AB20" s="1061">
        <v>0.2</v>
      </c>
      <c r="AC20" s="605"/>
      <c r="AD20" s="605"/>
      <c r="AE20" s="1310" t="s">
        <v>42</v>
      </c>
      <c r="AF20" s="1311"/>
      <c r="AG20" s="1311"/>
      <c r="AH20" s="1311"/>
      <c r="AI20" s="1312"/>
      <c r="AJ20" s="631">
        <f>TINV(0.05,AJ19)</f>
        <v>2.0085591121007611</v>
      </c>
      <c r="AK20" s="632"/>
      <c r="AL20" s="601"/>
      <c r="AM20" s="1060">
        <v>150</v>
      </c>
      <c r="AN20" s="1061">
        <v>0.2</v>
      </c>
      <c r="AO20" s="605"/>
      <c r="AP20" s="605"/>
      <c r="AQ20" s="1310" t="s">
        <v>42</v>
      </c>
      <c r="AR20" s="1311"/>
      <c r="AS20" s="1311"/>
      <c r="AT20" s="1311"/>
      <c r="AU20" s="1312"/>
      <c r="AV20" s="631">
        <f>TINV(0.05,AV19)</f>
        <v>1.9954689314298424</v>
      </c>
      <c r="AW20" s="631"/>
      <c r="BH20" s="782"/>
      <c r="BI20" s="782"/>
      <c r="BJ20" s="783"/>
      <c r="BK20" s="783"/>
      <c r="BL20" s="636"/>
      <c r="BN20" s="595"/>
      <c r="BO20" s="595"/>
      <c r="BP20" s="595"/>
      <c r="BQ20" s="803"/>
      <c r="BR20" s="798"/>
      <c r="BS20" s="798"/>
      <c r="BT20" s="798"/>
      <c r="BU20" s="798"/>
      <c r="BV20" s="798"/>
      <c r="BW20" s="598"/>
      <c r="BX20" s="598"/>
      <c r="BZ20" s="780"/>
      <c r="CA20" s="780"/>
      <c r="CB20" s="779"/>
    </row>
    <row r="21" spans="3:117" ht="15.75" customHeight="1" x14ac:dyDescent="0.3">
      <c r="C21" s="595"/>
      <c r="D21" s="595"/>
      <c r="E21" s="595"/>
      <c r="F21" s="595"/>
      <c r="G21" s="1313" t="s">
        <v>120</v>
      </c>
      <c r="H21" s="1314"/>
      <c r="I21" s="1314"/>
      <c r="J21" s="1314"/>
      <c r="K21" s="1315"/>
      <c r="L21" s="645">
        <f>L20*L18</f>
        <v>0.60888847565242932</v>
      </c>
      <c r="M21" s="625"/>
      <c r="O21" s="595"/>
      <c r="P21" s="595"/>
      <c r="Q21" s="595"/>
      <c r="R21" s="595"/>
      <c r="S21" s="1313" t="s">
        <v>120</v>
      </c>
      <c r="T21" s="1314"/>
      <c r="U21" s="1314"/>
      <c r="V21" s="1314"/>
      <c r="W21" s="1315"/>
      <c r="X21" s="645">
        <f>X20*X18</f>
        <v>0.65214372129546749</v>
      </c>
      <c r="Y21" s="625"/>
      <c r="AA21" s="605"/>
      <c r="AB21" s="605"/>
      <c r="AC21" s="605"/>
      <c r="AD21" s="605"/>
      <c r="AE21" s="1310" t="s">
        <v>225</v>
      </c>
      <c r="AF21" s="1311"/>
      <c r="AG21" s="1311"/>
      <c r="AH21" s="1311"/>
      <c r="AI21" s="1312"/>
      <c r="AJ21" s="646">
        <f>AJ20*AJ18</f>
        <v>0.46395239067499422</v>
      </c>
      <c r="AK21" s="632"/>
      <c r="AL21" s="601"/>
      <c r="AM21" s="605"/>
      <c r="AN21" s="605"/>
      <c r="AO21" s="605"/>
      <c r="AP21" s="605"/>
      <c r="AQ21" s="1310" t="s">
        <v>225</v>
      </c>
      <c r="AR21" s="1311"/>
      <c r="AS21" s="1311"/>
      <c r="AT21" s="1311"/>
      <c r="AU21" s="1312"/>
      <c r="AV21" s="646">
        <f>AV20*AV18</f>
        <v>0.5021699915215726</v>
      </c>
      <c r="AW21" s="631"/>
      <c r="BN21" s="595"/>
      <c r="BO21" s="595"/>
      <c r="BP21" s="595"/>
      <c r="BQ21" s="803"/>
      <c r="BR21" s="798"/>
      <c r="BS21" s="798"/>
      <c r="BT21" s="798"/>
      <c r="BU21" s="798"/>
      <c r="BV21" s="798"/>
      <c r="BW21" s="785"/>
      <c r="BX21" s="598"/>
    </row>
    <row r="22" spans="3:117" x14ac:dyDescent="0.3">
      <c r="C22" s="595"/>
      <c r="D22" s="595"/>
      <c r="E22" s="595"/>
      <c r="F22" s="595"/>
      <c r="G22" s="596"/>
      <c r="H22" s="596"/>
      <c r="I22" s="596"/>
      <c r="J22" s="596"/>
      <c r="K22" s="596"/>
      <c r="L22" s="597"/>
      <c r="M22" s="598"/>
      <c r="AA22" s="605"/>
      <c r="AB22" s="605"/>
      <c r="AC22" s="605"/>
      <c r="AD22" s="605"/>
      <c r="AE22" s="606"/>
      <c r="AF22" s="606"/>
      <c r="AG22" s="606"/>
      <c r="AH22" s="606"/>
      <c r="AI22" s="606"/>
      <c r="AJ22" s="607"/>
      <c r="AK22" s="647"/>
      <c r="AL22" s="601"/>
      <c r="AM22" s="601"/>
      <c r="AN22" s="601"/>
      <c r="AO22" s="601"/>
      <c r="AP22" s="601"/>
      <c r="AQ22" s="601"/>
      <c r="AR22" s="601"/>
      <c r="AS22" s="601"/>
      <c r="AT22" s="601"/>
      <c r="AU22" s="601"/>
      <c r="AV22" s="601"/>
      <c r="AW22" s="601"/>
      <c r="BN22" s="595"/>
      <c r="BO22" s="595"/>
      <c r="BP22" s="595"/>
      <c r="BQ22" s="803"/>
      <c r="BR22" s="798"/>
      <c r="BS22" s="798"/>
      <c r="BT22" s="798"/>
      <c r="BU22" s="798"/>
      <c r="BV22" s="798"/>
      <c r="BW22" s="597"/>
      <c r="BX22" s="598"/>
    </row>
    <row r="23" spans="3:117" x14ac:dyDescent="0.3">
      <c r="C23" s="595"/>
      <c r="D23" s="595"/>
      <c r="E23" s="595"/>
      <c r="F23" s="595"/>
      <c r="G23" s="596"/>
      <c r="H23" s="596"/>
      <c r="I23" s="596"/>
      <c r="J23" s="596"/>
      <c r="K23" s="596"/>
      <c r="L23" s="597"/>
      <c r="M23" s="598"/>
      <c r="AA23" s="605"/>
      <c r="AB23" s="605"/>
      <c r="AC23" s="605"/>
      <c r="AD23" s="605"/>
      <c r="AE23" s="606"/>
      <c r="AF23" s="606"/>
      <c r="AG23" s="606"/>
      <c r="AH23" s="606"/>
      <c r="AI23" s="606"/>
      <c r="AJ23" s="607"/>
      <c r="AK23" s="647"/>
      <c r="AL23" s="601"/>
      <c r="AM23" s="601"/>
      <c r="AN23" s="601"/>
      <c r="AO23" s="601"/>
      <c r="AP23" s="601"/>
      <c r="AQ23" s="601"/>
      <c r="AR23" s="601"/>
      <c r="AS23" s="601"/>
      <c r="AT23" s="601"/>
      <c r="AU23" s="601"/>
      <c r="AV23" s="601"/>
      <c r="AW23" s="601"/>
      <c r="BN23" s="595"/>
      <c r="BO23" s="595"/>
      <c r="BP23" s="595"/>
      <c r="BQ23" s="803"/>
      <c r="BR23" s="798"/>
      <c r="BS23" s="798"/>
      <c r="BT23" s="798"/>
      <c r="BU23" s="798"/>
      <c r="BV23" s="798"/>
      <c r="BW23" s="597"/>
      <c r="BX23" s="598"/>
    </row>
    <row r="24" spans="3:117" x14ac:dyDescent="0.3">
      <c r="C24" s="593">
        <f>ID!A69</f>
        <v>50</v>
      </c>
      <c r="D24" s="594" t="str">
        <f>D25</f>
        <v>mmHg</v>
      </c>
      <c r="E24" s="595"/>
      <c r="F24" s="595"/>
      <c r="G24" s="596"/>
      <c r="H24" s="596"/>
      <c r="I24" s="596"/>
      <c r="J24" s="596"/>
      <c r="K24" s="596"/>
      <c r="L24" s="597"/>
      <c r="M24" s="598"/>
      <c r="O24" s="593">
        <f>ID!A72</f>
        <v>120</v>
      </c>
      <c r="P24" s="594" t="str">
        <f>P25</f>
        <v>mmHg</v>
      </c>
      <c r="Q24" s="595"/>
      <c r="R24" s="595"/>
      <c r="S24" s="596"/>
      <c r="T24" s="596"/>
      <c r="U24" s="596"/>
      <c r="V24" s="596"/>
      <c r="W24" s="596"/>
      <c r="X24" s="597"/>
      <c r="Y24" s="598"/>
      <c r="AA24" s="603">
        <v>50</v>
      </c>
      <c r="AB24" s="604">
        <f>AB25</f>
        <v>0</v>
      </c>
      <c r="AC24" s="605"/>
      <c r="AD24" s="605"/>
      <c r="AE24" s="606"/>
      <c r="AF24" s="606"/>
      <c r="AG24" s="606"/>
      <c r="AH24" s="606"/>
      <c r="AI24" s="606"/>
      <c r="AJ24" s="607"/>
      <c r="AK24" s="647"/>
      <c r="AL24" s="601"/>
      <c r="AM24" s="603">
        <v>200</v>
      </c>
      <c r="AN24" s="604">
        <f>AN25</f>
        <v>0</v>
      </c>
      <c r="AO24" s="605"/>
      <c r="AP24" s="605"/>
      <c r="AQ24" s="606"/>
      <c r="AR24" s="606"/>
      <c r="AS24" s="606"/>
      <c r="AT24" s="606"/>
      <c r="AU24" s="606"/>
      <c r="AV24" s="607"/>
      <c r="AW24" s="608"/>
      <c r="BN24" s="772"/>
      <c r="BO24" s="773"/>
      <c r="BP24" s="595"/>
      <c r="BQ24" s="803"/>
      <c r="BR24" s="798"/>
      <c r="BS24" s="798"/>
      <c r="BT24" s="798"/>
      <c r="BU24" s="798"/>
      <c r="BV24" s="798"/>
      <c r="BW24" s="597"/>
      <c r="BX24" s="598"/>
    </row>
    <row r="25" spans="3:117" x14ac:dyDescent="0.3">
      <c r="C25" s="611"/>
      <c r="D25" s="610" t="s">
        <v>38</v>
      </c>
      <c r="O25" s="611"/>
      <c r="P25" s="610" t="s">
        <v>38</v>
      </c>
      <c r="AA25" s="611"/>
      <c r="AB25" s="612"/>
      <c r="AC25" s="601"/>
      <c r="AD25" s="601"/>
      <c r="AE25" s="601"/>
      <c r="AF25" s="601"/>
      <c r="AG25" s="601"/>
      <c r="AH25" s="601"/>
      <c r="AI25" s="601"/>
      <c r="AJ25" s="601"/>
      <c r="AK25" s="602"/>
      <c r="AL25" s="601"/>
      <c r="AM25" s="611"/>
      <c r="AN25" s="612"/>
      <c r="AO25" s="601"/>
      <c r="AP25" s="601"/>
      <c r="AQ25" s="601"/>
      <c r="AR25" s="601"/>
      <c r="AS25" s="601"/>
      <c r="AT25" s="601"/>
      <c r="AU25" s="601"/>
      <c r="AV25" s="601"/>
      <c r="AW25" s="601"/>
      <c r="BN25" s="609"/>
      <c r="BO25" s="610"/>
      <c r="BQ25" s="799"/>
      <c r="BR25" s="798"/>
      <c r="BS25" s="798"/>
      <c r="BT25" s="798"/>
      <c r="BU25" s="798"/>
      <c r="BV25" s="798"/>
    </row>
    <row r="26" spans="3:117" s="615" customFormat="1" ht="18.75" customHeight="1" x14ac:dyDescent="0.4">
      <c r="C26" s="613" t="s">
        <v>40</v>
      </c>
      <c r="D26" s="613" t="s">
        <v>41</v>
      </c>
      <c r="E26" s="613" t="s">
        <v>80</v>
      </c>
      <c r="F26" s="613" t="s">
        <v>79</v>
      </c>
      <c r="G26" s="613" t="s">
        <v>14</v>
      </c>
      <c r="H26" s="613" t="s">
        <v>113</v>
      </c>
      <c r="I26" s="613" t="s">
        <v>114</v>
      </c>
      <c r="J26" s="613" t="s">
        <v>115</v>
      </c>
      <c r="K26" s="613" t="s">
        <v>116</v>
      </c>
      <c r="L26" s="613" t="s">
        <v>117</v>
      </c>
      <c r="M26" s="614" t="s">
        <v>118</v>
      </c>
      <c r="O26" s="613" t="s">
        <v>40</v>
      </c>
      <c r="P26" s="613" t="s">
        <v>41</v>
      </c>
      <c r="Q26" s="613" t="s">
        <v>80</v>
      </c>
      <c r="R26" s="613" t="s">
        <v>79</v>
      </c>
      <c r="S26" s="613" t="s">
        <v>14</v>
      </c>
      <c r="T26" s="613" t="s">
        <v>113</v>
      </c>
      <c r="U26" s="613" t="s">
        <v>114</v>
      </c>
      <c r="V26" s="613" t="s">
        <v>115</v>
      </c>
      <c r="W26" s="613" t="s">
        <v>116</v>
      </c>
      <c r="X26" s="613" t="s">
        <v>117</v>
      </c>
      <c r="Y26" s="614" t="s">
        <v>118</v>
      </c>
      <c r="AA26" s="616" t="s">
        <v>40</v>
      </c>
      <c r="AB26" s="616" t="s">
        <v>41</v>
      </c>
      <c r="AC26" s="616" t="s">
        <v>80</v>
      </c>
      <c r="AD26" s="616" t="s">
        <v>79</v>
      </c>
      <c r="AE26" s="616" t="s">
        <v>14</v>
      </c>
      <c r="AF26" s="616" t="s">
        <v>218</v>
      </c>
      <c r="AG26" s="616" t="s">
        <v>219</v>
      </c>
      <c r="AH26" s="616" t="s">
        <v>220</v>
      </c>
      <c r="AI26" s="616" t="s">
        <v>221</v>
      </c>
      <c r="AJ26" s="616" t="s">
        <v>222</v>
      </c>
      <c r="AK26" s="617" t="s">
        <v>223</v>
      </c>
      <c r="AL26" s="618"/>
      <c r="AM26" s="616" t="s">
        <v>40</v>
      </c>
      <c r="AN26" s="616" t="s">
        <v>41</v>
      </c>
      <c r="AO26" s="616" t="s">
        <v>80</v>
      </c>
      <c r="AP26" s="616" t="s">
        <v>79</v>
      </c>
      <c r="AQ26" s="616" t="s">
        <v>14</v>
      </c>
      <c r="AR26" s="616" t="s">
        <v>218</v>
      </c>
      <c r="AS26" s="616" t="s">
        <v>219</v>
      </c>
      <c r="AT26" s="616" t="s">
        <v>220</v>
      </c>
      <c r="AU26" s="616" t="s">
        <v>221</v>
      </c>
      <c r="AV26" s="616" t="s">
        <v>222</v>
      </c>
      <c r="AW26" s="619" t="s">
        <v>223</v>
      </c>
      <c r="AZ26" s="588"/>
      <c r="BA26" s="588"/>
      <c r="BB26" s="588"/>
      <c r="BC26" s="588"/>
      <c r="BD26" s="588"/>
      <c r="BE26" s="588"/>
      <c r="BF26" s="588"/>
      <c r="BG26" s="588"/>
      <c r="BN26" s="774"/>
      <c r="BO26" s="774"/>
      <c r="BP26" s="774"/>
      <c r="BQ26" s="800"/>
      <c r="BR26" s="798"/>
      <c r="BS26" s="798"/>
      <c r="BT26" s="798"/>
      <c r="BU26" s="798"/>
      <c r="BV26" s="798"/>
      <c r="BW26" s="774"/>
      <c r="BX26" s="651"/>
      <c r="BZ26" s="588"/>
      <c r="CA26" s="588"/>
      <c r="CB26" s="588"/>
      <c r="CC26" s="588"/>
      <c r="CD26" s="588"/>
      <c r="CE26" s="588"/>
      <c r="CF26" s="588"/>
      <c r="CG26" s="588"/>
      <c r="CH26" s="588"/>
      <c r="CI26" s="588"/>
      <c r="CJ26" s="588"/>
      <c r="CK26" s="588"/>
      <c r="CL26" s="588"/>
      <c r="CM26" s="588"/>
      <c r="CN26" s="588"/>
      <c r="CO26" s="588"/>
      <c r="CP26" s="588"/>
      <c r="CQ26" s="588"/>
      <c r="CR26" s="588"/>
      <c r="CS26" s="588"/>
      <c r="CT26" s="588"/>
      <c r="CU26" s="588"/>
      <c r="CV26" s="588"/>
      <c r="CW26" s="588"/>
      <c r="CX26" s="588"/>
      <c r="CY26" s="588"/>
      <c r="CZ26" s="588"/>
      <c r="DA26" s="588"/>
      <c r="DB26" s="588"/>
      <c r="DC26" s="588"/>
      <c r="DD26" s="588"/>
      <c r="DE26" s="588"/>
      <c r="DF26" s="588"/>
      <c r="DG26" s="588"/>
      <c r="DH26" s="588"/>
      <c r="DI26" s="588"/>
      <c r="DJ26" s="588"/>
      <c r="DK26" s="588"/>
      <c r="DL26" s="588"/>
      <c r="DM26" s="588"/>
    </row>
    <row r="27" spans="3:117" ht="31.2" x14ac:dyDescent="0.3">
      <c r="C27" s="620" t="s">
        <v>83</v>
      </c>
      <c r="D27" s="621" t="s">
        <v>38</v>
      </c>
      <c r="E27" s="622" t="s">
        <v>11</v>
      </c>
      <c r="F27" s="623">
        <f>ID!M69</f>
        <v>0.11547005383792268</v>
      </c>
      <c r="G27" s="623">
        <f>SQRT(3)</f>
        <v>1.7320508075688772</v>
      </c>
      <c r="H27" s="623">
        <f>(F27/G27)</f>
        <v>6.6666666666665236E-2</v>
      </c>
      <c r="I27" s="624">
        <v>1</v>
      </c>
      <c r="J27" s="624">
        <v>5</v>
      </c>
      <c r="K27" s="625">
        <f>H27*I27</f>
        <v>6.6666666666665236E-2</v>
      </c>
      <c r="L27" s="625">
        <f>K27^2</f>
        <v>4.4444444444442536E-3</v>
      </c>
      <c r="M27" s="625">
        <f>((K27)^4)/J27</f>
        <v>3.9506172839502778E-6</v>
      </c>
      <c r="O27" s="620" t="s">
        <v>83</v>
      </c>
      <c r="P27" s="621" t="s">
        <v>38</v>
      </c>
      <c r="Q27" s="622" t="s">
        <v>11</v>
      </c>
      <c r="R27" s="623">
        <f>ID!M72</f>
        <v>5.7735026918959292E-2</v>
      </c>
      <c r="S27" s="623">
        <f>SQRT(3)</f>
        <v>1.7320508075688772</v>
      </c>
      <c r="T27" s="623">
        <f>(R27/S27)</f>
        <v>3.3333333333331439E-2</v>
      </c>
      <c r="U27" s="624">
        <v>1</v>
      </c>
      <c r="V27" s="624">
        <v>5</v>
      </c>
      <c r="W27" s="625">
        <f>T27*U27</f>
        <v>3.3333333333331439E-2</v>
      </c>
      <c r="X27" s="625">
        <f>W27^2</f>
        <v>1.1111111111109847E-3</v>
      </c>
      <c r="Y27" s="625">
        <f>((W27)^4)/V27</f>
        <v>2.4691358024685737E-7</v>
      </c>
      <c r="AA27" s="626" t="s">
        <v>83</v>
      </c>
      <c r="AB27" s="627" t="s">
        <v>38</v>
      </c>
      <c r="AC27" s="628" t="s">
        <v>11</v>
      </c>
      <c r="AD27" s="629">
        <v>0</v>
      </c>
      <c r="AE27" s="629">
        <v>1.7320508075688772</v>
      </c>
      <c r="AF27" s="629">
        <f>0/1.7321</f>
        <v>0</v>
      </c>
      <c r="AG27" s="630">
        <v>1</v>
      </c>
      <c r="AH27" s="630">
        <f>3-1</f>
        <v>2</v>
      </c>
      <c r="AI27" s="631">
        <f>(0*1)</f>
        <v>0</v>
      </c>
      <c r="AJ27" s="631">
        <f>(0*1)^2</f>
        <v>0</v>
      </c>
      <c r="AK27" s="632">
        <f>((0*1)^4)/2</f>
        <v>0</v>
      </c>
      <c r="AL27" s="601"/>
      <c r="AM27" s="626" t="s">
        <v>83</v>
      </c>
      <c r="AN27" s="627" t="s">
        <v>38</v>
      </c>
      <c r="AO27" s="628" t="s">
        <v>11</v>
      </c>
      <c r="AP27" s="629">
        <v>0</v>
      </c>
      <c r="AQ27" s="629">
        <v>1.7320508075688772</v>
      </c>
      <c r="AR27" s="629">
        <f>0/1.7321</f>
        <v>0</v>
      </c>
      <c r="AS27" s="630">
        <v>1</v>
      </c>
      <c r="AT27" s="630">
        <f>3-1</f>
        <v>2</v>
      </c>
      <c r="AU27" s="631">
        <f>(0*1)</f>
        <v>0</v>
      </c>
      <c r="AV27" s="631">
        <f>(0*1)^2</f>
        <v>0</v>
      </c>
      <c r="AW27" s="632">
        <f>((0*1)^4)/2</f>
        <v>0</v>
      </c>
      <c r="BN27" s="595"/>
      <c r="BO27" s="775"/>
      <c r="BP27" s="776"/>
      <c r="BQ27" s="801"/>
      <c r="BR27" s="798"/>
      <c r="BS27" s="798"/>
      <c r="BT27" s="798"/>
      <c r="BU27" s="798"/>
      <c r="BV27" s="798"/>
      <c r="BW27" s="598"/>
      <c r="BX27" s="598"/>
      <c r="BZ27" s="1062"/>
      <c r="CA27" s="1063"/>
      <c r="CB27" s="1063"/>
    </row>
    <row r="28" spans="3:117" ht="31.2" x14ac:dyDescent="0.3">
      <c r="C28" s="620" t="s">
        <v>82</v>
      </c>
      <c r="D28" s="621" t="s">
        <v>38</v>
      </c>
      <c r="E28" s="622" t="s">
        <v>11</v>
      </c>
      <c r="F28" s="1058">
        <f>'INTERPOLASI  '!AU19</f>
        <v>0.4</v>
      </c>
      <c r="G28" s="624">
        <v>2</v>
      </c>
      <c r="H28" s="623">
        <f>F28/G28</f>
        <v>0.2</v>
      </c>
      <c r="I28" s="624">
        <v>1</v>
      </c>
      <c r="J28" s="624">
        <v>50</v>
      </c>
      <c r="K28" s="625">
        <f>H28*I28</f>
        <v>0.2</v>
      </c>
      <c r="L28" s="625">
        <f>K28^2</f>
        <v>4.0000000000000008E-2</v>
      </c>
      <c r="M28" s="625">
        <f>((K28)^4)/J28</f>
        <v>3.2000000000000012E-5</v>
      </c>
      <c r="O28" s="620" t="s">
        <v>82</v>
      </c>
      <c r="P28" s="621" t="s">
        <v>38</v>
      </c>
      <c r="Q28" s="622" t="s">
        <v>11</v>
      </c>
      <c r="R28" s="1058">
        <f>'INTERPOLASI  '!AU22</f>
        <v>0.4</v>
      </c>
      <c r="S28" s="624">
        <v>2</v>
      </c>
      <c r="T28" s="623">
        <f>R28/S28</f>
        <v>0.2</v>
      </c>
      <c r="U28" s="624">
        <v>1</v>
      </c>
      <c r="V28" s="624">
        <v>50</v>
      </c>
      <c r="W28" s="625">
        <f>T28*U28</f>
        <v>0.2</v>
      </c>
      <c r="X28" s="625">
        <f>W28^2</f>
        <v>4.0000000000000008E-2</v>
      </c>
      <c r="Y28" s="625">
        <f>((W28)^4)/V28</f>
        <v>3.2000000000000012E-5</v>
      </c>
      <c r="AA28" s="626" t="s">
        <v>82</v>
      </c>
      <c r="AB28" s="627" t="s">
        <v>38</v>
      </c>
      <c r="AC28" s="628" t="s">
        <v>11</v>
      </c>
      <c r="AD28" s="633">
        <f>(((0.2-0.1)*(49-0))/(50-0))+(0.1)</f>
        <v>0.19800000000000001</v>
      </c>
      <c r="AE28" s="630">
        <v>2</v>
      </c>
      <c r="AF28" s="629">
        <f>0.198/2</f>
        <v>9.9000000000000005E-2</v>
      </c>
      <c r="AG28" s="630">
        <v>1</v>
      </c>
      <c r="AH28" s="630">
        <v>50</v>
      </c>
      <c r="AI28" s="631">
        <f>(0.099*1)</f>
        <v>9.9000000000000005E-2</v>
      </c>
      <c r="AJ28" s="631">
        <f>(0.099*1)^2</f>
        <v>9.8010000000000007E-3</v>
      </c>
      <c r="AK28" s="631">
        <f>((0.099*1)^4)/50</f>
        <v>1.9211920200000002E-6</v>
      </c>
      <c r="AL28" s="601"/>
      <c r="AM28" s="626" t="s">
        <v>82</v>
      </c>
      <c r="AN28" s="627" t="s">
        <v>38</v>
      </c>
      <c r="AO28" s="628" t="s">
        <v>11</v>
      </c>
      <c r="AP28" s="633">
        <f>(((0.2-0.2)*(149-0.2))/(150-100))+(0.2)</f>
        <v>0.2</v>
      </c>
      <c r="AQ28" s="630">
        <v>2</v>
      </c>
      <c r="AR28" s="629">
        <f>0.2/2</f>
        <v>0.1</v>
      </c>
      <c r="AS28" s="630">
        <v>1</v>
      </c>
      <c r="AT28" s="630">
        <v>50</v>
      </c>
      <c r="AU28" s="631">
        <f>(0.1*1)</f>
        <v>0.1</v>
      </c>
      <c r="AV28" s="631">
        <f>(0.1*1)^2</f>
        <v>1.0000000000000002E-2</v>
      </c>
      <c r="AW28" s="631">
        <f>((0.1*1)^4)/50</f>
        <v>2.0000000000000008E-6</v>
      </c>
      <c r="BH28" s="796">
        <f>F28</f>
        <v>0.4</v>
      </c>
      <c r="BI28" s="790" t="s">
        <v>559</v>
      </c>
      <c r="BJ28" s="1059"/>
      <c r="BK28" s="1059"/>
      <c r="BL28" s="1043">
        <f>C25</f>
        <v>0</v>
      </c>
      <c r="BM28" s="791">
        <f>'INTERPOLASI  '!AS19</f>
        <v>50</v>
      </c>
      <c r="BN28" s="792">
        <f>'INTERPOLASI  '!AQ19</f>
        <v>0.4</v>
      </c>
      <c r="BO28" s="793">
        <f>'INTERPOLASI  '!AT19</f>
        <v>100</v>
      </c>
      <c r="BP28" s="794">
        <f>'INTERPOLASI  '!AR19</f>
        <v>0.4</v>
      </c>
      <c r="BQ28" s="802">
        <f>((((BP28-BN28)*(BL28-BM28)))/(BO28-BM28))+BN28</f>
        <v>0.4</v>
      </c>
      <c r="BR28" s="798"/>
      <c r="BS28" s="796">
        <f>R28</f>
        <v>0.4</v>
      </c>
      <c r="BT28" s="790" t="s">
        <v>559</v>
      </c>
      <c r="BU28" s="1059"/>
      <c r="BV28" s="1059"/>
      <c r="BW28" s="1043">
        <f>O25</f>
        <v>0</v>
      </c>
      <c r="BX28" s="791">
        <f>'INTERPOLASI  '!AS22</f>
        <v>100</v>
      </c>
      <c r="BY28" s="792">
        <f>'INTERPOLASI  '!AQ22</f>
        <v>0.4</v>
      </c>
      <c r="BZ28" s="793">
        <f>'INTERPOLASI  '!AT22</f>
        <v>150</v>
      </c>
      <c r="CA28" s="794">
        <f>'INTERPOLASI  '!AR22</f>
        <v>0.4</v>
      </c>
      <c r="CB28" s="802">
        <f>((((CA28-BY28)*(BW28-BX28)))/(BZ28-BX28))+BY28</f>
        <v>0.4</v>
      </c>
    </row>
    <row r="29" spans="3:117" ht="31.2" x14ac:dyDescent="0.3">
      <c r="C29" s="620" t="s">
        <v>240</v>
      </c>
      <c r="D29" s="621" t="s">
        <v>38</v>
      </c>
      <c r="E29" s="622" t="s">
        <v>85</v>
      </c>
      <c r="F29" s="623">
        <f>B15</f>
        <v>0.4</v>
      </c>
      <c r="G29" s="623">
        <f>SQRT(3)</f>
        <v>1.7320508075688772</v>
      </c>
      <c r="H29" s="623">
        <f>F29/G29</f>
        <v>0.23094010767585033</v>
      </c>
      <c r="I29" s="624">
        <v>1</v>
      </c>
      <c r="J29" s="624">
        <v>50</v>
      </c>
      <c r="K29" s="625">
        <f>H29*I29</f>
        <v>0.23094010767585033</v>
      </c>
      <c r="L29" s="625">
        <f>K29^2</f>
        <v>5.3333333333333344E-2</v>
      </c>
      <c r="M29" s="625">
        <f>((K29)^4)/J29</f>
        <v>5.6888888888888908E-5</v>
      </c>
      <c r="O29" s="620" t="s">
        <v>240</v>
      </c>
      <c r="P29" s="621" t="s">
        <v>38</v>
      </c>
      <c r="Q29" s="622" t="s">
        <v>85</v>
      </c>
      <c r="R29" s="623">
        <f>B15</f>
        <v>0.4</v>
      </c>
      <c r="S29" s="623">
        <f>SQRT(3)</f>
        <v>1.7320508075688772</v>
      </c>
      <c r="T29" s="623">
        <f>R29/S29</f>
        <v>0.23094010767585033</v>
      </c>
      <c r="U29" s="624">
        <v>1</v>
      </c>
      <c r="V29" s="624">
        <v>50</v>
      </c>
      <c r="W29" s="625">
        <f>T29*U29</f>
        <v>0.23094010767585033</v>
      </c>
      <c r="X29" s="625">
        <f>W29^2</f>
        <v>5.3333333333333344E-2</v>
      </c>
      <c r="Y29" s="625">
        <f>((W29)^4)/V29</f>
        <v>5.6888888888888908E-5</v>
      </c>
      <c r="AA29" s="626" t="s">
        <v>76</v>
      </c>
      <c r="AB29" s="627" t="s">
        <v>38</v>
      </c>
      <c r="AC29" s="628" t="s">
        <v>85</v>
      </c>
      <c r="AD29" s="629">
        <f>(1/5)*2</f>
        <v>0.4</v>
      </c>
      <c r="AE29" s="629">
        <v>1.7320508075688772</v>
      </c>
      <c r="AF29" s="635">
        <f>0.4/1.7321</f>
        <v>0.23093354887131229</v>
      </c>
      <c r="AG29" s="630">
        <v>1</v>
      </c>
      <c r="AH29" s="630">
        <v>50</v>
      </c>
      <c r="AI29" s="631">
        <f>(0.230933548871*1)</f>
        <v>0.23093354887100001</v>
      </c>
      <c r="AJ29" s="631">
        <f>(0.230933548871*1)^2</f>
        <v>5.3330303994154553E-2</v>
      </c>
      <c r="AK29" s="631">
        <f>((0.230933548871*1)^4)/50</f>
        <v>5.6882426482178737E-5</v>
      </c>
      <c r="AL29" s="601"/>
      <c r="AM29" s="626" t="s">
        <v>76</v>
      </c>
      <c r="AN29" s="627" t="s">
        <v>38</v>
      </c>
      <c r="AO29" s="628" t="s">
        <v>85</v>
      </c>
      <c r="AP29" s="629">
        <f>(1/5)*2</f>
        <v>0.4</v>
      </c>
      <c r="AQ29" s="629">
        <v>1.7320508075688772</v>
      </c>
      <c r="AR29" s="635">
        <f>0.4/1.7321</f>
        <v>0.23093354887131229</v>
      </c>
      <c r="AS29" s="630">
        <v>1</v>
      </c>
      <c r="AT29" s="630">
        <v>50</v>
      </c>
      <c r="AU29" s="631">
        <f>(0.230933548871*1)</f>
        <v>0.23093354887100001</v>
      </c>
      <c r="AV29" s="631">
        <f>(0.230933548871*1)^2</f>
        <v>5.3330303994154553E-2</v>
      </c>
      <c r="AW29" s="631">
        <f>((0.230933548871*1)^4)/50</f>
        <v>5.6882426482178737E-5</v>
      </c>
      <c r="BH29" s="782"/>
      <c r="BI29" s="782"/>
      <c r="BJ29" s="783"/>
      <c r="BK29" s="783"/>
      <c r="BL29" s="1044"/>
      <c r="BN29" s="595"/>
      <c r="BO29" s="775"/>
      <c r="BP29" s="776"/>
      <c r="BQ29" s="801"/>
      <c r="BR29" s="798"/>
      <c r="BS29" s="782"/>
      <c r="BT29" s="782"/>
      <c r="BU29" s="783"/>
      <c r="BV29" s="783"/>
      <c r="BW29" s="1044"/>
      <c r="BY29" s="595"/>
      <c r="BZ29" s="775"/>
      <c r="CA29" s="776"/>
      <c r="CB29" s="801"/>
    </row>
    <row r="30" spans="3:117" ht="28.5" customHeight="1" x14ac:dyDescent="0.3">
      <c r="C30" s="620" t="s">
        <v>241</v>
      </c>
      <c r="D30" s="621" t="s">
        <v>38</v>
      </c>
      <c r="E30" s="622" t="s">
        <v>85</v>
      </c>
      <c r="F30" s="637">
        <f>(1/2)*'RESOLUSI STANDAR'!$K$7</f>
        <v>0.05</v>
      </c>
      <c r="G30" s="623">
        <f>SQRT(3)</f>
        <v>1.7320508075688772</v>
      </c>
      <c r="H30" s="623">
        <f>F30/G30</f>
        <v>2.8867513459481291E-2</v>
      </c>
      <c r="I30" s="624">
        <v>1</v>
      </c>
      <c r="J30" s="624">
        <v>50</v>
      </c>
      <c r="K30" s="625">
        <f>H30*I30</f>
        <v>2.8867513459481291E-2</v>
      </c>
      <c r="L30" s="625">
        <f>K30^2</f>
        <v>8.333333333333335E-4</v>
      </c>
      <c r="M30" s="625">
        <f>((K30)^4)/J30</f>
        <v>1.3888888888888894E-8</v>
      </c>
      <c r="O30" s="620" t="s">
        <v>241</v>
      </c>
      <c r="P30" s="621" t="s">
        <v>38</v>
      </c>
      <c r="Q30" s="622" t="s">
        <v>85</v>
      </c>
      <c r="R30" s="637">
        <f>(1/2)*'RESOLUSI STANDAR'!$K$7</f>
        <v>0.05</v>
      </c>
      <c r="S30" s="623">
        <f>SQRT(3)</f>
        <v>1.7320508075688772</v>
      </c>
      <c r="T30" s="623">
        <f>R30/S30</f>
        <v>2.8867513459481291E-2</v>
      </c>
      <c r="U30" s="624">
        <v>1</v>
      </c>
      <c r="V30" s="624">
        <v>50</v>
      </c>
      <c r="W30" s="625">
        <f>T30*U30</f>
        <v>2.8867513459481291E-2</v>
      </c>
      <c r="X30" s="625">
        <f>W30^2</f>
        <v>8.333333333333335E-4</v>
      </c>
      <c r="Y30" s="625">
        <f>((W30)^4)/V30</f>
        <v>1.3888888888888894E-8</v>
      </c>
      <c r="AA30" s="626"/>
      <c r="AB30" s="627"/>
      <c r="AC30" s="628"/>
      <c r="AD30" s="638"/>
      <c r="AE30" s="629"/>
      <c r="AF30" s="635"/>
      <c r="AG30" s="630"/>
      <c r="AH30" s="630"/>
      <c r="AI30" s="631"/>
      <c r="AJ30" s="631"/>
      <c r="AK30" s="631"/>
      <c r="AL30" s="601"/>
      <c r="AM30" s="626"/>
      <c r="AN30" s="627"/>
      <c r="AO30" s="628"/>
      <c r="AP30" s="638"/>
      <c r="AQ30" s="629"/>
      <c r="AR30" s="635"/>
      <c r="AS30" s="630"/>
      <c r="AT30" s="630"/>
      <c r="AU30" s="631"/>
      <c r="AV30" s="631"/>
      <c r="AW30" s="631"/>
      <c r="BH30" s="782"/>
      <c r="BI30" s="782"/>
      <c r="BJ30" s="783"/>
      <c r="BK30" s="783"/>
      <c r="BL30" s="1044"/>
      <c r="BN30" s="595"/>
      <c r="BO30" s="775"/>
      <c r="BP30" s="776"/>
      <c r="BQ30" s="801"/>
      <c r="BR30" s="798"/>
      <c r="BS30" s="782"/>
      <c r="BT30" s="782"/>
      <c r="BU30" s="783"/>
      <c r="BV30" s="783"/>
      <c r="BW30" s="1044"/>
      <c r="BY30" s="595"/>
      <c r="BZ30" s="775"/>
      <c r="CA30" s="776"/>
      <c r="CB30" s="801"/>
    </row>
    <row r="31" spans="3:117" x14ac:dyDescent="0.3">
      <c r="C31" s="620" t="s">
        <v>51</v>
      </c>
      <c r="D31" s="621" t="s">
        <v>38</v>
      </c>
      <c r="E31" s="622" t="s">
        <v>85</v>
      </c>
      <c r="F31" s="1058">
        <f>'INTERPOLASI  '!BT19</f>
        <v>0.25</v>
      </c>
      <c r="G31" s="623">
        <f>SQRT(3)</f>
        <v>1.7320508075688772</v>
      </c>
      <c r="H31" s="623">
        <f>F31/G31</f>
        <v>0.14433756729740646</v>
      </c>
      <c r="I31" s="624">
        <v>1</v>
      </c>
      <c r="J31" s="624">
        <v>50</v>
      </c>
      <c r="K31" s="625">
        <f>H31*I31</f>
        <v>0.14433756729740646</v>
      </c>
      <c r="L31" s="625">
        <f>K31^2</f>
        <v>2.0833333333333339E-2</v>
      </c>
      <c r="M31" s="625">
        <f>((K31)^4)/J31</f>
        <v>8.6805555555555606E-6</v>
      </c>
      <c r="O31" s="620" t="s">
        <v>51</v>
      </c>
      <c r="P31" s="621" t="s">
        <v>38</v>
      </c>
      <c r="Q31" s="622" t="s">
        <v>85</v>
      </c>
      <c r="R31" s="1058">
        <f>'INTERPOLASI  '!BT22</f>
        <v>0.18000000000000002</v>
      </c>
      <c r="S31" s="623">
        <f>SQRT(3)</f>
        <v>1.7320508075688772</v>
      </c>
      <c r="T31" s="623">
        <f>R31/S31</f>
        <v>0.10392304845413265</v>
      </c>
      <c r="U31" s="624">
        <v>1</v>
      </c>
      <c r="V31" s="624">
        <v>50</v>
      </c>
      <c r="W31" s="625">
        <f>T31*U31</f>
        <v>0.10392304845413265</v>
      </c>
      <c r="X31" s="625">
        <f>W31^2</f>
        <v>1.0800000000000002E-2</v>
      </c>
      <c r="Y31" s="625">
        <f>((W31)^4)/V31</f>
        <v>2.3328000000000008E-6</v>
      </c>
      <c r="AA31" s="626" t="s">
        <v>51</v>
      </c>
      <c r="AB31" s="627" t="s">
        <v>38</v>
      </c>
      <c r="AC31" s="628" t="s">
        <v>85</v>
      </c>
      <c r="AD31" s="633">
        <v>0</v>
      </c>
      <c r="AE31" s="629">
        <v>1.7320508075688772</v>
      </c>
      <c r="AF31" s="629">
        <f>0/1.7321</f>
        <v>0</v>
      </c>
      <c r="AG31" s="630">
        <v>1</v>
      </c>
      <c r="AH31" s="630">
        <v>50</v>
      </c>
      <c r="AI31" s="631">
        <f>(0*1)</f>
        <v>0</v>
      </c>
      <c r="AJ31" s="631">
        <f>(0*1)^2</f>
        <v>0</v>
      </c>
      <c r="AK31" s="632">
        <f>((0*1)^4)/50</f>
        <v>0</v>
      </c>
      <c r="AL31" s="601"/>
      <c r="AM31" s="626" t="s">
        <v>51</v>
      </c>
      <c r="AN31" s="627" t="s">
        <v>38</v>
      </c>
      <c r="AO31" s="628" t="s">
        <v>85</v>
      </c>
      <c r="AP31" s="633">
        <v>0</v>
      </c>
      <c r="AQ31" s="629">
        <v>1.7320508075688772</v>
      </c>
      <c r="AR31" s="629">
        <f>0/1.7321</f>
        <v>0</v>
      </c>
      <c r="AS31" s="630">
        <v>1</v>
      </c>
      <c r="AT31" s="630">
        <v>50</v>
      </c>
      <c r="AU31" s="631">
        <f>(0*1)</f>
        <v>0</v>
      </c>
      <c r="AV31" s="631">
        <f>(0*1)^2</f>
        <v>0</v>
      </c>
      <c r="AW31" s="632">
        <f>((0*1)^4)/50</f>
        <v>0</v>
      </c>
      <c r="BH31" s="782">
        <f>F31</f>
        <v>0.25</v>
      </c>
      <c r="BI31" s="790" t="s">
        <v>559</v>
      </c>
      <c r="BJ31" s="1059"/>
      <c r="BK31" s="1059"/>
      <c r="BL31" s="1043">
        <f>C25</f>
        <v>0</v>
      </c>
      <c r="BM31" s="791">
        <f>'INTERPOLASI  '!BR19</f>
        <v>50</v>
      </c>
      <c r="BN31" s="795">
        <f>'INTERPOLASI  '!BP19</f>
        <v>0.25</v>
      </c>
      <c r="BO31" s="793">
        <f>'INTERPOLASI  '!BS19</f>
        <v>100</v>
      </c>
      <c r="BP31" s="795">
        <f>'INTERPOLASI  '!BQ19</f>
        <v>0.2</v>
      </c>
      <c r="BQ31" s="802">
        <f>((((BP31-BN31)*(BL31-BM31)))/(BO31-BM31))+BN31</f>
        <v>0.3</v>
      </c>
      <c r="BR31" s="798"/>
      <c r="BS31" s="782">
        <f>R31</f>
        <v>0.18000000000000002</v>
      </c>
      <c r="BT31" s="790" t="s">
        <v>559</v>
      </c>
      <c r="BU31" s="1059"/>
      <c r="BV31" s="1059"/>
      <c r="BW31" s="1043">
        <f>O25</f>
        <v>0</v>
      </c>
      <c r="BX31" s="791">
        <f>'INTERPOLASI  '!BR22</f>
        <v>100</v>
      </c>
      <c r="BY31" s="795">
        <f>'INTERPOLASI  '!BP22</f>
        <v>0.2</v>
      </c>
      <c r="BZ31" s="793">
        <f>'INTERPOLASI  '!BS22</f>
        <v>150</v>
      </c>
      <c r="CA31" s="795">
        <f>'INTERPOLASI  '!BQ22</f>
        <v>0.15000000000000002</v>
      </c>
      <c r="CB31" s="802">
        <f>((((CA31-BY31)*(BW31-BX31)))/(BZ31-BX31))+BY31</f>
        <v>0.3</v>
      </c>
    </row>
    <row r="32" spans="3:117" x14ac:dyDescent="0.3">
      <c r="C32" s="639"/>
      <c r="D32" s="639"/>
      <c r="E32" s="639"/>
      <c r="F32" s="639"/>
      <c r="G32" s="1050" t="s">
        <v>84</v>
      </c>
      <c r="H32" s="1051"/>
      <c r="I32" s="1051"/>
      <c r="J32" s="1051"/>
      <c r="K32" s="1052"/>
      <c r="L32" s="640">
        <f>SUM(L27:L31)</f>
        <v>0.11944444444444428</v>
      </c>
      <c r="M32" s="640">
        <f>SUM(M27:M31)</f>
        <v>1.0153395061728365E-4</v>
      </c>
      <c r="O32" s="639"/>
      <c r="P32" s="639"/>
      <c r="Q32" s="639"/>
      <c r="R32" s="639"/>
      <c r="S32" s="1050" t="s">
        <v>84</v>
      </c>
      <c r="T32" s="1051"/>
      <c r="U32" s="1051"/>
      <c r="V32" s="1051"/>
      <c r="W32" s="1052"/>
      <c r="X32" s="640">
        <f>SUM(X27:X31)</f>
        <v>0.10607777777777767</v>
      </c>
      <c r="Y32" s="640">
        <f>SUM(Y27:Y31)</f>
        <v>9.1482491358024664E-5</v>
      </c>
      <c r="AA32" s="641"/>
      <c r="AB32" s="641"/>
      <c r="AC32" s="641"/>
      <c r="AD32" s="641"/>
      <c r="AE32" s="1047" t="s">
        <v>84</v>
      </c>
      <c r="AF32" s="1048"/>
      <c r="AG32" s="1048"/>
      <c r="AH32" s="1048"/>
      <c r="AI32" s="1049"/>
      <c r="AJ32" s="643">
        <f>SUM(AJ27:AJ31)</f>
        <v>6.313130399415455E-2</v>
      </c>
      <c r="AK32" s="642">
        <f>SUM(AK27:AK31)</f>
        <v>5.8803618502178739E-5</v>
      </c>
      <c r="AL32" s="601"/>
      <c r="AM32" s="641"/>
      <c r="AN32" s="641"/>
      <c r="AO32" s="641"/>
      <c r="AP32" s="641"/>
      <c r="AQ32" s="1047" t="s">
        <v>84</v>
      </c>
      <c r="AR32" s="1048"/>
      <c r="AS32" s="1048"/>
      <c r="AT32" s="1048"/>
      <c r="AU32" s="1049"/>
      <c r="AV32" s="643">
        <f>SUM(AV27:AV31)</f>
        <v>6.3330303994154555E-2</v>
      </c>
      <c r="AW32" s="643">
        <f>SUM(AW27:AW31)</f>
        <v>5.8882426482178738E-5</v>
      </c>
      <c r="BN32" s="595"/>
      <c r="BO32" s="595"/>
      <c r="BP32" s="595"/>
      <c r="BQ32" s="803"/>
      <c r="BR32" s="596"/>
      <c r="BS32" s="596"/>
      <c r="BT32" s="596"/>
      <c r="BU32" s="596"/>
      <c r="BV32" s="596"/>
      <c r="BW32" s="597"/>
      <c r="BX32" s="597"/>
      <c r="BZ32" s="1062"/>
      <c r="CA32" s="1063"/>
      <c r="CB32" s="1063"/>
    </row>
    <row r="33" spans="3:117" ht="17.25" customHeight="1" x14ac:dyDescent="0.4">
      <c r="C33" s="595"/>
      <c r="D33" s="595"/>
      <c r="E33" s="595"/>
      <c r="F33" s="595"/>
      <c r="G33" s="1313" t="s">
        <v>119</v>
      </c>
      <c r="H33" s="1314"/>
      <c r="I33" s="1314"/>
      <c r="J33" s="1314"/>
      <c r="K33" s="1315"/>
      <c r="L33" s="640">
        <f>SQRT(L32)</f>
        <v>0.3456073558887951</v>
      </c>
      <c r="M33" s="625"/>
      <c r="O33" s="595"/>
      <c r="P33" s="595"/>
      <c r="Q33" s="595"/>
      <c r="R33" s="595"/>
      <c r="S33" s="1313" t="s">
        <v>119</v>
      </c>
      <c r="T33" s="1314"/>
      <c r="U33" s="1314"/>
      <c r="V33" s="1314"/>
      <c r="W33" s="1315"/>
      <c r="X33" s="640">
        <f>SQRT(X32)</f>
        <v>0.3256958362917427</v>
      </c>
      <c r="Y33" s="625"/>
      <c r="AA33" s="644" t="s">
        <v>48</v>
      </c>
      <c r="AB33" s="644" t="s">
        <v>194</v>
      </c>
      <c r="AC33" s="605"/>
      <c r="AD33" s="605"/>
      <c r="AE33" s="1310" t="s">
        <v>224</v>
      </c>
      <c r="AF33" s="1311"/>
      <c r="AG33" s="1311"/>
      <c r="AH33" s="1311"/>
      <c r="AI33" s="1312"/>
      <c r="AJ33" s="643">
        <f>SQRT(AJ32)</f>
        <v>0.25125943563208636</v>
      </c>
      <c r="AK33" s="632"/>
      <c r="AL33" s="601"/>
      <c r="AM33" s="644" t="s">
        <v>48</v>
      </c>
      <c r="AN33" s="644" t="s">
        <v>194</v>
      </c>
      <c r="AO33" s="605"/>
      <c r="AP33" s="605"/>
      <c r="AQ33" s="1310" t="s">
        <v>224</v>
      </c>
      <c r="AR33" s="1311"/>
      <c r="AS33" s="1311"/>
      <c r="AT33" s="1311"/>
      <c r="AU33" s="1312"/>
      <c r="AV33" s="643">
        <f>SQRT(AV32)</f>
        <v>0.25165512908374144</v>
      </c>
      <c r="AW33" s="631"/>
      <c r="BN33" s="595"/>
      <c r="BO33" s="595"/>
      <c r="BP33" s="595"/>
      <c r="BQ33" s="803"/>
      <c r="BR33" s="1306"/>
      <c r="BS33" s="1306"/>
      <c r="BT33" s="1306"/>
      <c r="BU33" s="1306"/>
      <c r="BV33" s="1306"/>
      <c r="BW33" s="597"/>
      <c r="BX33" s="598"/>
      <c r="BZ33" s="1062"/>
      <c r="CA33" s="1063"/>
      <c r="CB33" s="1063"/>
    </row>
    <row r="34" spans="3:117" ht="15.75" customHeight="1" x14ac:dyDescent="0.3">
      <c r="C34" s="595"/>
      <c r="D34" s="595"/>
      <c r="E34" s="595"/>
      <c r="F34" s="595"/>
      <c r="G34" s="1313" t="s">
        <v>89</v>
      </c>
      <c r="H34" s="1314"/>
      <c r="I34" s="1314"/>
      <c r="J34" s="1314"/>
      <c r="K34" s="1315"/>
      <c r="L34" s="640">
        <f>((L33)^4)/M32</f>
        <v>140.51433261391617</v>
      </c>
      <c r="M34" s="648"/>
      <c r="O34" s="595"/>
      <c r="P34" s="595"/>
      <c r="Q34" s="595"/>
      <c r="R34" s="595"/>
      <c r="S34" s="1313" t="s">
        <v>89</v>
      </c>
      <c r="T34" s="1314"/>
      <c r="U34" s="1314"/>
      <c r="V34" s="1314"/>
      <c r="W34" s="1315"/>
      <c r="X34" s="640">
        <f>((X33)^4)/Y32</f>
        <v>123.00162327492772</v>
      </c>
      <c r="Y34" s="625"/>
      <c r="AA34" s="1060">
        <v>0</v>
      </c>
      <c r="AB34" s="1061">
        <v>0.1</v>
      </c>
      <c r="AC34" s="605"/>
      <c r="AD34" s="605"/>
      <c r="AE34" s="1310" t="s">
        <v>89</v>
      </c>
      <c r="AF34" s="1311"/>
      <c r="AG34" s="1311"/>
      <c r="AH34" s="1311"/>
      <c r="AI34" s="1312"/>
      <c r="AJ34" s="643">
        <f>((AJ33)^4)/AK32</f>
        <v>67.777487942424571</v>
      </c>
      <c r="AK34" s="649"/>
      <c r="AL34" s="601"/>
      <c r="AM34" s="1060">
        <v>100</v>
      </c>
      <c r="AN34" s="1061">
        <v>0.2</v>
      </c>
      <c r="AO34" s="605"/>
      <c r="AP34" s="605"/>
      <c r="AQ34" s="1310" t="s">
        <v>89</v>
      </c>
      <c r="AR34" s="1311"/>
      <c r="AS34" s="1311"/>
      <c r="AT34" s="1311"/>
      <c r="AU34" s="1312"/>
      <c r="AV34" s="643">
        <f>((AV33)^4)/AW32</f>
        <v>68.114166545190031</v>
      </c>
      <c r="AW34" s="631"/>
      <c r="BN34" s="595"/>
      <c r="BO34" s="595"/>
      <c r="BP34" s="595"/>
      <c r="BQ34" s="803"/>
      <c r="BR34" s="1306"/>
      <c r="BS34" s="1306"/>
      <c r="BT34" s="1306"/>
      <c r="BU34" s="1306"/>
      <c r="BV34" s="1306"/>
      <c r="BW34" s="597"/>
      <c r="BX34" s="652"/>
      <c r="BZ34" s="1062"/>
      <c r="CA34" s="1063"/>
      <c r="CB34" s="1063"/>
    </row>
    <row r="35" spans="3:117" ht="15.75" customHeight="1" x14ac:dyDescent="0.3">
      <c r="C35" s="595"/>
      <c r="D35" s="595"/>
      <c r="E35" s="595"/>
      <c r="F35" s="595"/>
      <c r="G35" s="1313" t="s">
        <v>42</v>
      </c>
      <c r="H35" s="1314"/>
      <c r="I35" s="1314"/>
      <c r="J35" s="1314"/>
      <c r="K35" s="1315"/>
      <c r="L35" s="625">
        <f>TINV(0.05,L34)</f>
        <v>1.9770537196571039</v>
      </c>
      <c r="M35" s="625">
        <f>1.95996+(2.37356/L34)+(2.818745/L34^2)+(2.546662/L34^3)+(1.7861829/L34^4)+(0.245458/L34^5)+(1.000764/L34^6)</f>
        <v>1.9769956274541012</v>
      </c>
      <c r="O35" s="595"/>
      <c r="P35" s="595"/>
      <c r="Q35" s="595"/>
      <c r="R35" s="595"/>
      <c r="S35" s="1313" t="s">
        <v>42</v>
      </c>
      <c r="T35" s="1314"/>
      <c r="U35" s="1314"/>
      <c r="V35" s="1314"/>
      <c r="W35" s="1315"/>
      <c r="X35" s="625">
        <f>TINV(0.05,X34)</f>
        <v>1.979438685093305</v>
      </c>
      <c r="Y35" s="625"/>
      <c r="AA35" s="1060">
        <v>50</v>
      </c>
      <c r="AB35" s="1061">
        <v>0.2</v>
      </c>
      <c r="AC35" s="605"/>
      <c r="AD35" s="605"/>
      <c r="AE35" s="1310" t="s">
        <v>42</v>
      </c>
      <c r="AF35" s="1311"/>
      <c r="AG35" s="1311"/>
      <c r="AH35" s="1311"/>
      <c r="AI35" s="1312"/>
      <c r="AJ35" s="631">
        <f>TINV(0.05,AJ34)</f>
        <v>1.9960083540252964</v>
      </c>
      <c r="AK35" s="631">
        <f>1.95996+(2.37356/AJ34)+(2.818745/AJ34^2)+(2.546662/AJ34^3)+(1.7861829/AJ34^4)+(0.245458/AJ34^5)+(1.000764/AJ34^6)</f>
        <v>1.9956017508544639</v>
      </c>
      <c r="AL35" s="601"/>
      <c r="AM35" s="1060">
        <v>150</v>
      </c>
      <c r="AN35" s="1061">
        <v>0.2</v>
      </c>
      <c r="AO35" s="605"/>
      <c r="AP35" s="605"/>
      <c r="AQ35" s="1310" t="s">
        <v>42</v>
      </c>
      <c r="AR35" s="1311"/>
      <c r="AS35" s="1311"/>
      <c r="AT35" s="1311"/>
      <c r="AU35" s="1312"/>
      <c r="AV35" s="631">
        <f>TINV(0.05,AV34)</f>
        <v>1.9954689314298424</v>
      </c>
      <c r="AW35" s="631"/>
      <c r="BN35" s="595"/>
      <c r="BO35" s="595"/>
      <c r="BP35" s="595"/>
      <c r="BQ35" s="803"/>
      <c r="BR35" s="1306"/>
      <c r="BS35" s="1306"/>
      <c r="BT35" s="1306"/>
      <c r="BU35" s="1306"/>
      <c r="BV35" s="1306"/>
      <c r="BW35" s="598"/>
      <c r="BX35" s="598"/>
    </row>
    <row r="36" spans="3:117" ht="15.75" customHeight="1" x14ac:dyDescent="0.3">
      <c r="C36" s="595"/>
      <c r="D36" s="595"/>
      <c r="E36" s="595"/>
      <c r="F36" s="595"/>
      <c r="G36" s="1313" t="s">
        <v>120</v>
      </c>
      <c r="H36" s="1314"/>
      <c r="I36" s="1314"/>
      <c r="J36" s="1314"/>
      <c r="K36" s="1315"/>
      <c r="L36" s="645">
        <f>L35*L33</f>
        <v>0.6832843085007988</v>
      </c>
      <c r="M36" s="625"/>
      <c r="O36" s="595"/>
      <c r="P36" s="595"/>
      <c r="Q36" s="595"/>
      <c r="R36" s="595"/>
      <c r="S36" s="1313" t="s">
        <v>120</v>
      </c>
      <c r="T36" s="1314"/>
      <c r="U36" s="1314"/>
      <c r="V36" s="1314"/>
      <c r="W36" s="1315"/>
      <c r="X36" s="645">
        <f>X35*X33</f>
        <v>0.64469493792969146</v>
      </c>
      <c r="Y36" s="625"/>
      <c r="AA36" s="605"/>
      <c r="AB36" s="605"/>
      <c r="AC36" s="605"/>
      <c r="AD36" s="605"/>
      <c r="AE36" s="1310" t="s">
        <v>225</v>
      </c>
      <c r="AF36" s="1311"/>
      <c r="AG36" s="1311"/>
      <c r="AH36" s="1311"/>
      <c r="AI36" s="1312"/>
      <c r="AJ36" s="646">
        <f>AJ35*AJ33</f>
        <v>0.50151593254932558</v>
      </c>
      <c r="AK36" s="632"/>
      <c r="AL36" s="601"/>
      <c r="AM36" s="605"/>
      <c r="AN36" s="605"/>
      <c r="AO36" s="605"/>
      <c r="AP36" s="605"/>
      <c r="AQ36" s="1310" t="s">
        <v>225</v>
      </c>
      <c r="AR36" s="1311"/>
      <c r="AS36" s="1311"/>
      <c r="AT36" s="1311"/>
      <c r="AU36" s="1312"/>
      <c r="AV36" s="646">
        <f>AV35*AV33</f>
        <v>0.5021699915215726</v>
      </c>
      <c r="AW36" s="631"/>
      <c r="BN36" s="595"/>
      <c r="BO36" s="595"/>
      <c r="BP36" s="595"/>
      <c r="BQ36" s="803"/>
      <c r="BR36" s="1306"/>
      <c r="BS36" s="1306"/>
      <c r="BT36" s="1306"/>
      <c r="BU36" s="1306"/>
      <c r="BV36" s="1306"/>
      <c r="BW36" s="785"/>
      <c r="BX36" s="598"/>
    </row>
    <row r="37" spans="3:117" x14ac:dyDescent="0.3">
      <c r="C37" s="595"/>
      <c r="D37" s="595"/>
      <c r="E37" s="595"/>
      <c r="F37" s="595"/>
      <c r="G37" s="596"/>
      <c r="H37" s="596"/>
      <c r="I37" s="596"/>
      <c r="J37" s="596"/>
      <c r="K37" s="596"/>
      <c r="L37" s="597"/>
      <c r="M37" s="598"/>
      <c r="AA37" s="605"/>
      <c r="AB37" s="605"/>
      <c r="AC37" s="605"/>
      <c r="AD37" s="605"/>
      <c r="AE37" s="606"/>
      <c r="AF37" s="606"/>
      <c r="AG37" s="606"/>
      <c r="AH37" s="606"/>
      <c r="AI37" s="606"/>
      <c r="AJ37" s="607"/>
      <c r="AK37" s="647"/>
      <c r="AL37" s="601"/>
      <c r="AM37" s="601"/>
      <c r="AN37" s="601"/>
      <c r="AO37" s="601"/>
      <c r="AP37" s="601"/>
      <c r="AQ37" s="601"/>
      <c r="AR37" s="601"/>
      <c r="AS37" s="601"/>
      <c r="AT37" s="601"/>
      <c r="AU37" s="601"/>
      <c r="AV37" s="601"/>
      <c r="AW37" s="601"/>
      <c r="BN37" s="595"/>
      <c r="BO37" s="595"/>
      <c r="BP37" s="595"/>
      <c r="BQ37" s="803"/>
      <c r="BR37" s="596"/>
      <c r="BS37" s="596"/>
      <c r="BT37" s="596"/>
      <c r="BU37" s="596"/>
      <c r="BV37" s="596"/>
      <c r="BW37" s="597"/>
      <c r="BX37" s="598"/>
    </row>
    <row r="38" spans="3:117" x14ac:dyDescent="0.3">
      <c r="C38" s="595"/>
      <c r="D38" s="595"/>
      <c r="E38" s="595"/>
      <c r="F38" s="595"/>
      <c r="G38" s="596"/>
      <c r="H38" s="596"/>
      <c r="I38" s="596"/>
      <c r="J38" s="596"/>
      <c r="K38" s="596"/>
      <c r="L38" s="597"/>
      <c r="M38" s="598"/>
      <c r="AA38" s="605"/>
      <c r="AB38" s="605"/>
      <c r="AC38" s="605"/>
      <c r="AD38" s="605"/>
      <c r="AE38" s="606"/>
      <c r="AF38" s="606"/>
      <c r="AG38" s="606"/>
      <c r="AH38" s="606"/>
      <c r="AI38" s="606"/>
      <c r="AJ38" s="607"/>
      <c r="AK38" s="647"/>
      <c r="AL38" s="601"/>
      <c r="AM38" s="601"/>
      <c r="AN38" s="601"/>
      <c r="AO38" s="601"/>
      <c r="AP38" s="601"/>
      <c r="AQ38" s="601"/>
      <c r="AR38" s="601"/>
      <c r="AS38" s="601"/>
      <c r="AT38" s="601"/>
      <c r="AU38" s="601"/>
      <c r="AV38" s="601"/>
      <c r="AW38" s="601"/>
      <c r="BH38" s="650"/>
      <c r="BN38" s="595"/>
      <c r="BO38" s="595"/>
      <c r="BP38" s="595"/>
      <c r="BQ38" s="803"/>
      <c r="BR38" s="596"/>
      <c r="BS38" s="596"/>
      <c r="BT38" s="596"/>
      <c r="BU38" s="596"/>
      <c r="BV38" s="596"/>
      <c r="BW38" s="597"/>
      <c r="BX38" s="598"/>
      <c r="BZ38" s="650"/>
      <c r="CA38" s="650"/>
      <c r="CB38" s="650"/>
    </row>
    <row r="39" spans="3:117" x14ac:dyDescent="0.3">
      <c r="C39" s="593">
        <f>ID!A70</f>
        <v>70</v>
      </c>
      <c r="D39" s="594" t="str">
        <f>D40</f>
        <v>mmHg</v>
      </c>
      <c r="E39" s="595"/>
      <c r="F39" s="595"/>
      <c r="G39" s="596"/>
      <c r="H39" s="596"/>
      <c r="I39" s="596"/>
      <c r="J39" s="596"/>
      <c r="K39" s="596"/>
      <c r="L39" s="597"/>
      <c r="M39" s="598"/>
      <c r="O39" s="593">
        <f>ID!A73</f>
        <v>150</v>
      </c>
      <c r="P39" s="594" t="str">
        <f>P40</f>
        <v>mmHg</v>
      </c>
      <c r="Q39" s="595"/>
      <c r="R39" s="595"/>
      <c r="S39" s="596"/>
      <c r="T39" s="596"/>
      <c r="U39" s="596"/>
      <c r="V39" s="596"/>
      <c r="W39" s="596"/>
      <c r="X39" s="597"/>
      <c r="Y39" s="598"/>
      <c r="AA39" s="603">
        <v>100</v>
      </c>
      <c r="AB39" s="604">
        <f>AB40</f>
        <v>0</v>
      </c>
      <c r="AC39" s="605"/>
      <c r="AD39" s="605"/>
      <c r="AE39" s="606"/>
      <c r="AF39" s="606"/>
      <c r="AG39" s="606"/>
      <c r="AH39" s="606"/>
      <c r="AI39" s="606"/>
      <c r="AJ39" s="607"/>
      <c r="AK39" s="647"/>
      <c r="AL39" s="601"/>
      <c r="AM39" s="603">
        <v>250</v>
      </c>
      <c r="AN39" s="604" t="str">
        <f>AN40</f>
        <v>mmHg</v>
      </c>
      <c r="AO39" s="605"/>
      <c r="AP39" s="605"/>
      <c r="AQ39" s="606"/>
      <c r="AR39" s="606"/>
      <c r="AS39" s="606"/>
      <c r="AT39" s="606"/>
      <c r="AU39" s="606"/>
      <c r="AV39" s="607"/>
      <c r="AW39" s="608"/>
      <c r="BN39" s="772"/>
      <c r="BO39" s="773"/>
      <c r="BP39" s="595"/>
      <c r="BQ39" s="803"/>
      <c r="BR39" s="596"/>
      <c r="BS39" s="596"/>
      <c r="BT39" s="596"/>
      <c r="BU39" s="596"/>
      <c r="BV39" s="596"/>
      <c r="BW39" s="597"/>
      <c r="BX39" s="598"/>
    </row>
    <row r="40" spans="3:117" x14ac:dyDescent="0.3">
      <c r="C40" s="611"/>
      <c r="D40" s="610" t="s">
        <v>38</v>
      </c>
      <c r="O40" s="611"/>
      <c r="P40" s="610" t="s">
        <v>38</v>
      </c>
      <c r="AA40" s="611"/>
      <c r="AB40" s="612"/>
      <c r="AC40" s="601"/>
      <c r="AD40" s="601"/>
      <c r="AE40" s="601"/>
      <c r="AF40" s="601"/>
      <c r="AG40" s="601"/>
      <c r="AH40" s="601"/>
      <c r="AI40" s="601"/>
      <c r="AJ40" s="601"/>
      <c r="AK40" s="602"/>
      <c r="AL40" s="601"/>
      <c r="AM40" s="611">
        <f>ID!Z73</f>
        <v>0.2</v>
      </c>
      <c r="AN40" s="612" t="s">
        <v>38</v>
      </c>
      <c r="AO40" s="601"/>
      <c r="AP40" s="601"/>
      <c r="AQ40" s="601"/>
      <c r="AR40" s="601"/>
      <c r="AS40" s="601"/>
      <c r="AT40" s="601"/>
      <c r="AU40" s="601"/>
      <c r="AV40" s="601"/>
      <c r="AW40" s="601"/>
      <c r="BH40" s="650"/>
      <c r="BI40" s="650"/>
      <c r="BJ40" s="650"/>
      <c r="BK40" s="650"/>
      <c r="BL40" s="650"/>
      <c r="BN40" s="609"/>
      <c r="BO40" s="610"/>
      <c r="BQ40" s="799"/>
    </row>
    <row r="41" spans="3:117" s="615" customFormat="1" ht="18" x14ac:dyDescent="0.4">
      <c r="C41" s="613" t="s">
        <v>40</v>
      </c>
      <c r="D41" s="613" t="s">
        <v>41</v>
      </c>
      <c r="E41" s="613" t="s">
        <v>80</v>
      </c>
      <c r="F41" s="613" t="s">
        <v>79</v>
      </c>
      <c r="G41" s="613" t="s">
        <v>14</v>
      </c>
      <c r="H41" s="613" t="s">
        <v>113</v>
      </c>
      <c r="I41" s="613" t="s">
        <v>114</v>
      </c>
      <c r="J41" s="613" t="s">
        <v>115</v>
      </c>
      <c r="K41" s="613" t="s">
        <v>116</v>
      </c>
      <c r="L41" s="613" t="s">
        <v>117</v>
      </c>
      <c r="M41" s="614" t="s">
        <v>118</v>
      </c>
      <c r="O41" s="613" t="s">
        <v>40</v>
      </c>
      <c r="P41" s="613" t="s">
        <v>41</v>
      </c>
      <c r="Q41" s="613" t="s">
        <v>80</v>
      </c>
      <c r="R41" s="613" t="s">
        <v>79</v>
      </c>
      <c r="S41" s="613" t="s">
        <v>14</v>
      </c>
      <c r="T41" s="613" t="s">
        <v>113</v>
      </c>
      <c r="U41" s="613" t="s">
        <v>114</v>
      </c>
      <c r="V41" s="613" t="s">
        <v>115</v>
      </c>
      <c r="W41" s="613" t="s">
        <v>116</v>
      </c>
      <c r="X41" s="613" t="s">
        <v>117</v>
      </c>
      <c r="Y41" s="614" t="s">
        <v>118</v>
      </c>
      <c r="AA41" s="616" t="s">
        <v>40</v>
      </c>
      <c r="AB41" s="616" t="s">
        <v>41</v>
      </c>
      <c r="AC41" s="616" t="s">
        <v>80</v>
      </c>
      <c r="AD41" s="616" t="s">
        <v>79</v>
      </c>
      <c r="AE41" s="616" t="s">
        <v>14</v>
      </c>
      <c r="AF41" s="616" t="s">
        <v>218</v>
      </c>
      <c r="AG41" s="616" t="s">
        <v>219</v>
      </c>
      <c r="AH41" s="616" t="s">
        <v>220</v>
      </c>
      <c r="AI41" s="616" t="s">
        <v>221</v>
      </c>
      <c r="AJ41" s="616" t="s">
        <v>222</v>
      </c>
      <c r="AK41" s="617" t="s">
        <v>223</v>
      </c>
      <c r="AL41" s="618"/>
      <c r="AM41" s="616" t="s">
        <v>40</v>
      </c>
      <c r="AN41" s="616" t="s">
        <v>41</v>
      </c>
      <c r="AO41" s="616" t="s">
        <v>80</v>
      </c>
      <c r="AP41" s="616" t="s">
        <v>79</v>
      </c>
      <c r="AQ41" s="616" t="s">
        <v>14</v>
      </c>
      <c r="AR41" s="616" t="s">
        <v>218</v>
      </c>
      <c r="AS41" s="616" t="s">
        <v>219</v>
      </c>
      <c r="AT41" s="616" t="s">
        <v>220</v>
      </c>
      <c r="AU41" s="616" t="s">
        <v>221</v>
      </c>
      <c r="AV41" s="616" t="s">
        <v>222</v>
      </c>
      <c r="AW41" s="619" t="s">
        <v>223</v>
      </c>
      <c r="AZ41" s="588"/>
      <c r="BA41" s="588"/>
      <c r="BB41" s="588"/>
      <c r="BC41" s="588"/>
      <c r="BD41" s="588"/>
      <c r="BE41" s="588"/>
      <c r="BF41" s="588"/>
      <c r="BG41" s="588"/>
      <c r="BH41" s="788"/>
      <c r="BI41" s="789"/>
      <c r="BJ41" s="789"/>
      <c r="BK41" s="789"/>
      <c r="BL41" s="789"/>
      <c r="BN41" s="774"/>
      <c r="BO41" s="774"/>
      <c r="BP41" s="774"/>
      <c r="BQ41" s="800"/>
      <c r="BR41" s="774"/>
      <c r="BS41" s="774"/>
      <c r="BT41" s="774"/>
      <c r="BU41" s="774"/>
      <c r="BV41" s="774"/>
      <c r="BW41" s="774"/>
      <c r="BX41" s="651"/>
      <c r="CC41" s="588"/>
      <c r="CD41" s="588"/>
      <c r="CE41" s="588"/>
      <c r="CF41" s="588"/>
      <c r="CG41" s="588"/>
      <c r="CH41" s="588"/>
      <c r="CI41" s="588"/>
      <c r="CJ41" s="588"/>
      <c r="CK41" s="588"/>
      <c r="CL41" s="588"/>
      <c r="CM41" s="588"/>
      <c r="CN41" s="588"/>
      <c r="CO41" s="588"/>
      <c r="CP41" s="588"/>
      <c r="CQ41" s="588"/>
      <c r="CR41" s="588"/>
      <c r="CS41" s="588"/>
      <c r="CT41" s="588"/>
      <c r="CU41" s="588"/>
      <c r="CV41" s="588"/>
      <c r="CW41" s="588"/>
      <c r="CX41" s="588"/>
      <c r="CY41" s="588"/>
      <c r="CZ41" s="588"/>
      <c r="DA41" s="588"/>
      <c r="DB41" s="588"/>
      <c r="DC41" s="588"/>
      <c r="DD41" s="588"/>
      <c r="DE41" s="588"/>
      <c r="DF41" s="588"/>
      <c r="DG41" s="588"/>
      <c r="DH41" s="588"/>
      <c r="DI41" s="588"/>
      <c r="DJ41" s="588"/>
      <c r="DK41" s="588"/>
      <c r="DL41" s="588"/>
      <c r="DM41" s="588"/>
    </row>
    <row r="42" spans="3:117" ht="31.2" x14ac:dyDescent="0.3">
      <c r="C42" s="620" t="s">
        <v>83</v>
      </c>
      <c r="D42" s="621" t="s">
        <v>38</v>
      </c>
      <c r="E42" s="622" t="s">
        <v>11</v>
      </c>
      <c r="F42" s="623">
        <f>ID!M70</f>
        <v>5.7735026918959292E-2</v>
      </c>
      <c r="G42" s="623">
        <f>SQRT(3)</f>
        <v>1.7320508075688772</v>
      </c>
      <c r="H42" s="623">
        <f>(F42/G42)</f>
        <v>3.3333333333331439E-2</v>
      </c>
      <c r="I42" s="624">
        <v>1</v>
      </c>
      <c r="J42" s="624">
        <v>5</v>
      </c>
      <c r="K42" s="625">
        <f>H42*I42</f>
        <v>3.3333333333331439E-2</v>
      </c>
      <c r="L42" s="625">
        <f>K42^2</f>
        <v>1.1111111111109847E-3</v>
      </c>
      <c r="M42" s="625">
        <f>((K42)^4)/J42</f>
        <v>2.4691358024685737E-7</v>
      </c>
      <c r="O42" s="620" t="s">
        <v>83</v>
      </c>
      <c r="P42" s="621" t="s">
        <v>38</v>
      </c>
      <c r="Q42" s="622" t="s">
        <v>11</v>
      </c>
      <c r="R42" s="623">
        <f>ID!M73</f>
        <v>5.7735026918959292E-2</v>
      </c>
      <c r="S42" s="623">
        <f>SQRT(3)</f>
        <v>1.7320508075688772</v>
      </c>
      <c r="T42" s="623">
        <f>(R42/S42)</f>
        <v>3.3333333333331439E-2</v>
      </c>
      <c r="U42" s="624">
        <v>1</v>
      </c>
      <c r="V42" s="624">
        <v>5</v>
      </c>
      <c r="W42" s="625">
        <f>T42*U42</f>
        <v>3.3333333333331439E-2</v>
      </c>
      <c r="X42" s="625">
        <f>W42^2</f>
        <v>1.1111111111109847E-3</v>
      </c>
      <c r="Y42" s="625">
        <f>((W42)^4)/V42</f>
        <v>2.4691358024685737E-7</v>
      </c>
      <c r="AA42" s="626" t="s">
        <v>83</v>
      </c>
      <c r="AB42" s="627" t="s">
        <v>38</v>
      </c>
      <c r="AC42" s="628" t="s">
        <v>11</v>
      </c>
      <c r="AD42" s="629">
        <v>0</v>
      </c>
      <c r="AE42" s="629">
        <v>1.7320508075688772</v>
      </c>
      <c r="AF42" s="629">
        <f>0/1.7321</f>
        <v>0</v>
      </c>
      <c r="AG42" s="630">
        <v>1</v>
      </c>
      <c r="AH42" s="630">
        <f>3-1</f>
        <v>2</v>
      </c>
      <c r="AI42" s="631">
        <f>(0*1)</f>
        <v>0</v>
      </c>
      <c r="AJ42" s="631">
        <f>(0*1)^2</f>
        <v>0</v>
      </c>
      <c r="AK42" s="632">
        <f>((0*1)^4)/2</f>
        <v>0</v>
      </c>
      <c r="AL42" s="601"/>
      <c r="AM42" s="626" t="s">
        <v>83</v>
      </c>
      <c r="AN42" s="627" t="s">
        <v>38</v>
      </c>
      <c r="AO42" s="628" t="s">
        <v>11</v>
      </c>
      <c r="AP42" s="629">
        <v>0</v>
      </c>
      <c r="AQ42" s="629">
        <v>1.7320508075688772</v>
      </c>
      <c r="AR42" s="629">
        <f>(AP42/AQ42)</f>
        <v>0</v>
      </c>
      <c r="AS42" s="630">
        <v>1</v>
      </c>
      <c r="AT42" s="630">
        <f>3-1</f>
        <v>2</v>
      </c>
      <c r="AU42" s="631">
        <f>AR42*AS42</f>
        <v>0</v>
      </c>
      <c r="AV42" s="631">
        <f>AU42^2</f>
        <v>0</v>
      </c>
      <c r="AW42" s="631">
        <f>((AU42)^4)/AT42</f>
        <v>0</v>
      </c>
      <c r="BH42" s="788"/>
      <c r="BI42" s="789"/>
      <c r="BJ42" s="789"/>
      <c r="BK42" s="789"/>
      <c r="BL42" s="789"/>
      <c r="BN42" s="595"/>
      <c r="BO42" s="775"/>
      <c r="BP42" s="776"/>
      <c r="BQ42" s="801"/>
      <c r="BR42" s="637"/>
      <c r="BS42" s="637"/>
      <c r="BT42" s="777"/>
      <c r="BU42" s="777"/>
      <c r="BV42" s="598"/>
      <c r="BW42" s="598"/>
      <c r="BX42" s="598"/>
    </row>
    <row r="43" spans="3:117" ht="31.2" x14ac:dyDescent="0.3">
      <c r="C43" s="620" t="s">
        <v>82</v>
      </c>
      <c r="D43" s="621" t="s">
        <v>38</v>
      </c>
      <c r="E43" s="622" t="s">
        <v>11</v>
      </c>
      <c r="F43" s="1058">
        <f>'INTERPOLASI  '!AU20</f>
        <v>0.4</v>
      </c>
      <c r="G43" s="624">
        <v>2</v>
      </c>
      <c r="H43" s="623">
        <f>F43/G43</f>
        <v>0.2</v>
      </c>
      <c r="I43" s="624">
        <v>1</v>
      </c>
      <c r="J43" s="624">
        <v>50</v>
      </c>
      <c r="K43" s="625">
        <f>H43*I43</f>
        <v>0.2</v>
      </c>
      <c r="L43" s="625">
        <f>K43^2</f>
        <v>4.0000000000000008E-2</v>
      </c>
      <c r="M43" s="625">
        <f>((K43)^4)/J43</f>
        <v>3.2000000000000012E-5</v>
      </c>
      <c r="O43" s="620" t="s">
        <v>82</v>
      </c>
      <c r="P43" s="621" t="s">
        <v>38</v>
      </c>
      <c r="Q43" s="622" t="s">
        <v>11</v>
      </c>
      <c r="R43" s="1058">
        <f>'INTERPOLASI  '!AU23</f>
        <v>0.4</v>
      </c>
      <c r="S43" s="624">
        <v>2</v>
      </c>
      <c r="T43" s="623">
        <f>R43/S43</f>
        <v>0.2</v>
      </c>
      <c r="U43" s="624">
        <v>1</v>
      </c>
      <c r="V43" s="624">
        <v>50</v>
      </c>
      <c r="W43" s="625">
        <f>T43*U43</f>
        <v>0.2</v>
      </c>
      <c r="X43" s="625">
        <f>W43^2</f>
        <v>4.0000000000000008E-2</v>
      </c>
      <c r="Y43" s="625">
        <f>((W43)^4)/V43</f>
        <v>3.2000000000000012E-5</v>
      </c>
      <c r="AA43" s="626" t="s">
        <v>82</v>
      </c>
      <c r="AB43" s="627" t="s">
        <v>38</v>
      </c>
      <c r="AC43" s="628" t="s">
        <v>11</v>
      </c>
      <c r="AD43" s="633">
        <f>(((0.2-0.2)*(99-0.2))/(150-100))+(0.2)</f>
        <v>0.2</v>
      </c>
      <c r="AE43" s="630">
        <v>2</v>
      </c>
      <c r="AF43" s="629">
        <f>0.2/2</f>
        <v>0.1</v>
      </c>
      <c r="AG43" s="630">
        <v>1</v>
      </c>
      <c r="AH43" s="630">
        <v>50</v>
      </c>
      <c r="AI43" s="631">
        <f>(0.1*1)</f>
        <v>0.1</v>
      </c>
      <c r="AJ43" s="631">
        <f>(0.1*1)^2</f>
        <v>1.0000000000000002E-2</v>
      </c>
      <c r="AK43" s="631">
        <f>((0.1*1)^4)/50</f>
        <v>2.0000000000000008E-6</v>
      </c>
      <c r="AL43" s="601"/>
      <c r="AM43" s="626" t="s">
        <v>82</v>
      </c>
      <c r="AN43" s="627" t="s">
        <v>38</v>
      </c>
      <c r="AO43" s="628" t="s">
        <v>11</v>
      </c>
      <c r="AP43" s="633">
        <v>0.60159999999999991</v>
      </c>
      <c r="AQ43" s="630">
        <v>2</v>
      </c>
      <c r="AR43" s="629">
        <f>AP43/AQ43</f>
        <v>0.30079999999999996</v>
      </c>
      <c r="AS43" s="630">
        <v>1</v>
      </c>
      <c r="AT43" s="630">
        <v>50</v>
      </c>
      <c r="AU43" s="631">
        <f>AR43*AS43</f>
        <v>0.30079999999999996</v>
      </c>
      <c r="AV43" s="631">
        <f>AU43^2</f>
        <v>9.0480639999999973E-2</v>
      </c>
      <c r="AW43" s="631">
        <f>((AU43)^4)/AT43</f>
        <v>1.637349242961919E-4</v>
      </c>
      <c r="BH43" s="797">
        <f>C40</f>
        <v>0</v>
      </c>
      <c r="BI43" s="790" t="s">
        <v>412</v>
      </c>
      <c r="BJ43" s="1059"/>
      <c r="BK43" s="1059"/>
      <c r="BL43" s="1043">
        <f>C40</f>
        <v>0</v>
      </c>
      <c r="BM43" s="791">
        <f>'INTERPOLASI  '!AS20</f>
        <v>50</v>
      </c>
      <c r="BN43" s="792">
        <f>'INTERPOLASI  '!AQ20</f>
        <v>0.4</v>
      </c>
      <c r="BO43" s="793">
        <f>'INTERPOLASI  '!AT20</f>
        <v>100</v>
      </c>
      <c r="BP43" s="794">
        <f>'INTERPOLASI  '!AR20</f>
        <v>0.4</v>
      </c>
      <c r="BQ43" s="802">
        <f>((((BP43-BN43)*(BL43-BM43)))/(BO43-BM43))+BN43</f>
        <v>0.4</v>
      </c>
      <c r="BR43" s="777"/>
      <c r="BS43" s="796">
        <f>R43</f>
        <v>0.4</v>
      </c>
      <c r="BT43" s="790" t="s">
        <v>559</v>
      </c>
      <c r="BU43" s="1059"/>
      <c r="BV43" s="1059"/>
      <c r="BW43" s="804">
        <f>O40</f>
        <v>0</v>
      </c>
      <c r="BX43" s="791">
        <f>'INTERPOLASI  '!AS23</f>
        <v>150</v>
      </c>
      <c r="BY43" s="792">
        <f>'INTERPOLASI  '!AQ23</f>
        <v>0.4</v>
      </c>
      <c r="BZ43" s="793">
        <f>'INTERPOLASI  '!AT23</f>
        <v>200</v>
      </c>
      <c r="CA43" s="794">
        <f>'INTERPOLASI  '!AR23</f>
        <v>0.4</v>
      </c>
      <c r="CB43" s="802">
        <f>((((CA43-BY43)*(BW43-BX43)))/(BZ43-BX43))+BY43</f>
        <v>0.4</v>
      </c>
    </row>
    <row r="44" spans="3:117" ht="31.2" x14ac:dyDescent="0.3">
      <c r="C44" s="620" t="s">
        <v>240</v>
      </c>
      <c r="D44" s="621" t="s">
        <v>38</v>
      </c>
      <c r="E44" s="622" t="s">
        <v>85</v>
      </c>
      <c r="F44" s="623">
        <f>B15</f>
        <v>0.4</v>
      </c>
      <c r="G44" s="623">
        <f>SQRT(3)</f>
        <v>1.7320508075688772</v>
      </c>
      <c r="H44" s="623">
        <f>F44/G44</f>
        <v>0.23094010767585033</v>
      </c>
      <c r="I44" s="624">
        <v>1</v>
      </c>
      <c r="J44" s="624">
        <v>50</v>
      </c>
      <c r="K44" s="625">
        <f>H44*I44</f>
        <v>0.23094010767585033</v>
      </c>
      <c r="L44" s="625">
        <f>K44^2</f>
        <v>5.3333333333333344E-2</v>
      </c>
      <c r="M44" s="625">
        <f>((K44)^4)/J44</f>
        <v>5.6888888888888908E-5</v>
      </c>
      <c r="O44" s="620" t="s">
        <v>240</v>
      </c>
      <c r="P44" s="621" t="s">
        <v>38</v>
      </c>
      <c r="Q44" s="622" t="s">
        <v>85</v>
      </c>
      <c r="R44" s="623">
        <f>B15</f>
        <v>0.4</v>
      </c>
      <c r="S44" s="623">
        <f>SQRT(3)</f>
        <v>1.7320508075688772</v>
      </c>
      <c r="T44" s="623">
        <f>R44/S44</f>
        <v>0.23094010767585033</v>
      </c>
      <c r="U44" s="624">
        <v>1</v>
      </c>
      <c r="V44" s="624">
        <v>50</v>
      </c>
      <c r="W44" s="625">
        <f>T44*U44</f>
        <v>0.23094010767585033</v>
      </c>
      <c r="X44" s="625">
        <f>W44^2</f>
        <v>5.3333333333333344E-2</v>
      </c>
      <c r="Y44" s="625">
        <f>((W44)^4)/V44</f>
        <v>5.6888888888888908E-5</v>
      </c>
      <c r="AA44" s="626" t="s">
        <v>76</v>
      </c>
      <c r="AB44" s="627" t="s">
        <v>38</v>
      </c>
      <c r="AC44" s="628" t="s">
        <v>85</v>
      </c>
      <c r="AD44" s="629">
        <f>(1/5)*2</f>
        <v>0.4</v>
      </c>
      <c r="AE44" s="629">
        <v>1.7320508075688772</v>
      </c>
      <c r="AF44" s="635">
        <f>0.4/1.7321</f>
        <v>0.23093354887131229</v>
      </c>
      <c r="AG44" s="630">
        <v>1</v>
      </c>
      <c r="AH44" s="630">
        <v>50</v>
      </c>
      <c r="AI44" s="631">
        <f>(0.230933548871*1)</f>
        <v>0.23093354887100001</v>
      </c>
      <c r="AJ44" s="631">
        <f>(0.230933548871*1)^2</f>
        <v>5.3330303994154553E-2</v>
      </c>
      <c r="AK44" s="631">
        <f>((0.230933548871*1)^4)/50</f>
        <v>5.6882426482178737E-5</v>
      </c>
      <c r="AL44" s="601"/>
      <c r="AM44" s="626" t="s">
        <v>76</v>
      </c>
      <c r="AN44" s="627" t="s">
        <v>38</v>
      </c>
      <c r="AO44" s="628" t="s">
        <v>85</v>
      </c>
      <c r="AP44" s="629">
        <v>0.4</v>
      </c>
      <c r="AQ44" s="629">
        <v>1.7320508075688772</v>
      </c>
      <c r="AR44" s="629">
        <f>AP44/AQ44</f>
        <v>0.23094010767585033</v>
      </c>
      <c r="AS44" s="630">
        <v>1</v>
      </c>
      <c r="AT44" s="630">
        <v>50</v>
      </c>
      <c r="AU44" s="631">
        <f>AR44*AS44</f>
        <v>0.23094010767585033</v>
      </c>
      <c r="AV44" s="631">
        <f>AU44^2</f>
        <v>5.3333333333333344E-2</v>
      </c>
      <c r="AW44" s="631">
        <f>((AU44)^4)/AT44</f>
        <v>5.6888888888888908E-5</v>
      </c>
      <c r="BI44" s="782"/>
      <c r="BJ44" s="783"/>
      <c r="BK44" s="783"/>
      <c r="BL44" s="1044"/>
      <c r="BN44" s="595"/>
      <c r="BO44" s="775"/>
      <c r="BP44" s="776"/>
      <c r="BQ44" s="801"/>
      <c r="BR44" s="637"/>
      <c r="BS44" s="782"/>
      <c r="BT44" s="782"/>
      <c r="BU44" s="783"/>
      <c r="BV44" s="783"/>
      <c r="BW44" s="636"/>
      <c r="BY44" s="595"/>
      <c r="BZ44" s="775"/>
      <c r="CA44" s="776"/>
      <c r="CB44" s="801"/>
    </row>
    <row r="45" spans="3:117" ht="28.5" customHeight="1" x14ac:dyDescent="0.3">
      <c r="C45" s="620" t="s">
        <v>241</v>
      </c>
      <c r="D45" s="621" t="s">
        <v>38</v>
      </c>
      <c r="E45" s="622" t="s">
        <v>85</v>
      </c>
      <c r="F45" s="637">
        <f>(1/2)*'RESOLUSI STANDAR'!$K$7</f>
        <v>0.05</v>
      </c>
      <c r="G45" s="623">
        <f>SQRT(3)</f>
        <v>1.7320508075688772</v>
      </c>
      <c r="H45" s="623">
        <f>F45/G45</f>
        <v>2.8867513459481291E-2</v>
      </c>
      <c r="I45" s="624">
        <v>1</v>
      </c>
      <c r="J45" s="624">
        <v>50</v>
      </c>
      <c r="K45" s="625">
        <f>H45*I45</f>
        <v>2.8867513459481291E-2</v>
      </c>
      <c r="L45" s="625">
        <f>K45^2</f>
        <v>8.333333333333335E-4</v>
      </c>
      <c r="M45" s="625">
        <f>((K45)^4)/J45</f>
        <v>1.3888888888888894E-8</v>
      </c>
      <c r="O45" s="620" t="s">
        <v>241</v>
      </c>
      <c r="P45" s="621" t="s">
        <v>38</v>
      </c>
      <c r="Q45" s="622" t="s">
        <v>85</v>
      </c>
      <c r="R45" s="637">
        <f>(1/2)*'RESOLUSI STANDAR'!$K$7</f>
        <v>0.05</v>
      </c>
      <c r="S45" s="623">
        <f>SQRT(3)</f>
        <v>1.7320508075688772</v>
      </c>
      <c r="T45" s="623">
        <f>R45/S45</f>
        <v>2.8867513459481291E-2</v>
      </c>
      <c r="U45" s="624">
        <v>1</v>
      </c>
      <c r="V45" s="624">
        <v>50</v>
      </c>
      <c r="W45" s="625">
        <f>T45*U45</f>
        <v>2.8867513459481291E-2</v>
      </c>
      <c r="X45" s="625">
        <f>W45^2</f>
        <v>8.333333333333335E-4</v>
      </c>
      <c r="Y45" s="625">
        <f>((W45)^4)/V45</f>
        <v>1.3888888888888894E-8</v>
      </c>
      <c r="AA45" s="626"/>
      <c r="AB45" s="627"/>
      <c r="AC45" s="628"/>
      <c r="AD45" s="638"/>
      <c r="AE45" s="629"/>
      <c r="AF45" s="635"/>
      <c r="AG45" s="630"/>
      <c r="AH45" s="630"/>
      <c r="AI45" s="631"/>
      <c r="AJ45" s="631"/>
      <c r="AK45" s="631"/>
      <c r="AL45" s="601"/>
      <c r="AM45" s="626"/>
      <c r="AN45" s="627"/>
      <c r="AO45" s="628"/>
      <c r="AP45" s="638"/>
      <c r="AQ45" s="629"/>
      <c r="AR45" s="635"/>
      <c r="AS45" s="630"/>
      <c r="AT45" s="630"/>
      <c r="AU45" s="631"/>
      <c r="AV45" s="631"/>
      <c r="AW45" s="631"/>
      <c r="BH45" s="782"/>
      <c r="BI45" s="782"/>
      <c r="BJ45" s="783"/>
      <c r="BK45" s="783"/>
      <c r="BL45" s="1044"/>
      <c r="BN45" s="595"/>
      <c r="BO45" s="775"/>
      <c r="BP45" s="776"/>
      <c r="BQ45" s="801"/>
      <c r="BR45" s="637"/>
      <c r="BS45" s="782"/>
      <c r="BT45" s="782"/>
      <c r="BU45" s="783"/>
      <c r="BV45" s="783"/>
      <c r="BW45" s="636"/>
      <c r="BY45" s="595"/>
      <c r="BZ45" s="775"/>
      <c r="CA45" s="776"/>
      <c r="CB45" s="801"/>
    </row>
    <row r="46" spans="3:117" x14ac:dyDescent="0.3">
      <c r="C46" s="620" t="s">
        <v>51</v>
      </c>
      <c r="D46" s="621" t="s">
        <v>38</v>
      </c>
      <c r="E46" s="622" t="s">
        <v>85</v>
      </c>
      <c r="F46" s="1058">
        <f>'INTERPOLASI  '!BT20</f>
        <v>0.23</v>
      </c>
      <c r="G46" s="623">
        <f>SQRT(3)</f>
        <v>1.7320508075688772</v>
      </c>
      <c r="H46" s="623">
        <f>F46/G46</f>
        <v>0.13279056191361394</v>
      </c>
      <c r="I46" s="624">
        <v>1</v>
      </c>
      <c r="J46" s="624">
        <v>50</v>
      </c>
      <c r="K46" s="625">
        <f>H46*I46</f>
        <v>0.13279056191361394</v>
      </c>
      <c r="L46" s="625">
        <f>K46^2</f>
        <v>1.7633333333333338E-2</v>
      </c>
      <c r="M46" s="625">
        <f>((K46)^4)/J46</f>
        <v>6.2186888888888914E-6</v>
      </c>
      <c r="O46" s="620" t="s">
        <v>51</v>
      </c>
      <c r="P46" s="621" t="s">
        <v>38</v>
      </c>
      <c r="Q46" s="622" t="s">
        <v>85</v>
      </c>
      <c r="R46" s="1058">
        <f>'INTERPOLASI  '!BT23</f>
        <v>0.15000000000000002</v>
      </c>
      <c r="S46" s="623">
        <f>SQRT(3)</f>
        <v>1.7320508075688772</v>
      </c>
      <c r="T46" s="623">
        <f>R46/S46</f>
        <v>8.6602540378443879E-2</v>
      </c>
      <c r="U46" s="624">
        <v>1</v>
      </c>
      <c r="V46" s="624">
        <v>50</v>
      </c>
      <c r="W46" s="625">
        <f>T46*U46</f>
        <v>8.6602540378443879E-2</v>
      </c>
      <c r="X46" s="625">
        <f>W46^2</f>
        <v>7.5000000000000023E-3</v>
      </c>
      <c r="Y46" s="625">
        <f>((W46)^4)/V46</f>
        <v>1.1250000000000007E-6</v>
      </c>
      <c r="AA46" s="626" t="s">
        <v>51</v>
      </c>
      <c r="AB46" s="627" t="s">
        <v>38</v>
      </c>
      <c r="AC46" s="628" t="s">
        <v>85</v>
      </c>
      <c r="AD46" s="633">
        <v>0</v>
      </c>
      <c r="AE46" s="629">
        <v>1.7320508075688772</v>
      </c>
      <c r="AF46" s="629">
        <f>0/1.7321</f>
        <v>0</v>
      </c>
      <c r="AG46" s="630">
        <v>1</v>
      </c>
      <c r="AH46" s="630">
        <v>50</v>
      </c>
      <c r="AI46" s="631">
        <f>(0*1)</f>
        <v>0</v>
      </c>
      <c r="AJ46" s="631">
        <f>(0*1)^2</f>
        <v>0</v>
      </c>
      <c r="AK46" s="632">
        <f>((0*1)^4)/50</f>
        <v>0</v>
      </c>
      <c r="AL46" s="601"/>
      <c r="AM46" s="626" t="s">
        <v>51</v>
      </c>
      <c r="AN46" s="627" t="s">
        <v>38</v>
      </c>
      <c r="AO46" s="628" t="s">
        <v>85</v>
      </c>
      <c r="AP46" s="633">
        <v>5.0399999999997336E-2</v>
      </c>
      <c r="AQ46" s="629">
        <v>1.7320508075688772</v>
      </c>
      <c r="AR46" s="629">
        <f>AP46/AQ46</f>
        <v>2.9098453567155604E-2</v>
      </c>
      <c r="AS46" s="630">
        <v>1</v>
      </c>
      <c r="AT46" s="630">
        <v>50</v>
      </c>
      <c r="AU46" s="631">
        <f>AR46*AS46</f>
        <v>2.9098453567155604E-2</v>
      </c>
      <c r="AV46" s="631">
        <f>AU46^2</f>
        <v>8.4671999999991069E-4</v>
      </c>
      <c r="AW46" s="631">
        <f>((AU46)^4)/AT46</f>
        <v>1.4338695167996975E-8</v>
      </c>
      <c r="BI46" s="790" t="s">
        <v>412</v>
      </c>
      <c r="BJ46" s="1059"/>
      <c r="BK46" s="1059"/>
      <c r="BL46" s="1043">
        <f>C40</f>
        <v>0</v>
      </c>
      <c r="BM46" s="791">
        <f>'INTERPOLASI  '!BR20</f>
        <v>50</v>
      </c>
      <c r="BN46" s="795">
        <f>'INTERPOLASI  '!BP20</f>
        <v>0.25</v>
      </c>
      <c r="BO46" s="793">
        <f>'INTERPOLASI  '!BS20</f>
        <v>100</v>
      </c>
      <c r="BP46" s="795">
        <f>'INTERPOLASI  '!BQ20</f>
        <v>0.2</v>
      </c>
      <c r="BQ46" s="802">
        <f>((((BP46-BN46)*(BL46-BM46)))/(BO46-BM46))+BN46</f>
        <v>0.3</v>
      </c>
      <c r="BR46" s="637"/>
      <c r="BS46" s="782">
        <f>R46</f>
        <v>0.15000000000000002</v>
      </c>
      <c r="BT46" s="790" t="s">
        <v>559</v>
      </c>
      <c r="BU46" s="1059"/>
      <c r="BV46" s="1059"/>
      <c r="BW46" s="804">
        <f>O40</f>
        <v>0</v>
      </c>
      <c r="BX46" s="791">
        <f>'INTERPOLASI  '!BR23</f>
        <v>150</v>
      </c>
      <c r="BY46" s="795">
        <f>'INTERPOLASI  '!BP23</f>
        <v>0.15000000000000002</v>
      </c>
      <c r="BZ46" s="793">
        <f>'INTERPOLASI  '!BS23</f>
        <v>200</v>
      </c>
      <c r="CA46" s="795">
        <f>'INTERPOLASI  '!BQ23</f>
        <v>0.15000000000000002</v>
      </c>
      <c r="CB46" s="802">
        <f>((((CA46-BY46)*(BW46-BX46)))/(BZ46-BX46))+BY46</f>
        <v>0.15000000000000002</v>
      </c>
    </row>
    <row r="47" spans="3:117" x14ac:dyDescent="0.3">
      <c r="C47" s="639"/>
      <c r="D47" s="639"/>
      <c r="E47" s="639"/>
      <c r="F47" s="639"/>
      <c r="G47" s="1050" t="s">
        <v>84</v>
      </c>
      <c r="H47" s="1051"/>
      <c r="I47" s="1051"/>
      <c r="J47" s="1051"/>
      <c r="K47" s="1052"/>
      <c r="L47" s="640">
        <f>SUM(L42:L46)</f>
        <v>0.112911111111111</v>
      </c>
      <c r="M47" s="640">
        <f>SUM(M42:M46)</f>
        <v>9.5368380246913545E-5</v>
      </c>
      <c r="O47" s="639"/>
      <c r="P47" s="639"/>
      <c r="Q47" s="639"/>
      <c r="R47" s="639"/>
      <c r="S47" s="1050" t="s">
        <v>84</v>
      </c>
      <c r="T47" s="1051"/>
      <c r="U47" s="1051"/>
      <c r="V47" s="1051"/>
      <c r="W47" s="1052"/>
      <c r="X47" s="640">
        <f>SUM(X42:X46)</f>
        <v>0.10277777777777768</v>
      </c>
      <c r="Y47" s="640">
        <f>SUM(Y42:Y46)</f>
        <v>9.0274691358024659E-5</v>
      </c>
      <c r="AA47" s="641"/>
      <c r="AB47" s="641"/>
      <c r="AC47" s="641"/>
      <c r="AD47" s="641"/>
      <c r="AE47" s="1047" t="s">
        <v>84</v>
      </c>
      <c r="AF47" s="1048"/>
      <c r="AG47" s="1048"/>
      <c r="AH47" s="1048"/>
      <c r="AI47" s="1049"/>
      <c r="AJ47" s="643">
        <f>SUM(AJ42:AJ46)</f>
        <v>6.3330303994154555E-2</v>
      </c>
      <c r="AK47" s="642">
        <f>SUM(AK42:AK46)</f>
        <v>5.8882426482178738E-5</v>
      </c>
      <c r="AL47" s="601"/>
      <c r="AM47" s="641"/>
      <c r="AN47" s="641"/>
      <c r="AO47" s="641"/>
      <c r="AP47" s="641"/>
      <c r="AQ47" s="1047" t="s">
        <v>84</v>
      </c>
      <c r="AR47" s="1048"/>
      <c r="AS47" s="1048"/>
      <c r="AT47" s="1048"/>
      <c r="AU47" s="1049"/>
      <c r="AV47" s="643">
        <f>SUM(AV42:AV46)</f>
        <v>0.14466069333333323</v>
      </c>
      <c r="AW47" s="643">
        <f>SUM(AW42:AW46)</f>
        <v>2.206381518802488E-4</v>
      </c>
      <c r="BH47" s="788"/>
      <c r="BI47" s="789"/>
      <c r="BJ47" s="789"/>
      <c r="BK47" s="789"/>
      <c r="BL47" s="789"/>
      <c r="BN47" s="595"/>
      <c r="BO47" s="595"/>
      <c r="BP47" s="595"/>
      <c r="BQ47" s="803"/>
      <c r="BR47" s="596"/>
      <c r="BS47" s="596"/>
      <c r="BT47" s="596"/>
      <c r="BU47" s="596"/>
      <c r="BV47" s="596"/>
      <c r="BW47" s="597"/>
      <c r="BX47" s="597"/>
    </row>
    <row r="48" spans="3:117" ht="17.25" customHeight="1" x14ac:dyDescent="0.4">
      <c r="C48" s="595"/>
      <c r="D48" s="595"/>
      <c r="E48" s="595"/>
      <c r="F48" s="595"/>
      <c r="G48" s="1313" t="s">
        <v>119</v>
      </c>
      <c r="H48" s="1314"/>
      <c r="I48" s="1314"/>
      <c r="J48" s="1314"/>
      <c r="K48" s="1315"/>
      <c r="L48" s="640">
        <f>SQRT(L47)</f>
        <v>0.33602248602007428</v>
      </c>
      <c r="M48" s="625"/>
      <c r="O48" s="595"/>
      <c r="P48" s="595"/>
      <c r="Q48" s="595"/>
      <c r="R48" s="595"/>
      <c r="S48" s="1313" t="s">
        <v>119</v>
      </c>
      <c r="T48" s="1314"/>
      <c r="U48" s="1314"/>
      <c r="V48" s="1314"/>
      <c r="W48" s="1315"/>
      <c r="X48" s="640">
        <f>SQRT(X47)</f>
        <v>0.32058973436118893</v>
      </c>
      <c r="Y48" s="625"/>
      <c r="AA48" s="644" t="s">
        <v>48</v>
      </c>
      <c r="AB48" s="644" t="s">
        <v>194</v>
      </c>
      <c r="AC48" s="605"/>
      <c r="AD48" s="605"/>
      <c r="AE48" s="1310" t="s">
        <v>224</v>
      </c>
      <c r="AF48" s="1311"/>
      <c r="AG48" s="1311"/>
      <c r="AH48" s="1311"/>
      <c r="AI48" s="1312"/>
      <c r="AJ48" s="643">
        <f>SQRT(AJ47)</f>
        <v>0.25165512908374144</v>
      </c>
      <c r="AK48" s="632"/>
      <c r="AL48" s="601"/>
      <c r="AM48" s="605"/>
      <c r="AN48" s="605"/>
      <c r="AO48" s="605"/>
      <c r="AP48" s="605"/>
      <c r="AQ48" s="1310" t="s">
        <v>224</v>
      </c>
      <c r="AR48" s="1311"/>
      <c r="AS48" s="1311"/>
      <c r="AT48" s="1311"/>
      <c r="AU48" s="1312"/>
      <c r="AV48" s="643">
        <f>SQRT(AV47)</f>
        <v>0.3803428628663002</v>
      </c>
      <c r="AW48" s="631"/>
      <c r="BN48" s="595"/>
      <c r="BO48" s="595"/>
      <c r="BP48" s="595"/>
      <c r="BQ48" s="803"/>
      <c r="BR48" s="1306"/>
      <c r="BS48" s="1306"/>
      <c r="BT48" s="1306"/>
      <c r="BU48" s="1306"/>
      <c r="BV48" s="1306"/>
      <c r="BW48" s="597"/>
      <c r="BX48" s="598"/>
    </row>
    <row r="49" spans="3:76" ht="15.75" customHeight="1" x14ac:dyDescent="0.3">
      <c r="C49" s="595"/>
      <c r="D49" s="595"/>
      <c r="E49" s="595"/>
      <c r="F49" s="595"/>
      <c r="G49" s="1313" t="s">
        <v>89</v>
      </c>
      <c r="H49" s="1314"/>
      <c r="I49" s="1314"/>
      <c r="J49" s="1314"/>
      <c r="K49" s="1315"/>
      <c r="L49" s="640">
        <f>((L48)^4)/M47</f>
        <v>133.68077531922074</v>
      </c>
      <c r="M49" s="625"/>
      <c r="O49" s="595"/>
      <c r="P49" s="595"/>
      <c r="Q49" s="595"/>
      <c r="R49" s="595"/>
      <c r="S49" s="1313" t="s">
        <v>89</v>
      </c>
      <c r="T49" s="1314"/>
      <c r="U49" s="1314"/>
      <c r="V49" s="1314"/>
      <c r="W49" s="1315"/>
      <c r="X49" s="640">
        <f>((X48)^4)/Y47</f>
        <v>117.01254743751905</v>
      </c>
      <c r="Y49" s="625"/>
      <c r="AA49" s="1060">
        <v>100</v>
      </c>
      <c r="AB49" s="1061">
        <v>0.2</v>
      </c>
      <c r="AC49" s="605"/>
      <c r="AD49" s="605"/>
      <c r="AE49" s="1310" t="s">
        <v>89</v>
      </c>
      <c r="AF49" s="1311"/>
      <c r="AG49" s="1311"/>
      <c r="AH49" s="1311"/>
      <c r="AI49" s="1312"/>
      <c r="AJ49" s="643">
        <f>((AJ48)^4)/AK47</f>
        <v>68.114166545190031</v>
      </c>
      <c r="AK49" s="632"/>
      <c r="AL49" s="601"/>
      <c r="AM49" s="605"/>
      <c r="AN49" s="605"/>
      <c r="AO49" s="605"/>
      <c r="AP49" s="605"/>
      <c r="AQ49" s="1310" t="s">
        <v>89</v>
      </c>
      <c r="AR49" s="1311"/>
      <c r="AS49" s="1311"/>
      <c r="AT49" s="1311"/>
      <c r="AU49" s="1312"/>
      <c r="AV49" s="643">
        <f>((AV48)^4)/AW47</f>
        <v>94.846317453921756</v>
      </c>
      <c r="AW49" s="631"/>
      <c r="BN49" s="595"/>
      <c r="BO49" s="595"/>
      <c r="BP49" s="595"/>
      <c r="BQ49" s="803"/>
      <c r="BR49" s="1306"/>
      <c r="BS49" s="1306"/>
      <c r="BT49" s="1306"/>
      <c r="BU49" s="1306"/>
      <c r="BV49" s="1306"/>
      <c r="BW49" s="597"/>
      <c r="BX49" s="598"/>
    </row>
    <row r="50" spans="3:76" ht="15.75" customHeight="1" x14ac:dyDescent="0.3">
      <c r="C50" s="595"/>
      <c r="D50" s="595"/>
      <c r="E50" s="595"/>
      <c r="F50" s="595"/>
      <c r="G50" s="1313" t="s">
        <v>42</v>
      </c>
      <c r="H50" s="1314"/>
      <c r="I50" s="1314"/>
      <c r="J50" s="1314"/>
      <c r="K50" s="1315"/>
      <c r="L50" s="625">
        <f>TINV(0.05,L49)</f>
        <v>1.9779612641677238</v>
      </c>
      <c r="M50" s="625"/>
      <c r="O50" s="595"/>
      <c r="P50" s="595"/>
      <c r="Q50" s="595"/>
      <c r="R50" s="595"/>
      <c r="S50" s="1313" t="s">
        <v>42</v>
      </c>
      <c r="T50" s="1314"/>
      <c r="U50" s="1314"/>
      <c r="V50" s="1314"/>
      <c r="W50" s="1315"/>
      <c r="X50" s="625">
        <f>TINV(0.05,X49)</f>
        <v>1.9804475986834036</v>
      </c>
      <c r="Y50" s="625"/>
      <c r="AA50" s="1060">
        <v>150</v>
      </c>
      <c r="AB50" s="1061">
        <v>0.2</v>
      </c>
      <c r="AC50" s="605"/>
      <c r="AD50" s="605"/>
      <c r="AE50" s="1310" t="s">
        <v>42</v>
      </c>
      <c r="AF50" s="1311"/>
      <c r="AG50" s="1311"/>
      <c r="AH50" s="1311"/>
      <c r="AI50" s="1312"/>
      <c r="AJ50" s="631">
        <f>TINV(0.05,AJ49)</f>
        <v>1.9954689314298424</v>
      </c>
      <c r="AK50" s="632"/>
      <c r="AL50" s="601"/>
      <c r="AM50" s="605"/>
      <c r="AN50" s="605"/>
      <c r="AO50" s="605"/>
      <c r="AP50" s="605"/>
      <c r="AQ50" s="1310" t="s">
        <v>42</v>
      </c>
      <c r="AR50" s="1311"/>
      <c r="AS50" s="1311"/>
      <c r="AT50" s="1311"/>
      <c r="AU50" s="1312"/>
      <c r="AV50" s="631">
        <f>TINV(0.05,AV49)</f>
        <v>1.9855234418666059</v>
      </c>
      <c r="AW50" s="631"/>
      <c r="BN50" s="595"/>
      <c r="BO50" s="595"/>
      <c r="BP50" s="595"/>
      <c r="BQ50" s="803"/>
      <c r="BR50" s="1306"/>
      <c r="BS50" s="1306"/>
      <c r="BT50" s="1306"/>
      <c r="BU50" s="1306"/>
      <c r="BV50" s="1306"/>
      <c r="BW50" s="598"/>
      <c r="BX50" s="598"/>
    </row>
    <row r="51" spans="3:76" ht="15.75" customHeight="1" x14ac:dyDescent="0.3">
      <c r="C51" s="595"/>
      <c r="D51" s="595"/>
      <c r="E51" s="595"/>
      <c r="F51" s="595"/>
      <c r="G51" s="1313" t="s">
        <v>120</v>
      </c>
      <c r="H51" s="1314"/>
      <c r="I51" s="1314"/>
      <c r="J51" s="1314"/>
      <c r="K51" s="1315"/>
      <c r="L51" s="645">
        <f>L50*L48</f>
        <v>0.66463946123704742</v>
      </c>
      <c r="M51" s="625"/>
      <c r="O51" s="595"/>
      <c r="P51" s="595"/>
      <c r="Q51" s="595"/>
      <c r="R51" s="595"/>
      <c r="S51" s="1313" t="s">
        <v>120</v>
      </c>
      <c r="T51" s="1314"/>
      <c r="U51" s="1314"/>
      <c r="V51" s="1314"/>
      <c r="W51" s="1315"/>
      <c r="X51" s="645">
        <f>X50*X48</f>
        <v>0.63491116957816685</v>
      </c>
      <c r="Y51" s="625"/>
      <c r="AA51" s="605"/>
      <c r="AB51" s="605"/>
      <c r="AC51" s="605"/>
      <c r="AD51" s="605"/>
      <c r="AE51" s="1310" t="s">
        <v>225</v>
      </c>
      <c r="AF51" s="1311"/>
      <c r="AG51" s="1311"/>
      <c r="AH51" s="1311"/>
      <c r="AI51" s="1312"/>
      <c r="AJ51" s="646">
        <f>AJ50*AJ48</f>
        <v>0.5021699915215726</v>
      </c>
      <c r="AK51" s="632"/>
      <c r="AL51" s="601"/>
      <c r="AM51" s="605"/>
      <c r="AN51" s="605"/>
      <c r="AO51" s="605"/>
      <c r="AP51" s="605"/>
      <c r="AQ51" s="1310" t="s">
        <v>225</v>
      </c>
      <c r="AR51" s="1311"/>
      <c r="AS51" s="1311"/>
      <c r="AT51" s="1311"/>
      <c r="AU51" s="1312"/>
      <c r="AV51" s="646">
        <f>AV50*AV48</f>
        <v>0.75517967016769483</v>
      </c>
      <c r="AW51" s="631"/>
      <c r="BN51" s="595"/>
      <c r="BO51" s="595"/>
      <c r="BP51" s="595"/>
      <c r="BQ51" s="803"/>
      <c r="BR51" s="1306"/>
      <c r="BS51" s="1306"/>
      <c r="BT51" s="1306"/>
      <c r="BU51" s="1306"/>
      <c r="BV51" s="1306"/>
      <c r="BW51" s="785"/>
      <c r="BX51" s="598"/>
    </row>
    <row r="52" spans="3:76" x14ac:dyDescent="0.3">
      <c r="AA52" s="601"/>
      <c r="AB52" s="601"/>
      <c r="AC52" s="601"/>
      <c r="AD52" s="601"/>
      <c r="AE52" s="601"/>
      <c r="AF52" s="601"/>
      <c r="AG52" s="601"/>
      <c r="AH52" s="601"/>
      <c r="AI52" s="601"/>
      <c r="AJ52" s="601"/>
      <c r="AK52" s="601"/>
      <c r="AL52" s="601"/>
      <c r="AM52" s="601"/>
      <c r="AN52" s="601"/>
      <c r="AO52" s="601"/>
      <c r="AP52" s="601"/>
      <c r="AQ52" s="601"/>
      <c r="AR52" s="601"/>
      <c r="AS52" s="601"/>
      <c r="AT52" s="601"/>
      <c r="AU52" s="601"/>
      <c r="AV52" s="601"/>
      <c r="AW52" s="601"/>
      <c r="BQ52" s="799"/>
    </row>
    <row r="53" spans="3:76" x14ac:dyDescent="0.3">
      <c r="AA53" s="601"/>
      <c r="AB53" s="601"/>
      <c r="AC53" s="601"/>
      <c r="AD53" s="601"/>
      <c r="AE53" s="601"/>
      <c r="AF53" s="601"/>
      <c r="AG53" s="601"/>
      <c r="AH53" s="601"/>
      <c r="AI53" s="601"/>
      <c r="AJ53" s="601"/>
      <c r="AK53" s="601"/>
      <c r="AL53" s="601"/>
      <c r="AM53" s="601"/>
      <c r="AN53" s="601"/>
      <c r="AO53" s="601"/>
      <c r="AP53" s="601"/>
      <c r="AQ53" s="601"/>
      <c r="AR53" s="601"/>
      <c r="AS53" s="601"/>
      <c r="AT53" s="601"/>
      <c r="AU53" s="601"/>
      <c r="AV53" s="601"/>
      <c r="AW53" s="601"/>
      <c r="BQ53" s="799"/>
    </row>
    <row r="54" spans="3:76" x14ac:dyDescent="0.3">
      <c r="AA54" s="601"/>
      <c r="AB54" s="601"/>
      <c r="AC54" s="601"/>
      <c r="AD54" s="601"/>
      <c r="AE54" s="601"/>
      <c r="AF54" s="601"/>
      <c r="AG54" s="601"/>
      <c r="AH54" s="601"/>
      <c r="AI54" s="601"/>
      <c r="AJ54" s="601"/>
      <c r="AK54" s="601"/>
      <c r="AL54" s="601"/>
      <c r="AM54" s="601"/>
      <c r="AN54" s="601"/>
      <c r="AO54" s="601"/>
      <c r="AP54" s="601"/>
      <c r="AQ54" s="601"/>
      <c r="AR54" s="601"/>
      <c r="AS54" s="601"/>
      <c r="AT54" s="601"/>
      <c r="AU54" s="601"/>
      <c r="AV54" s="601"/>
      <c r="AW54" s="601"/>
      <c r="BQ54" s="799"/>
    </row>
    <row r="55" spans="3:76" x14ac:dyDescent="0.3">
      <c r="AA55" s="601"/>
      <c r="AB55" s="601"/>
      <c r="AC55" s="601"/>
      <c r="AD55" s="601"/>
      <c r="AE55" s="601"/>
      <c r="AF55" s="601"/>
      <c r="AG55" s="601"/>
      <c r="AH55" s="601"/>
      <c r="AI55" s="601"/>
      <c r="AJ55" s="601"/>
      <c r="AK55" s="601"/>
      <c r="AL55" s="601"/>
      <c r="AM55" s="601"/>
      <c r="AN55" s="601"/>
      <c r="AO55" s="601"/>
      <c r="AP55" s="601"/>
      <c r="AQ55" s="601"/>
      <c r="AR55" s="601"/>
      <c r="AS55" s="601"/>
      <c r="AT55" s="601"/>
      <c r="AU55" s="601"/>
      <c r="AV55" s="601"/>
      <c r="AW55" s="601"/>
      <c r="BQ55" s="799"/>
    </row>
    <row r="56" spans="3:76" x14ac:dyDescent="0.3">
      <c r="AA56" s="601"/>
      <c r="AB56" s="601"/>
      <c r="AC56" s="601"/>
      <c r="AD56" s="601"/>
      <c r="AE56" s="601"/>
      <c r="AF56" s="601"/>
      <c r="AG56" s="601"/>
      <c r="AH56" s="601"/>
      <c r="AI56" s="601"/>
      <c r="AJ56" s="601"/>
      <c r="AK56" s="601"/>
      <c r="AL56" s="601"/>
      <c r="AM56" s="601"/>
      <c r="AN56" s="601"/>
      <c r="AO56" s="601"/>
      <c r="AP56" s="601"/>
      <c r="AQ56" s="601"/>
      <c r="AR56" s="601"/>
      <c r="AS56" s="601"/>
      <c r="AT56" s="601"/>
      <c r="AU56" s="601"/>
      <c r="AV56" s="601"/>
      <c r="AW56" s="601"/>
      <c r="BQ56" s="799"/>
    </row>
    <row r="57" spans="3:76" x14ac:dyDescent="0.3">
      <c r="BQ57" s="799"/>
    </row>
    <row r="58" spans="3:76" x14ac:dyDescent="0.3">
      <c r="BQ58" s="799"/>
    </row>
    <row r="59" spans="3:76" x14ac:dyDescent="0.3">
      <c r="BQ59" s="799"/>
    </row>
    <row r="60" spans="3:76" x14ac:dyDescent="0.3">
      <c r="BQ60" s="799"/>
    </row>
    <row r="61" spans="3:76" x14ac:dyDescent="0.3">
      <c r="BQ61" s="799"/>
    </row>
    <row r="62" spans="3:76" x14ac:dyDescent="0.3">
      <c r="BQ62" s="799"/>
    </row>
    <row r="63" spans="3:76" x14ac:dyDescent="0.3">
      <c r="BQ63" s="799"/>
    </row>
    <row r="64" spans="3:76" x14ac:dyDescent="0.3">
      <c r="BQ64" s="799"/>
    </row>
    <row r="65" spans="69:69" x14ac:dyDescent="0.3">
      <c r="BQ65" s="799"/>
    </row>
    <row r="66" spans="69:69" x14ac:dyDescent="0.3">
      <c r="BQ66" s="799"/>
    </row>
    <row r="67" spans="69:69" x14ac:dyDescent="0.3">
      <c r="BQ67" s="799"/>
    </row>
    <row r="68" spans="69:69" x14ac:dyDescent="0.3">
      <c r="BQ68" s="799"/>
    </row>
    <row r="69" spans="69:69" x14ac:dyDescent="0.3">
      <c r="BQ69" s="799"/>
    </row>
    <row r="70" spans="69:69" x14ac:dyDescent="0.3">
      <c r="BQ70" s="799"/>
    </row>
    <row r="71" spans="69:69" x14ac:dyDescent="0.3">
      <c r="BQ71" s="799"/>
    </row>
    <row r="72" spans="69:69" x14ac:dyDescent="0.3">
      <c r="BQ72" s="799"/>
    </row>
    <row r="73" spans="69:69" x14ac:dyDescent="0.3">
      <c r="BQ73" s="799"/>
    </row>
    <row r="74" spans="69:69" x14ac:dyDescent="0.3">
      <c r="BQ74" s="799"/>
    </row>
    <row r="75" spans="69:69" x14ac:dyDescent="0.3">
      <c r="BQ75" s="799"/>
    </row>
    <row r="76" spans="69:69" x14ac:dyDescent="0.3">
      <c r="BQ76" s="799"/>
    </row>
    <row r="77" spans="69:69" x14ac:dyDescent="0.3">
      <c r="BQ77" s="799"/>
    </row>
    <row r="78" spans="69:69" x14ac:dyDescent="0.3">
      <c r="BQ78" s="799"/>
    </row>
    <row r="79" spans="69:69" x14ac:dyDescent="0.3">
      <c r="BQ79" s="799"/>
    </row>
    <row r="80" spans="69:69" x14ac:dyDescent="0.3">
      <c r="BQ80" s="799"/>
    </row>
    <row r="81" spans="69:69" x14ac:dyDescent="0.3">
      <c r="BQ81" s="799"/>
    </row>
    <row r="82" spans="69:69" x14ac:dyDescent="0.3">
      <c r="BQ82" s="799"/>
    </row>
    <row r="83" spans="69:69" x14ac:dyDescent="0.3">
      <c r="BQ83" s="799"/>
    </row>
    <row r="84" spans="69:69" x14ac:dyDescent="0.3">
      <c r="BQ84" s="799"/>
    </row>
    <row r="85" spans="69:69" x14ac:dyDescent="0.3">
      <c r="BQ85" s="799"/>
    </row>
    <row r="86" spans="69:69" x14ac:dyDescent="0.3">
      <c r="BQ86" s="799"/>
    </row>
    <row r="87" spans="69:69" x14ac:dyDescent="0.3">
      <c r="BQ87" s="799"/>
    </row>
    <row r="88" spans="69:69" x14ac:dyDescent="0.3">
      <c r="BQ88" s="799"/>
    </row>
    <row r="89" spans="69:69" x14ac:dyDescent="0.3">
      <c r="BQ89" s="799"/>
    </row>
    <row r="90" spans="69:69" x14ac:dyDescent="0.3">
      <c r="BQ90" s="799"/>
    </row>
    <row r="91" spans="69:69" x14ac:dyDescent="0.3">
      <c r="BQ91" s="799"/>
    </row>
  </sheetData>
  <mergeCells count="60">
    <mergeCell ref="G19:K19"/>
    <mergeCell ref="S19:W19"/>
    <mergeCell ref="C4:W4"/>
    <mergeCell ref="X4:Y4"/>
    <mergeCell ref="C5:W5"/>
    <mergeCell ref="G18:K18"/>
    <mergeCell ref="S18:W18"/>
    <mergeCell ref="G20:K20"/>
    <mergeCell ref="S20:W20"/>
    <mergeCell ref="G21:K21"/>
    <mergeCell ref="S21:W21"/>
    <mergeCell ref="G33:K33"/>
    <mergeCell ref="S33:W33"/>
    <mergeCell ref="G34:K34"/>
    <mergeCell ref="S34:W34"/>
    <mergeCell ref="G35:K35"/>
    <mergeCell ref="S35:W35"/>
    <mergeCell ref="G36:K36"/>
    <mergeCell ref="S36:W36"/>
    <mergeCell ref="G51:K51"/>
    <mergeCell ref="S51:W51"/>
    <mergeCell ref="G48:K48"/>
    <mergeCell ref="S48:W48"/>
    <mergeCell ref="G49:K49"/>
    <mergeCell ref="S49:W49"/>
    <mergeCell ref="G50:K50"/>
    <mergeCell ref="S50:W50"/>
    <mergeCell ref="AE34:AI34"/>
    <mergeCell ref="AQ34:AU34"/>
    <mergeCell ref="AE35:AI35"/>
    <mergeCell ref="AQ35:AU35"/>
    <mergeCell ref="AE18:AI18"/>
    <mergeCell ref="AE19:AI19"/>
    <mergeCell ref="AE20:AI20"/>
    <mergeCell ref="AE21:AI21"/>
    <mergeCell ref="AQ18:AU18"/>
    <mergeCell ref="AQ19:AU19"/>
    <mergeCell ref="AQ20:AU20"/>
    <mergeCell ref="AQ21:AU21"/>
    <mergeCell ref="BR49:BV49"/>
    <mergeCell ref="BR50:BV50"/>
    <mergeCell ref="BR51:BV51"/>
    <mergeCell ref="AA4:AW4"/>
    <mergeCell ref="AE50:AI50"/>
    <mergeCell ref="AQ50:AU50"/>
    <mergeCell ref="AE51:AI51"/>
    <mergeCell ref="AQ51:AU51"/>
    <mergeCell ref="AE36:AI36"/>
    <mergeCell ref="AQ36:AU36"/>
    <mergeCell ref="AE48:AI48"/>
    <mergeCell ref="AQ48:AU48"/>
    <mergeCell ref="AE49:AI49"/>
    <mergeCell ref="AQ49:AU49"/>
    <mergeCell ref="AE33:AI33"/>
    <mergeCell ref="AQ33:AU33"/>
    <mergeCell ref="BR33:BV33"/>
    <mergeCell ref="BR34:BV34"/>
    <mergeCell ref="BR35:BV35"/>
    <mergeCell ref="BR36:BV36"/>
    <mergeCell ref="BR48:BV48"/>
  </mergeCells>
  <printOptions horizontalCentered="1"/>
  <pageMargins left="0.19685039370078741" right="0.23622047244094491" top="0.19685039370078741" bottom="0.15748031496062992" header="0.19685039370078741" footer="0.19685039370078741"/>
  <pageSetup paperSize="9" scale="59" orientation="landscape"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A1:IO204"/>
  <sheetViews>
    <sheetView showGridLines="0" view="pageBreakPreview" topLeftCell="A25" zoomScale="85" zoomScaleNormal="85" zoomScaleSheetLayoutView="85" workbookViewId="0">
      <selection activeCell="F35" sqref="F35:H35"/>
    </sheetView>
  </sheetViews>
  <sheetFormatPr defaultColWidth="9.21875" defaultRowHeight="15.6" x14ac:dyDescent="0.3"/>
  <cols>
    <col min="1" max="1" width="5.44140625" style="73" customWidth="1"/>
    <col min="2" max="2" width="4" style="72" customWidth="1"/>
    <col min="3" max="3" width="14.5546875" style="72" customWidth="1"/>
    <col min="4" max="4" width="0.5546875" style="72" hidden="1" customWidth="1"/>
    <col min="5" max="5" width="1.44140625" style="72" customWidth="1"/>
    <col min="6" max="6" width="15.21875" style="72" customWidth="1"/>
    <col min="7" max="7" width="12.5546875" style="72" customWidth="1"/>
    <col min="8" max="8" width="11.44140625" style="72" customWidth="1"/>
    <col min="9" max="9" width="11.77734375" style="72" customWidth="1"/>
    <col min="10" max="10" width="14.5546875" style="72" customWidth="1"/>
    <col min="11" max="11" width="11" style="72" customWidth="1"/>
    <col min="12" max="12" width="10.21875" style="72" customWidth="1"/>
    <col min="13" max="13" width="6.21875" style="72" bestFit="1" customWidth="1"/>
    <col min="14" max="14" width="5.77734375" style="72" customWidth="1"/>
    <col min="15" max="15" width="7.21875" style="72" customWidth="1"/>
    <col min="16" max="16" width="9.21875" style="72" customWidth="1"/>
    <col min="17" max="17" width="10.77734375" style="72" customWidth="1"/>
    <col min="18" max="19" width="9.21875" style="72" customWidth="1"/>
    <col min="20" max="20" width="8.5546875" style="72" bestFit="1" customWidth="1"/>
    <col min="21" max="224" width="9.21875" style="72" customWidth="1"/>
    <col min="225" max="248" width="10.21875" style="72" customWidth="1"/>
    <col min="249" max="249" width="7.5546875" style="72" customWidth="1"/>
    <col min="250" max="256" width="8.77734375" style="72" customWidth="1"/>
    <col min="257" max="16384" width="9.21875" style="72"/>
  </cols>
  <sheetData>
    <row r="1" spans="1:249" ht="18" x14ac:dyDescent="0.3">
      <c r="A1" s="1335" t="s">
        <v>87</v>
      </c>
      <c r="B1" s="1335"/>
      <c r="C1" s="1335"/>
      <c r="D1" s="1335"/>
      <c r="E1" s="1335"/>
      <c r="F1" s="1335"/>
      <c r="G1" s="1335"/>
      <c r="H1" s="1335"/>
      <c r="I1" s="1335"/>
      <c r="J1" s="1335"/>
      <c r="K1" s="1335"/>
      <c r="L1" s="1335"/>
      <c r="M1" s="1335"/>
      <c r="N1" s="1335"/>
      <c r="O1" s="66"/>
      <c r="P1" s="470"/>
      <c r="Q1" s="68"/>
      <c r="R1" s="68"/>
      <c r="S1" s="68"/>
      <c r="T1" s="68"/>
      <c r="U1" s="68"/>
      <c r="V1" s="68"/>
      <c r="W1" s="68"/>
      <c r="X1" s="68"/>
      <c r="Y1" s="68"/>
      <c r="Z1" s="68"/>
    </row>
    <row r="2" spans="1:249" ht="17.399999999999999" x14ac:dyDescent="0.3">
      <c r="A2" s="1336" t="str">
        <f>ID!D2&amp;" "&amp;ID!I2</f>
        <v>Nomor Surat Keterangan : 44 / M - 11 / II - 21 / E - 035.66 DL</v>
      </c>
      <c r="B2" s="1336"/>
      <c r="C2" s="1336"/>
      <c r="D2" s="1336"/>
      <c r="E2" s="1336"/>
      <c r="F2" s="1336"/>
      <c r="G2" s="1336"/>
      <c r="H2" s="1336"/>
      <c r="I2" s="1336"/>
      <c r="J2" s="1336"/>
      <c r="K2" s="1336"/>
      <c r="L2" s="1336"/>
      <c r="M2" s="1336"/>
      <c r="N2" s="1336"/>
      <c r="P2" s="68"/>
      <c r="Q2" s="68"/>
      <c r="R2" s="68"/>
      <c r="S2" s="68"/>
      <c r="T2" s="68"/>
      <c r="U2" s="68"/>
      <c r="V2" s="68"/>
      <c r="W2" s="68"/>
      <c r="X2" s="68"/>
      <c r="Y2" s="68"/>
      <c r="Z2" s="68"/>
      <c r="IO2" s="72" t="s">
        <v>29</v>
      </c>
    </row>
    <row r="3" spans="1:249" ht="6" customHeight="1" x14ac:dyDescent="0.35">
      <c r="A3" s="488"/>
      <c r="B3" s="489"/>
      <c r="C3" s="489"/>
      <c r="D3" s="489"/>
      <c r="E3" s="489"/>
      <c r="F3" s="489"/>
      <c r="G3" s="489"/>
      <c r="H3" s="489"/>
      <c r="I3" s="489"/>
      <c r="J3" s="489"/>
      <c r="K3" s="490"/>
      <c r="P3" s="68"/>
      <c r="Q3" s="68"/>
      <c r="R3" s="68"/>
      <c r="S3" s="68"/>
      <c r="T3" s="68"/>
      <c r="U3" s="68"/>
      <c r="V3" s="68"/>
      <c r="W3" s="68"/>
      <c r="X3" s="68"/>
      <c r="Y3" s="68"/>
      <c r="Z3" s="68"/>
    </row>
    <row r="4" spans="1:249" ht="17.399999999999999" hidden="1" x14ac:dyDescent="0.35">
      <c r="A4" s="73" t="str">
        <f>ID!A80</f>
        <v xml:space="preserve">Petugas Kalibrasi  </v>
      </c>
      <c r="B4" s="73"/>
      <c r="C4" s="73"/>
      <c r="D4" s="72" t="s">
        <v>0</v>
      </c>
      <c r="E4" s="72" t="s">
        <v>0</v>
      </c>
      <c r="F4" s="73" t="str">
        <f>ID!A81</f>
        <v>Rangga Setya Hantoko</v>
      </c>
      <c r="G4" s="491"/>
      <c r="H4" s="491"/>
      <c r="I4" s="491"/>
      <c r="J4" s="491"/>
      <c r="K4" s="491"/>
      <c r="P4" s="68"/>
      <c r="Q4" s="68"/>
      <c r="R4" s="68"/>
      <c r="S4" s="68"/>
      <c r="T4" s="68"/>
      <c r="U4" s="68"/>
      <c r="V4" s="68"/>
      <c r="W4" s="68"/>
      <c r="X4" s="68"/>
      <c r="Y4" s="68"/>
      <c r="Z4" s="68"/>
    </row>
    <row r="5" spans="1:249" x14ac:dyDescent="0.3">
      <c r="A5" s="73" t="str">
        <f>ID!A6</f>
        <v xml:space="preserve">Merek                </v>
      </c>
      <c r="B5" s="73"/>
      <c r="C5" s="73"/>
      <c r="D5" s="72" t="s">
        <v>0</v>
      </c>
      <c r="E5" s="72" t="s">
        <v>0</v>
      </c>
      <c r="F5" s="73" t="str">
        <f>ID!C6</f>
        <v>COSMO Med</v>
      </c>
      <c r="G5" s="73"/>
      <c r="H5" s="73"/>
      <c r="I5" s="73"/>
      <c r="P5" s="68"/>
      <c r="Q5" s="68"/>
      <c r="R5" s="68"/>
      <c r="S5" s="68"/>
      <c r="T5" s="68"/>
      <c r="U5" s="68"/>
      <c r="V5" s="68"/>
      <c r="W5" s="68"/>
      <c r="X5" s="68"/>
      <c r="Y5" s="68"/>
      <c r="Z5" s="68"/>
      <c r="IO5" s="72" t="s">
        <v>30</v>
      </c>
    </row>
    <row r="6" spans="1:249" x14ac:dyDescent="0.3">
      <c r="A6" s="73" t="str">
        <f>ID!A7</f>
        <v>Model</v>
      </c>
      <c r="B6" s="73"/>
      <c r="C6" s="73"/>
      <c r="D6" s="72" t="s">
        <v>0</v>
      </c>
      <c r="E6" s="72" t="s">
        <v>0</v>
      </c>
      <c r="F6" s="73" t="str">
        <f>ID!C7</f>
        <v>-</v>
      </c>
      <c r="G6" s="73"/>
      <c r="H6" s="73"/>
      <c r="I6" s="73"/>
      <c r="P6" s="68"/>
      <c r="Q6" s="68"/>
      <c r="R6" s="68"/>
      <c r="S6" s="68"/>
      <c r="T6" s="68"/>
      <c r="U6" s="68"/>
      <c r="V6" s="68"/>
      <c r="W6" s="68"/>
      <c r="X6" s="68"/>
      <c r="Y6" s="68"/>
      <c r="Z6" s="68"/>
    </row>
    <row r="7" spans="1:249" x14ac:dyDescent="0.3">
      <c r="A7" s="73" t="str">
        <f>ID!A8</f>
        <v xml:space="preserve">No. Seri         </v>
      </c>
      <c r="B7" s="73"/>
      <c r="C7" s="73"/>
      <c r="E7" s="72" t="s">
        <v>0</v>
      </c>
      <c r="F7" s="73" t="str">
        <f>ID!C8</f>
        <v>-</v>
      </c>
      <c r="G7" s="73"/>
      <c r="H7" s="73"/>
      <c r="I7" s="73"/>
      <c r="P7" s="68"/>
      <c r="Q7" s="68"/>
      <c r="R7" s="68"/>
      <c r="S7" s="68"/>
      <c r="T7" s="68"/>
      <c r="U7" s="68"/>
      <c r="V7" s="68"/>
      <c r="W7" s="68"/>
      <c r="X7" s="68"/>
      <c r="Y7" s="68"/>
      <c r="Z7" s="68"/>
    </row>
    <row r="8" spans="1:249" x14ac:dyDescent="0.3">
      <c r="A8" s="73" t="str">
        <f>ID!A9</f>
        <v>Resolusi</v>
      </c>
      <c r="E8" s="393" t="s">
        <v>0</v>
      </c>
      <c r="F8" s="492">
        <f>ID!C9</f>
        <v>2</v>
      </c>
      <c r="P8" s="68"/>
      <c r="Q8" s="68"/>
      <c r="R8" s="68"/>
      <c r="S8" s="68"/>
      <c r="T8" s="68"/>
      <c r="U8" s="68"/>
      <c r="V8" s="68"/>
      <c r="W8" s="68"/>
      <c r="X8" s="68"/>
      <c r="Y8" s="68"/>
      <c r="Z8" s="68"/>
    </row>
    <row r="9" spans="1:249" x14ac:dyDescent="0.3">
      <c r="A9" s="73" t="str">
        <f>ID!A10</f>
        <v>Tanggal Penerimaan Alat</v>
      </c>
      <c r="D9" s="72" t="s">
        <v>0</v>
      </c>
      <c r="E9" s="72" t="s">
        <v>0</v>
      </c>
      <c r="F9" s="887">
        <f>ID!C10</f>
        <v>44641</v>
      </c>
      <c r="P9" s="68"/>
      <c r="Q9" s="68"/>
      <c r="R9" s="68"/>
      <c r="S9" s="68"/>
      <c r="T9" s="68"/>
      <c r="U9" s="68"/>
      <c r="V9" s="68"/>
      <c r="W9" s="68"/>
      <c r="X9" s="68"/>
      <c r="Y9" s="68"/>
      <c r="Z9" s="68"/>
    </row>
    <row r="10" spans="1:249" x14ac:dyDescent="0.3">
      <c r="A10" s="73" t="str">
        <f>ID!A11</f>
        <v>Tanggal Kalibrasi</v>
      </c>
      <c r="D10" s="72" t="s">
        <v>0</v>
      </c>
      <c r="E10" s="72" t="s">
        <v>0</v>
      </c>
      <c r="F10" s="887" t="str">
        <f>ID!C11</f>
        <v>21 Maret 2022</v>
      </c>
      <c r="G10" s="73"/>
      <c r="H10" s="73"/>
      <c r="I10" s="73"/>
      <c r="P10" s="68"/>
      <c r="Q10" s="68"/>
      <c r="R10" s="68"/>
      <c r="S10" s="68"/>
      <c r="T10" s="68"/>
      <c r="U10" s="68"/>
      <c r="V10" s="68"/>
      <c r="W10" s="68"/>
      <c r="X10" s="68"/>
      <c r="Y10" s="68"/>
      <c r="Z10" s="68"/>
    </row>
    <row r="11" spans="1:249" x14ac:dyDescent="0.3">
      <c r="A11" s="73" t="str">
        <f>ID!A12</f>
        <v>Tempat Kalibrasi</v>
      </c>
      <c r="B11" s="73"/>
      <c r="C11" s="73"/>
      <c r="E11" s="72" t="s">
        <v>0</v>
      </c>
      <c r="F11" s="73" t="str">
        <f>ID!C12</f>
        <v>ICU</v>
      </c>
      <c r="P11" s="68"/>
      <c r="Q11" s="68"/>
      <c r="R11" s="68"/>
      <c r="S11" s="68"/>
      <c r="T11" s="68"/>
      <c r="U11" s="68"/>
      <c r="V11" s="68"/>
      <c r="W11" s="68"/>
      <c r="X11" s="68"/>
      <c r="Y11" s="68"/>
      <c r="Z11" s="68"/>
    </row>
    <row r="12" spans="1:249" x14ac:dyDescent="0.3">
      <c r="A12" s="73" t="str">
        <f>ID!A13</f>
        <v>Nama Ruang</v>
      </c>
      <c r="B12" s="73"/>
      <c r="C12" s="73"/>
      <c r="E12" s="72" t="s">
        <v>0</v>
      </c>
      <c r="F12" s="73" t="str">
        <f>ID!C13</f>
        <v>VK</v>
      </c>
      <c r="P12" s="68"/>
      <c r="Q12" s="394">
        <f>'SERTIFIKAT THERMOHYGROMETER'!Q15</f>
        <v>0.3</v>
      </c>
      <c r="R12" s="68"/>
      <c r="S12" s="68"/>
      <c r="T12" s="68"/>
      <c r="U12" s="68"/>
      <c r="V12" s="68"/>
      <c r="W12" s="68"/>
      <c r="X12" s="68"/>
      <c r="Y12" s="68"/>
      <c r="Z12" s="68"/>
    </row>
    <row r="13" spans="1:249" x14ac:dyDescent="0.3">
      <c r="A13" s="443" t="s">
        <v>177</v>
      </c>
      <c r="B13" s="73"/>
      <c r="C13" s="73"/>
      <c r="E13" s="72" t="s">
        <v>0</v>
      </c>
      <c r="F13" s="393" t="s">
        <v>178</v>
      </c>
      <c r="P13" s="68"/>
      <c r="Q13" s="395">
        <f>'SERTIFIKAT THERMOHYGROMETER'!T15</f>
        <v>1.5</v>
      </c>
      <c r="R13" s="68"/>
      <c r="S13" s="68"/>
      <c r="T13" s="68"/>
      <c r="U13" s="68"/>
      <c r="V13" s="68"/>
      <c r="W13" s="68"/>
      <c r="X13" s="68"/>
      <c r="Y13" s="68"/>
      <c r="Z13" s="68"/>
    </row>
    <row r="14" spans="1:249" hidden="1" x14ac:dyDescent="0.3">
      <c r="A14" s="69"/>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spans="1:249" ht="9.75" customHeight="1" x14ac:dyDescent="0.3">
      <c r="A15" s="69"/>
      <c r="B15" s="69"/>
      <c r="C15" s="69"/>
      <c r="D15" s="68"/>
      <c r="E15" s="68"/>
      <c r="F15" s="68"/>
      <c r="G15" s="68"/>
      <c r="H15" s="68"/>
      <c r="I15" s="68"/>
      <c r="J15" s="68"/>
      <c r="K15" s="68"/>
      <c r="L15" s="68"/>
      <c r="M15" s="68"/>
      <c r="N15" s="68"/>
      <c r="O15" s="68"/>
      <c r="P15" s="68"/>
      <c r="Q15" s="68"/>
      <c r="R15" s="68"/>
      <c r="S15" s="68"/>
      <c r="T15" s="68"/>
      <c r="U15" s="68"/>
      <c r="V15" s="68"/>
      <c r="W15" s="68"/>
      <c r="X15" s="68"/>
      <c r="Y15" s="68"/>
      <c r="Z15" s="68"/>
    </row>
    <row r="16" spans="1:249" x14ac:dyDescent="0.3">
      <c r="A16" s="396" t="str">
        <f>ID!A18</f>
        <v>I. Kondisi Ruang</v>
      </c>
      <c r="B16" s="396"/>
      <c r="C16" s="396"/>
      <c r="D16" s="396"/>
      <c r="E16" s="396"/>
      <c r="F16" s="396"/>
      <c r="G16" s="396"/>
      <c r="H16" s="68"/>
      <c r="I16" s="68"/>
      <c r="J16" s="68"/>
      <c r="K16" s="68"/>
      <c r="L16" s="68"/>
      <c r="M16" s="68"/>
      <c r="N16" s="68"/>
      <c r="O16" s="68"/>
      <c r="P16" s="68"/>
      <c r="Q16" s="471" t="s">
        <v>216</v>
      </c>
      <c r="R16" s="68"/>
      <c r="S16" s="68"/>
      <c r="T16" s="68"/>
      <c r="U16" s="68"/>
      <c r="V16" s="68"/>
      <c r="W16" s="68"/>
      <c r="X16" s="68"/>
      <c r="Y16" s="68"/>
      <c r="Z16" s="68"/>
    </row>
    <row r="17" spans="1:26" x14ac:dyDescent="0.3">
      <c r="A17" s="69"/>
      <c r="B17" s="1340" t="s">
        <v>15</v>
      </c>
      <c r="C17" s="1340"/>
      <c r="D17" s="68" t="s">
        <v>0</v>
      </c>
      <c r="E17" s="68" t="s">
        <v>0</v>
      </c>
      <c r="F17" s="892">
        <f>ID!F22</f>
        <v>22.65</v>
      </c>
      <c r="G17" s="835" t="s">
        <v>454</v>
      </c>
      <c r="H17" s="69">
        <f>'SERTIFIKAT THERMOHYGROMETER'!Q15</f>
        <v>0.3</v>
      </c>
      <c r="I17" s="833" t="s">
        <v>453</v>
      </c>
      <c r="J17" s="68"/>
      <c r="K17" s="68"/>
      <c r="L17" s="68"/>
      <c r="M17" s="68"/>
      <c r="N17" s="68"/>
      <c r="O17" s="68"/>
      <c r="P17" s="68"/>
      <c r="Q17" s="68"/>
      <c r="R17" s="68"/>
      <c r="S17" s="68"/>
      <c r="T17" s="68"/>
      <c r="U17" s="68"/>
      <c r="V17" s="68"/>
      <c r="W17" s="68"/>
      <c r="X17" s="68"/>
      <c r="Y17" s="68"/>
      <c r="Z17" s="68"/>
    </row>
    <row r="18" spans="1:26" x14ac:dyDescent="0.3">
      <c r="A18" s="69"/>
      <c r="B18" s="1340" t="s">
        <v>25</v>
      </c>
      <c r="C18" s="1340"/>
      <c r="D18" s="68" t="s">
        <v>0</v>
      </c>
      <c r="E18" s="68" t="s">
        <v>0</v>
      </c>
      <c r="F18" s="892">
        <f>ID!F23</f>
        <v>53.28</v>
      </c>
      <c r="G18" s="835" t="s">
        <v>454</v>
      </c>
      <c r="H18" s="69">
        <f>'SERTIFIKAT THERMOHYGROMETER'!T15</f>
        <v>1.5</v>
      </c>
      <c r="I18" s="834" t="s">
        <v>455</v>
      </c>
      <c r="J18" s="68"/>
      <c r="K18" s="68"/>
      <c r="L18" s="68"/>
      <c r="M18" s="68"/>
      <c r="N18" s="68"/>
      <c r="O18" s="68"/>
      <c r="P18" s="68"/>
      <c r="Q18" s="68"/>
      <c r="R18" s="68"/>
      <c r="S18" s="68"/>
      <c r="T18" s="68"/>
      <c r="U18" s="68"/>
      <c r="V18" s="68"/>
      <c r="W18" s="68"/>
      <c r="X18" s="68"/>
      <c r="Y18" s="68"/>
      <c r="Z18" s="68"/>
    </row>
    <row r="19" spans="1:26" ht="7.5" customHeight="1" x14ac:dyDescent="0.3">
      <c r="A19" s="69"/>
      <c r="B19" s="69"/>
      <c r="C19" s="69"/>
      <c r="D19" s="68"/>
      <c r="E19" s="68"/>
      <c r="F19" s="397"/>
      <c r="G19" s="69"/>
      <c r="H19" s="69"/>
      <c r="I19" s="69"/>
      <c r="J19" s="68"/>
      <c r="K19" s="68"/>
      <c r="L19" s="68"/>
      <c r="M19" s="68"/>
      <c r="N19" s="68"/>
      <c r="O19" s="68"/>
      <c r="P19" s="68"/>
      <c r="Q19" s="68"/>
      <c r="R19" s="68"/>
      <c r="S19" s="68"/>
      <c r="T19" s="68"/>
      <c r="U19" s="68"/>
      <c r="V19" s="68"/>
      <c r="W19" s="68"/>
      <c r="X19" s="68"/>
      <c r="Y19" s="68"/>
      <c r="Z19" s="68"/>
    </row>
    <row r="20" spans="1:26" x14ac:dyDescent="0.3">
      <c r="A20" s="396" t="str">
        <f>ID!A36</f>
        <v>II. Pemeriksaan Kondisi Fisik dan Fungsi Alat</v>
      </c>
      <c r="B20" s="398"/>
      <c r="C20" s="398"/>
      <c r="D20" s="398"/>
      <c r="E20" s="398"/>
      <c r="F20" s="398"/>
      <c r="G20" s="398"/>
      <c r="H20" s="398"/>
      <c r="I20" s="68"/>
      <c r="J20" s="68"/>
      <c r="K20" s="68"/>
      <c r="L20" s="68"/>
      <c r="M20" s="68"/>
      <c r="N20" s="68"/>
      <c r="O20" s="472" t="s">
        <v>217</v>
      </c>
      <c r="P20" s="68"/>
      <c r="Q20" s="68"/>
      <c r="R20" s="68"/>
      <c r="S20" s="68"/>
      <c r="T20" s="68"/>
      <c r="U20" s="68"/>
      <c r="V20" s="68"/>
      <c r="W20" s="68"/>
      <c r="X20" s="68"/>
      <c r="Y20" s="68"/>
      <c r="Z20" s="68"/>
    </row>
    <row r="21" spans="1:26" x14ac:dyDescent="0.3">
      <c r="A21" s="69"/>
      <c r="B21" s="68" t="s">
        <v>31</v>
      </c>
      <c r="C21" s="68"/>
      <c r="D21" s="68" t="s">
        <v>32</v>
      </c>
      <c r="E21" s="68" t="s">
        <v>0</v>
      </c>
      <c r="F21" s="69" t="str">
        <f>ID!C37</f>
        <v>Baik</v>
      </c>
      <c r="G21" s="68"/>
      <c r="H21" s="68"/>
      <c r="I21" s="68"/>
      <c r="J21" s="68"/>
      <c r="K21" s="68"/>
      <c r="L21" s="68"/>
      <c r="M21" s="68"/>
      <c r="N21" s="68"/>
      <c r="O21" s="653">
        <f>IF(F21="Baik",5,IF(F21="Tidak Baik",0))</f>
        <v>5</v>
      </c>
      <c r="P21" s="68"/>
      <c r="Q21" s="68"/>
      <c r="R21" s="68"/>
      <c r="S21" s="68"/>
      <c r="T21" s="68"/>
      <c r="U21" s="68"/>
      <c r="V21" s="68"/>
      <c r="W21" s="68"/>
      <c r="X21" s="68"/>
      <c r="Y21" s="68"/>
      <c r="Z21" s="68"/>
    </row>
    <row r="22" spans="1:26" x14ac:dyDescent="0.3">
      <c r="A22" s="69"/>
      <c r="B22" s="68" t="s">
        <v>33</v>
      </c>
      <c r="C22" s="68"/>
      <c r="D22" s="68" t="s">
        <v>32</v>
      </c>
      <c r="E22" s="68" t="s">
        <v>0</v>
      </c>
      <c r="F22" s="69" t="str">
        <f>ID!C38</f>
        <v>Baik</v>
      </c>
      <c r="G22" s="68"/>
      <c r="H22" s="68"/>
      <c r="I22" s="68"/>
      <c r="J22" s="68"/>
      <c r="K22" s="68"/>
      <c r="L22" s="68"/>
      <c r="M22" s="68"/>
      <c r="N22" s="68"/>
      <c r="O22" s="653">
        <f>IF(F22="Baik",5,IF(F22="Tidak Baik",0))</f>
        <v>5</v>
      </c>
      <c r="P22" s="68"/>
      <c r="Q22" s="68"/>
      <c r="R22" s="68"/>
      <c r="S22" s="68"/>
      <c r="T22" s="68"/>
      <c r="U22" s="68"/>
      <c r="V22" s="68"/>
      <c r="W22" s="68"/>
      <c r="X22" s="68"/>
      <c r="Y22" s="68"/>
      <c r="Z22" s="68"/>
    </row>
    <row r="23" spans="1:26" ht="5.25" customHeight="1" x14ac:dyDescent="0.3">
      <c r="A23" s="1328"/>
      <c r="B23" s="1328"/>
      <c r="C23" s="1328"/>
      <c r="D23" s="1328"/>
      <c r="E23" s="1328"/>
      <c r="F23" s="1328"/>
      <c r="G23" s="1328"/>
      <c r="H23" s="68"/>
      <c r="I23" s="68"/>
      <c r="J23" s="68"/>
      <c r="K23" s="68"/>
      <c r="L23" s="68"/>
      <c r="M23" s="68"/>
      <c r="N23" s="473"/>
      <c r="O23" s="68"/>
      <c r="P23" s="68"/>
      <c r="Q23" s="68"/>
      <c r="R23" s="68"/>
      <c r="S23" s="68"/>
      <c r="T23" s="68"/>
      <c r="U23" s="68"/>
      <c r="V23" s="68"/>
      <c r="W23" s="68"/>
      <c r="X23" s="68"/>
      <c r="Y23" s="68"/>
      <c r="Z23" s="68"/>
    </row>
    <row r="24" spans="1:26" ht="15" customHeight="1" x14ac:dyDescent="0.3">
      <c r="A24" s="396" t="str">
        <f>ID!A39</f>
        <v>III. Pengujian Kinerja</v>
      </c>
      <c r="B24" s="70"/>
      <c r="C24" s="70"/>
      <c r="D24" s="70"/>
      <c r="E24" s="70"/>
      <c r="F24" s="70"/>
      <c r="G24" s="70"/>
      <c r="H24" s="68"/>
      <c r="I24" s="68"/>
      <c r="J24" s="68"/>
      <c r="K24" s="68"/>
      <c r="L24" s="68"/>
      <c r="M24" s="68"/>
      <c r="N24" s="473"/>
      <c r="O24" s="68"/>
      <c r="P24" s="68"/>
      <c r="Q24" s="68"/>
      <c r="R24" s="68"/>
      <c r="S24" s="68"/>
      <c r="T24" s="68"/>
      <c r="U24" s="68"/>
      <c r="V24" s="68"/>
      <c r="W24" s="68"/>
      <c r="X24" s="68"/>
      <c r="Y24" s="68"/>
      <c r="Z24" s="68"/>
    </row>
    <row r="25" spans="1:26" x14ac:dyDescent="0.3">
      <c r="A25" s="396" t="str">
        <f>ID!A40</f>
        <v>A. Pengujian Kebocoran</v>
      </c>
      <c r="B25" s="396"/>
      <c r="C25" s="399"/>
      <c r="D25" s="399"/>
      <c r="E25" s="399"/>
      <c r="F25" s="399"/>
      <c r="G25" s="70"/>
      <c r="H25" s="68"/>
      <c r="I25" s="68"/>
      <c r="J25" s="68"/>
      <c r="K25" s="68"/>
      <c r="L25" s="68"/>
      <c r="M25" s="68"/>
      <c r="N25" s="473"/>
      <c r="O25" s="68"/>
      <c r="P25" s="68"/>
      <c r="Q25" s="68"/>
      <c r="R25" s="68"/>
      <c r="S25" s="68"/>
      <c r="T25" s="68"/>
      <c r="U25" s="68"/>
      <c r="V25" s="68"/>
      <c r="W25" s="68"/>
      <c r="X25" s="68"/>
      <c r="Y25" s="68"/>
      <c r="Z25" s="68"/>
    </row>
    <row r="26" spans="1:26" ht="15.75" customHeight="1" x14ac:dyDescent="0.3">
      <c r="A26" s="69"/>
      <c r="B26" s="1353" t="s">
        <v>53</v>
      </c>
      <c r="C26" s="1354"/>
      <c r="D26" s="1354"/>
      <c r="E26" s="1355"/>
      <c r="F26" s="1344" t="str">
        <f>ID!B41</f>
        <v>Laju Kebocoran tekanan 250 mmHg dalam 1 menit</v>
      </c>
      <c r="G26" s="1345"/>
      <c r="H26" s="1346"/>
      <c r="I26" s="1342" t="s">
        <v>37</v>
      </c>
      <c r="J26" s="68"/>
      <c r="K26" s="68"/>
      <c r="L26" s="68"/>
      <c r="M26" s="68"/>
      <c r="N26" s="473"/>
      <c r="O26" s="68"/>
      <c r="P26" s="68"/>
      <c r="Q26" s="68"/>
      <c r="R26" s="68"/>
      <c r="S26" s="68"/>
      <c r="T26" s="68"/>
      <c r="U26" s="68"/>
      <c r="V26" s="68"/>
      <c r="W26" s="68"/>
      <c r="X26" s="68"/>
      <c r="Y26" s="68"/>
      <c r="Z26" s="68"/>
    </row>
    <row r="27" spans="1:26" x14ac:dyDescent="0.3">
      <c r="A27" s="69"/>
      <c r="B27" s="1356"/>
      <c r="C27" s="1357"/>
      <c r="D27" s="1357"/>
      <c r="E27" s="1358"/>
      <c r="F27" s="1347"/>
      <c r="G27" s="1348"/>
      <c r="H27" s="1349"/>
      <c r="I27" s="1343"/>
      <c r="J27" s="68"/>
      <c r="K27" s="68"/>
      <c r="L27" s="68"/>
      <c r="M27" s="68"/>
      <c r="N27" s="473"/>
      <c r="O27" s="68"/>
      <c r="P27" s="68"/>
      <c r="Q27" s="68"/>
      <c r="R27" s="68"/>
      <c r="S27" s="68"/>
      <c r="T27" s="68"/>
      <c r="U27" s="68"/>
      <c r="V27" s="68"/>
      <c r="W27" s="68"/>
      <c r="X27" s="68"/>
      <c r="Y27" s="68"/>
      <c r="Z27" s="68"/>
    </row>
    <row r="28" spans="1:26" x14ac:dyDescent="0.3">
      <c r="A28" s="69"/>
      <c r="B28" s="1369"/>
      <c r="C28" s="1338"/>
      <c r="D28" s="1338"/>
      <c r="E28" s="1339"/>
      <c r="F28" s="1369" t="s">
        <v>4</v>
      </c>
      <c r="G28" s="1338"/>
      <c r="H28" s="1339"/>
      <c r="I28" s="400" t="s">
        <v>4</v>
      </c>
      <c r="J28" s="68"/>
      <c r="K28" s="68"/>
      <c r="L28" s="68"/>
      <c r="M28" s="68"/>
      <c r="N28" s="473"/>
      <c r="O28" s="472" t="s">
        <v>217</v>
      </c>
      <c r="P28" s="68"/>
      <c r="Q28" s="68"/>
      <c r="R28" s="68"/>
      <c r="S28" s="68"/>
      <c r="T28" s="68"/>
      <c r="U28" s="68"/>
      <c r="V28" s="68"/>
      <c r="W28" s="68"/>
      <c r="X28" s="68"/>
      <c r="Y28" s="68"/>
      <c r="Z28" s="68"/>
    </row>
    <row r="29" spans="1:26" ht="19.5" customHeight="1" x14ac:dyDescent="0.3">
      <c r="A29" s="69"/>
      <c r="B29" s="1368" t="s">
        <v>54</v>
      </c>
      <c r="C29" s="1360"/>
      <c r="D29" s="1360"/>
      <c r="E29" s="1361"/>
      <c r="F29" s="1350">
        <f>ID!D43</f>
        <v>27.533799999999999</v>
      </c>
      <c r="G29" s="1351"/>
      <c r="H29" s="1352"/>
      <c r="I29" s="401" t="s">
        <v>347</v>
      </c>
      <c r="J29" s="68"/>
      <c r="K29" s="68"/>
      <c r="L29" s="68"/>
      <c r="M29" s="68"/>
      <c r="N29" s="68"/>
      <c r="O29" s="653">
        <f>IF(F29&lt;=15,20,0)</f>
        <v>0</v>
      </c>
      <c r="P29" s="68"/>
      <c r="Q29" s="68"/>
      <c r="R29" s="68"/>
      <c r="S29" s="68"/>
      <c r="T29" s="68"/>
      <c r="U29" s="68"/>
      <c r="V29" s="68"/>
      <c r="W29" s="68"/>
      <c r="X29" s="68"/>
      <c r="Y29" s="68"/>
      <c r="Z29" s="68"/>
    </row>
    <row r="30" spans="1:26" ht="18" customHeight="1" x14ac:dyDescent="0.3">
      <c r="A30" s="69"/>
      <c r="B30" s="69"/>
      <c r="C30" s="70"/>
      <c r="D30" s="70"/>
      <c r="E30" s="70"/>
      <c r="F30" s="70"/>
      <c r="G30" s="70"/>
      <c r="H30" s="68"/>
      <c r="I30" s="68"/>
      <c r="J30" s="68"/>
      <c r="K30" s="68"/>
      <c r="L30" s="68"/>
      <c r="M30" s="68"/>
      <c r="N30" s="473"/>
      <c r="O30" s="68"/>
      <c r="P30" s="68"/>
      <c r="Q30" s="68"/>
      <c r="R30" s="68"/>
      <c r="S30" s="68"/>
      <c r="T30" s="68"/>
      <c r="U30" s="68"/>
      <c r="V30" s="68"/>
      <c r="W30" s="68"/>
      <c r="X30" s="68"/>
      <c r="Y30" s="68"/>
      <c r="Z30" s="68"/>
    </row>
    <row r="31" spans="1:26" x14ac:dyDescent="0.3">
      <c r="A31" s="396" t="str">
        <f>ID!A51</f>
        <v>B. Laju Buang Cepat</v>
      </c>
      <c r="B31" s="396"/>
      <c r="C31" s="399"/>
      <c r="D31" s="399"/>
      <c r="E31" s="399"/>
      <c r="F31" s="399"/>
      <c r="G31" s="70"/>
      <c r="H31" s="68"/>
      <c r="I31" s="68"/>
      <c r="J31" s="68"/>
      <c r="K31" s="68"/>
      <c r="L31" s="68"/>
      <c r="M31" s="68"/>
      <c r="N31" s="473"/>
      <c r="O31" s="68"/>
      <c r="P31" s="68"/>
      <c r="Q31" s="68"/>
      <c r="R31" s="68"/>
      <c r="S31" s="68"/>
      <c r="T31" s="68"/>
      <c r="U31" s="68"/>
      <c r="V31" s="68"/>
      <c r="W31" s="68"/>
      <c r="X31" s="68"/>
      <c r="Y31" s="68"/>
      <c r="Z31" s="68"/>
    </row>
    <row r="32" spans="1:26" ht="15.75" customHeight="1" x14ac:dyDescent="0.3">
      <c r="A32" s="69"/>
      <c r="B32" s="1353" t="s">
        <v>53</v>
      </c>
      <c r="C32" s="1354"/>
      <c r="D32" s="1354"/>
      <c r="E32" s="1355"/>
      <c r="F32" s="1344" t="str">
        <f>ID!B52</f>
        <v>Laju Buang Cepat tekanan 260 mmHg sampai dengan 15 mmHg</v>
      </c>
      <c r="G32" s="1345"/>
      <c r="H32" s="1346"/>
      <c r="I32" s="1342" t="s">
        <v>37</v>
      </c>
      <c r="J32" s="68"/>
      <c r="K32" s="68"/>
      <c r="L32" s="68"/>
      <c r="M32" s="68"/>
      <c r="N32" s="473"/>
      <c r="O32" s="68"/>
      <c r="P32" s="68"/>
      <c r="Q32" s="68"/>
      <c r="R32" s="68"/>
      <c r="S32" s="68"/>
      <c r="T32" s="68"/>
      <c r="U32" s="68"/>
      <c r="V32" s="68"/>
      <c r="W32" s="68"/>
      <c r="X32" s="68"/>
      <c r="Y32" s="68"/>
      <c r="Z32" s="68"/>
    </row>
    <row r="33" spans="1:26" x14ac:dyDescent="0.3">
      <c r="A33" s="69"/>
      <c r="B33" s="1356"/>
      <c r="C33" s="1357"/>
      <c r="D33" s="1357"/>
      <c r="E33" s="1358"/>
      <c r="F33" s="1347"/>
      <c r="G33" s="1348"/>
      <c r="H33" s="1349"/>
      <c r="I33" s="1343"/>
      <c r="J33" s="68"/>
      <c r="K33" s="68"/>
      <c r="L33" s="68"/>
      <c r="M33" s="68"/>
      <c r="N33" s="473"/>
      <c r="O33" s="68"/>
      <c r="P33" s="68"/>
      <c r="Q33" s="68"/>
      <c r="R33" s="68"/>
      <c r="S33" s="68"/>
      <c r="T33" s="68"/>
      <c r="U33" s="68"/>
      <c r="V33" s="68"/>
      <c r="W33" s="68"/>
      <c r="X33" s="68"/>
      <c r="Y33" s="68"/>
      <c r="Z33" s="68"/>
    </row>
    <row r="34" spans="1:26" x14ac:dyDescent="0.3">
      <c r="A34" s="69"/>
      <c r="B34" s="1369"/>
      <c r="C34" s="1338"/>
      <c r="D34" s="1338"/>
      <c r="E34" s="1339"/>
      <c r="F34" s="1337" t="s">
        <v>162</v>
      </c>
      <c r="G34" s="1338"/>
      <c r="H34" s="1339"/>
      <c r="I34" s="403" t="s">
        <v>162</v>
      </c>
      <c r="J34" s="68"/>
      <c r="K34" s="68"/>
      <c r="L34" s="68"/>
      <c r="M34" s="68"/>
      <c r="N34" s="473"/>
      <c r="O34" s="472" t="s">
        <v>217</v>
      </c>
      <c r="P34" s="68"/>
      <c r="Q34" s="68"/>
      <c r="R34" s="68"/>
      <c r="S34" s="68"/>
      <c r="T34" s="68"/>
      <c r="U34" s="68"/>
      <c r="V34" s="68"/>
      <c r="W34" s="68"/>
      <c r="X34" s="68"/>
      <c r="Y34" s="68"/>
      <c r="Z34" s="68"/>
    </row>
    <row r="35" spans="1:26" ht="19.5" customHeight="1" x14ac:dyDescent="0.3">
      <c r="A35" s="69"/>
      <c r="B35" s="1359" t="s">
        <v>137</v>
      </c>
      <c r="C35" s="1360"/>
      <c r="D35" s="1360"/>
      <c r="E35" s="1361"/>
      <c r="F35" s="1362" t="str">
        <f>TEXT(ID!D54,ID!$D$51)</f>
        <v>1.788</v>
      </c>
      <c r="G35" s="1363"/>
      <c r="H35" s="1364"/>
      <c r="I35" s="401" t="s">
        <v>163</v>
      </c>
      <c r="J35" s="68"/>
      <c r="K35" s="68"/>
      <c r="L35" s="68"/>
      <c r="M35" s="68"/>
      <c r="N35" s="68"/>
      <c r="O35" s="653">
        <f>IF(F35&gt;=10,20,0)</f>
        <v>20</v>
      </c>
      <c r="P35" s="68"/>
      <c r="Q35" s="68"/>
      <c r="R35" s="68"/>
      <c r="S35" s="68"/>
      <c r="T35" s="68"/>
      <c r="U35" s="68"/>
      <c r="V35" s="68"/>
      <c r="W35" s="68"/>
      <c r="X35" s="68"/>
      <c r="Y35" s="68"/>
      <c r="Z35" s="68"/>
    </row>
    <row r="36" spans="1:26" ht="7.5" customHeight="1" x14ac:dyDescent="0.3">
      <c r="A36" s="69"/>
      <c r="B36" s="69"/>
      <c r="C36" s="70"/>
      <c r="D36" s="70"/>
      <c r="E36" s="70"/>
      <c r="F36" s="70"/>
      <c r="G36" s="70"/>
      <c r="H36" s="68"/>
      <c r="I36" s="68"/>
      <c r="J36" s="68"/>
      <c r="K36" s="68"/>
      <c r="L36" s="68"/>
      <c r="M36" s="68"/>
      <c r="N36" s="68"/>
      <c r="O36" s="68"/>
      <c r="P36" s="68"/>
      <c r="Q36" s="68"/>
      <c r="R36" s="68"/>
      <c r="S36" s="68"/>
      <c r="T36" s="68"/>
      <c r="U36" s="68"/>
      <c r="V36" s="68"/>
      <c r="W36" s="68"/>
      <c r="X36" s="68"/>
      <c r="Y36" s="68"/>
      <c r="Z36" s="68"/>
    </row>
    <row r="37" spans="1:26" x14ac:dyDescent="0.3">
      <c r="A37" s="396" t="str">
        <f>ID!A64</f>
        <v>C. Kalibrasi Akurasi Tekanan</v>
      </c>
      <c r="B37" s="398"/>
      <c r="C37" s="398"/>
      <c r="D37" s="398"/>
      <c r="E37" s="398"/>
      <c r="F37" s="398"/>
      <c r="G37" s="398"/>
      <c r="H37" s="68"/>
      <c r="I37" s="68"/>
      <c r="J37" s="68"/>
      <c r="K37" s="68"/>
      <c r="L37" s="68"/>
      <c r="M37" s="68"/>
      <c r="N37" s="68"/>
      <c r="O37" s="68"/>
      <c r="P37" s="68"/>
      <c r="Q37" s="68"/>
      <c r="R37" s="68"/>
      <c r="S37" s="68"/>
      <c r="T37" s="68"/>
      <c r="U37" s="68"/>
      <c r="V37" s="68"/>
      <c r="W37" s="68"/>
      <c r="X37" s="68"/>
      <c r="Y37" s="68"/>
      <c r="Z37" s="68"/>
    </row>
    <row r="38" spans="1:26" ht="15.75" hidden="1" customHeight="1" x14ac:dyDescent="0.3">
      <c r="A38" s="69"/>
      <c r="B38" s="1365" t="s">
        <v>3</v>
      </c>
      <c r="C38" s="1365" t="s">
        <v>18</v>
      </c>
      <c r="D38" s="1365"/>
      <c r="E38" s="1365"/>
      <c r="F38" s="1327" t="s">
        <v>20</v>
      </c>
      <c r="G38" s="1327" t="s">
        <v>49</v>
      </c>
      <c r="H38" s="1333" t="s">
        <v>37</v>
      </c>
      <c r="I38" s="1333" t="s">
        <v>19</v>
      </c>
      <c r="J38" s="68"/>
      <c r="K38" s="68"/>
      <c r="L38" s="68"/>
      <c r="M38" s="68"/>
      <c r="N38" s="68"/>
      <c r="O38" s="68"/>
      <c r="P38" s="68"/>
      <c r="Q38" s="68"/>
      <c r="R38" s="68"/>
      <c r="S38" s="68"/>
      <c r="T38" s="68"/>
      <c r="U38" s="68"/>
      <c r="V38" s="68"/>
      <c r="W38" s="68"/>
      <c r="X38" s="68"/>
      <c r="Y38" s="68"/>
      <c r="Z38" s="68"/>
    </row>
    <row r="39" spans="1:26" hidden="1" x14ac:dyDescent="0.3">
      <c r="A39" s="69"/>
      <c r="B39" s="1365"/>
      <c r="C39" s="1365" t="s">
        <v>8</v>
      </c>
      <c r="D39" s="1365"/>
      <c r="E39" s="1365"/>
      <c r="F39" s="1327"/>
      <c r="G39" s="1327"/>
      <c r="H39" s="1327"/>
      <c r="I39" s="1327"/>
      <c r="J39" s="68"/>
      <c r="K39" s="68"/>
      <c r="L39" s="68"/>
      <c r="M39" s="68"/>
      <c r="N39" s="68"/>
      <c r="O39" s="68"/>
      <c r="P39" s="68"/>
      <c r="Q39" s="1371" t="s">
        <v>86</v>
      </c>
      <c r="R39" s="1346"/>
      <c r="S39" s="68"/>
      <c r="T39" s="68"/>
      <c r="U39" s="68"/>
      <c r="V39" s="68"/>
      <c r="W39" s="68"/>
      <c r="X39" s="68"/>
      <c r="Y39" s="68"/>
      <c r="Z39" s="68"/>
    </row>
    <row r="40" spans="1:26" hidden="1" x14ac:dyDescent="0.3">
      <c r="A40" s="69"/>
      <c r="B40" s="1367"/>
      <c r="C40" s="1367" t="s">
        <v>4</v>
      </c>
      <c r="D40" s="1367"/>
      <c r="E40" s="1367"/>
      <c r="F40" s="457" t="s">
        <v>4</v>
      </c>
      <c r="G40" s="457" t="s">
        <v>4</v>
      </c>
      <c r="H40" s="457" t="s">
        <v>4</v>
      </c>
      <c r="I40" s="404" t="s">
        <v>88</v>
      </c>
      <c r="J40" s="68"/>
      <c r="K40" s="68"/>
      <c r="L40" s="68"/>
      <c r="M40" s="68"/>
      <c r="N40" s="68"/>
      <c r="O40" s="68"/>
      <c r="P40" s="68"/>
      <c r="Q40" s="1372"/>
      <c r="R40" s="1373"/>
      <c r="S40" s="68"/>
      <c r="T40" s="68"/>
      <c r="U40" s="68"/>
      <c r="V40" s="68"/>
      <c r="W40" s="68"/>
      <c r="X40" s="68"/>
      <c r="Y40" s="68"/>
      <c r="Z40" s="68"/>
    </row>
    <row r="41" spans="1:26" hidden="1" x14ac:dyDescent="0.3">
      <c r="A41" s="69"/>
      <c r="B41" s="453" t="s">
        <v>5</v>
      </c>
      <c r="C41" s="1329">
        <f>ID!A68</f>
        <v>0</v>
      </c>
      <c r="D41" s="1329"/>
      <c r="E41" s="1329"/>
      <c r="F41" s="405" t="e">
        <f>ID!#REF!</f>
        <v>#REF!</v>
      </c>
      <c r="G41" s="405" t="e">
        <f>ID!#REF!</f>
        <v>#REF!</v>
      </c>
      <c r="H41" s="1326" t="s">
        <v>121</v>
      </c>
      <c r="I41" s="474">
        <f>IF(Q41&lt;0.6,"0.6",Q41)</f>
        <v>0.60888847565242932</v>
      </c>
      <c r="J41" s="68"/>
      <c r="K41" s="68"/>
      <c r="L41" s="68"/>
      <c r="M41" s="68"/>
      <c r="N41" s="68"/>
      <c r="O41" s="68"/>
      <c r="P41" s="68"/>
      <c r="Q41" s="406">
        <f>'BUDGET NAIK'!L21</f>
        <v>0.60888847565242932</v>
      </c>
      <c r="R41" s="68"/>
      <c r="S41" s="68"/>
      <c r="T41" s="68"/>
      <c r="U41" s="68"/>
      <c r="V41" s="68"/>
      <c r="W41" s="68"/>
      <c r="X41" s="68"/>
      <c r="Y41" s="68"/>
      <c r="Z41" s="68"/>
    </row>
    <row r="42" spans="1:26" hidden="1" x14ac:dyDescent="0.3">
      <c r="A42" s="69"/>
      <c r="B42" s="453" t="s">
        <v>6</v>
      </c>
      <c r="C42" s="1329">
        <f>ID!A69</f>
        <v>50</v>
      </c>
      <c r="D42" s="1329"/>
      <c r="E42" s="1329"/>
      <c r="F42" s="405" t="e">
        <f>ID!#REF!</f>
        <v>#REF!</v>
      </c>
      <c r="G42" s="405" t="e">
        <f>ID!#REF!</f>
        <v>#REF!</v>
      </c>
      <c r="H42" s="1326"/>
      <c r="I42" s="474">
        <f>IF(Q42&lt;0.6,"0.6",Q42)</f>
        <v>0.61906579656778449</v>
      </c>
      <c r="J42" s="68"/>
      <c r="K42" s="68"/>
      <c r="L42" s="68"/>
      <c r="M42" s="68"/>
      <c r="N42" s="68"/>
      <c r="O42" s="68"/>
      <c r="P42" s="68"/>
      <c r="Q42" s="406">
        <f>'BUDGET NAIK'!L36</f>
        <v>0.61906579656778449</v>
      </c>
      <c r="R42" s="68"/>
      <c r="S42" s="68"/>
      <c r="T42" s="68"/>
      <c r="U42" s="68"/>
      <c r="V42" s="68"/>
      <c r="W42" s="68"/>
      <c r="X42" s="68"/>
      <c r="Y42" s="68"/>
      <c r="Z42" s="68"/>
    </row>
    <row r="43" spans="1:26" hidden="1" x14ac:dyDescent="0.3">
      <c r="A43" s="69"/>
      <c r="B43" s="453" t="s">
        <v>7</v>
      </c>
      <c r="C43" s="1329">
        <f>ID!A70</f>
        <v>70</v>
      </c>
      <c r="D43" s="1329"/>
      <c r="E43" s="1329"/>
      <c r="F43" s="405" t="e">
        <f>ID!#REF!</f>
        <v>#REF!</v>
      </c>
      <c r="G43" s="405" t="e">
        <f>ID!#REF!</f>
        <v>#REF!</v>
      </c>
      <c r="H43" s="1326"/>
      <c r="I43" s="474">
        <f>IF(Q43&lt;0.6,"0.6",Q43)</f>
        <v>0.61538099025557558</v>
      </c>
      <c r="J43" s="68"/>
      <c r="K43" s="68"/>
      <c r="L43" s="68"/>
      <c r="M43" s="68"/>
      <c r="N43" s="68"/>
      <c r="O43" s="68"/>
      <c r="P43" s="68"/>
      <c r="Q43" s="406">
        <f>'BUDGET NAIK'!L51</f>
        <v>0.61538099025557558</v>
      </c>
      <c r="R43" s="68"/>
      <c r="S43" s="68"/>
      <c r="T43" s="68"/>
      <c r="U43" s="68"/>
      <c r="V43" s="68"/>
      <c r="W43" s="68"/>
      <c r="X43" s="68"/>
      <c r="Y43" s="68"/>
      <c r="Z43" s="68"/>
    </row>
    <row r="44" spans="1:26" ht="7.5" customHeight="1" x14ac:dyDescent="0.3">
      <c r="A44" s="69"/>
      <c r="B44" s="70"/>
      <c r="C44" s="70"/>
      <c r="D44" s="70"/>
      <c r="E44" s="70"/>
      <c r="F44" s="407"/>
      <c r="G44" s="407"/>
      <c r="H44" s="408"/>
      <c r="I44" s="52"/>
      <c r="J44" s="68"/>
      <c r="K44" s="68"/>
      <c r="L44" s="68"/>
      <c r="M44" s="68"/>
      <c r="N44" s="68"/>
      <c r="O44" s="68"/>
      <c r="P44" s="68"/>
      <c r="Q44" s="410"/>
      <c r="R44" s="68"/>
      <c r="S44" s="68"/>
      <c r="T44" s="68"/>
      <c r="U44" s="68"/>
      <c r="V44" s="68"/>
      <c r="W44" s="68"/>
      <c r="X44" s="68"/>
      <c r="Y44" s="68"/>
      <c r="Z44" s="68"/>
    </row>
    <row r="45" spans="1:26" s="412" customFormat="1" ht="30.75" customHeight="1" x14ac:dyDescent="0.25">
      <c r="A45" s="411"/>
      <c r="B45" s="1334" t="s">
        <v>3</v>
      </c>
      <c r="C45" s="1341" t="s">
        <v>52</v>
      </c>
      <c r="D45" s="1334"/>
      <c r="E45" s="1341"/>
      <c r="F45" s="1332" t="s">
        <v>20</v>
      </c>
      <c r="G45" s="1332"/>
      <c r="H45" s="1332" t="s">
        <v>49</v>
      </c>
      <c r="I45" s="1332"/>
      <c r="J45" s="455" t="s">
        <v>37</v>
      </c>
      <c r="K45" s="1374" t="s">
        <v>19</v>
      </c>
      <c r="L45" s="1375"/>
      <c r="M45" s="475"/>
      <c r="N45" s="475"/>
      <c r="O45" s="475"/>
      <c r="P45" s="475"/>
      <c r="Q45" s="1344" t="s">
        <v>166</v>
      </c>
      <c r="R45" s="1346"/>
      <c r="S45" s="475"/>
      <c r="T45" s="475"/>
      <c r="U45" s="475"/>
      <c r="V45" s="475"/>
      <c r="W45" s="475"/>
      <c r="X45" s="475"/>
      <c r="Y45" s="475"/>
      <c r="Z45" s="475"/>
    </row>
    <row r="46" spans="1:26" x14ac:dyDescent="0.3">
      <c r="A46" s="69"/>
      <c r="B46" s="1334"/>
      <c r="C46" s="413"/>
      <c r="D46" s="414"/>
      <c r="E46" s="415"/>
      <c r="F46" s="476" t="s">
        <v>156</v>
      </c>
      <c r="G46" s="476" t="s">
        <v>157</v>
      </c>
      <c r="H46" s="476" t="s">
        <v>156</v>
      </c>
      <c r="I46" s="476" t="s">
        <v>157</v>
      </c>
      <c r="J46" s="416"/>
      <c r="K46" s="476" t="s">
        <v>156</v>
      </c>
      <c r="L46" s="476" t="s">
        <v>157</v>
      </c>
      <c r="M46" s="1378"/>
      <c r="N46" s="1378"/>
      <c r="O46" s="1322" t="s">
        <v>217</v>
      </c>
      <c r="P46" s="68"/>
      <c r="Q46" s="1372"/>
      <c r="R46" s="1373"/>
      <c r="S46" s="68"/>
      <c r="T46" s="1175" t="s">
        <v>182</v>
      </c>
      <c r="U46" s="1175"/>
      <c r="V46" s="68"/>
      <c r="W46" s="68"/>
      <c r="X46" s="68"/>
      <c r="Y46" s="68"/>
      <c r="Z46" s="68"/>
    </row>
    <row r="47" spans="1:26" x14ac:dyDescent="0.3">
      <c r="A47" s="69"/>
      <c r="B47" s="1334"/>
      <c r="C47" s="1366" t="s">
        <v>4</v>
      </c>
      <c r="D47" s="1366"/>
      <c r="E47" s="1366"/>
      <c r="F47" s="456" t="s">
        <v>4</v>
      </c>
      <c r="G47" s="456" t="s">
        <v>4</v>
      </c>
      <c r="H47" s="456" t="s">
        <v>4</v>
      </c>
      <c r="I47" s="456" t="s">
        <v>4</v>
      </c>
      <c r="J47" s="417" t="s">
        <v>4</v>
      </c>
      <c r="K47" s="418" t="s">
        <v>88</v>
      </c>
      <c r="L47" s="418" t="s">
        <v>88</v>
      </c>
      <c r="M47" s="1378"/>
      <c r="N47" s="1378"/>
      <c r="O47" s="1322"/>
      <c r="P47" s="68"/>
      <c r="Q47" s="419" t="s">
        <v>150</v>
      </c>
      <c r="R47" s="419" t="s">
        <v>151</v>
      </c>
      <c r="S47" s="68"/>
      <c r="T47" s="419" t="s">
        <v>150</v>
      </c>
      <c r="U47" s="419" t="s">
        <v>151</v>
      </c>
      <c r="V47" s="68"/>
      <c r="W47" s="477" t="s">
        <v>156</v>
      </c>
      <c r="X47" s="477" t="s">
        <v>157</v>
      </c>
      <c r="Y47" s="478" t="s">
        <v>189</v>
      </c>
      <c r="Z47" s="68"/>
    </row>
    <row r="48" spans="1:26" ht="15.75" customHeight="1" x14ac:dyDescent="0.3">
      <c r="A48" s="69"/>
      <c r="B48" s="420">
        <v>1</v>
      </c>
      <c r="C48" s="421">
        <f>ID!A68</f>
        <v>0</v>
      </c>
      <c r="D48" s="422"/>
      <c r="E48" s="194"/>
      <c r="F48" s="423">
        <f>ID!J68</f>
        <v>-1.9999999999999997E-9</v>
      </c>
      <c r="G48" s="423">
        <f>ID!K68</f>
        <v>-6E-9</v>
      </c>
      <c r="H48" s="479">
        <f>ID!N68</f>
        <v>-1.9999999999999997E-9</v>
      </c>
      <c r="I48" s="479">
        <f>ID!O68</f>
        <v>-6E-9</v>
      </c>
      <c r="J48" s="424"/>
      <c r="K48" s="500">
        <f>IF(Q48&lt;0.6,"0.6",Q48)</f>
        <v>0.60888847565242932</v>
      </c>
      <c r="L48" s="500">
        <f>IF(R48&lt;0.6,"0.6",R48)</f>
        <v>0.60888847565242932</v>
      </c>
      <c r="M48" s="1379"/>
      <c r="N48" s="1379"/>
      <c r="O48" s="1319">
        <f>W71</f>
        <v>0</v>
      </c>
      <c r="P48" s="68"/>
      <c r="Q48" s="480">
        <f>ID!P68</f>
        <v>0.60888847565242932</v>
      </c>
      <c r="R48" s="497">
        <f>ID!Q68</f>
        <v>0.60888847565242932</v>
      </c>
      <c r="S48" s="68"/>
      <c r="T48" s="498">
        <f>ABS(H48)+ABS(K48)</f>
        <v>0.60888847765242937</v>
      </c>
      <c r="U48" s="498">
        <f t="shared" ref="T48:U53" si="0">ABS(I48)+ABS(L48)</f>
        <v>0.60888848165242937</v>
      </c>
      <c r="V48" s="68"/>
      <c r="W48" s="481" t="str">
        <f t="shared" ref="W48:X53" si="1">IF(T48&lt;=3,"4.167","0")</f>
        <v>4.167</v>
      </c>
      <c r="X48" s="481" t="str">
        <f t="shared" si="1"/>
        <v>4.167</v>
      </c>
      <c r="Y48" s="478">
        <f t="shared" ref="Y48:Y53" si="2">W48+X48</f>
        <v>8.3339999999999996</v>
      </c>
      <c r="Z48" s="68"/>
    </row>
    <row r="49" spans="1:26" x14ac:dyDescent="0.3">
      <c r="A49" s="69"/>
      <c r="B49" s="420">
        <v>2</v>
      </c>
      <c r="C49" s="421">
        <f>ID!A69</f>
        <v>50</v>
      </c>
      <c r="D49" s="422"/>
      <c r="E49" s="194"/>
      <c r="F49" s="423">
        <f>ID!J69</f>
        <v>50.699999999999989</v>
      </c>
      <c r="G49" s="423">
        <f>ID!K69</f>
        <v>49.93333333333333</v>
      </c>
      <c r="H49" s="479">
        <f>ID!N69</f>
        <v>0.69999999999998863</v>
      </c>
      <c r="I49" s="479">
        <f>ID!O69</f>
        <v>-6.6666666666669983E-2</v>
      </c>
      <c r="J49" s="426"/>
      <c r="K49" s="500">
        <f t="shared" ref="K49:K53" si="3">IF(Q49&lt;0.6,"0.6",Q49)</f>
        <v>0.61906579656778449</v>
      </c>
      <c r="L49" s="500">
        <f t="shared" ref="L49:L53" si="4">IF(R49&lt;0.6,"0.6",R49)</f>
        <v>0.6832843085007988</v>
      </c>
      <c r="M49" s="1379"/>
      <c r="N49" s="1379"/>
      <c r="O49" s="1320"/>
      <c r="P49" s="68"/>
      <c r="Q49" s="480">
        <f>ID!P69</f>
        <v>0.61906579656778449</v>
      </c>
      <c r="R49" s="497">
        <f>ID!Q69</f>
        <v>0.6832843085007988</v>
      </c>
      <c r="S49" s="68"/>
      <c r="T49" s="498">
        <f t="shared" si="0"/>
        <v>1.3190657965677732</v>
      </c>
      <c r="U49" s="498">
        <f t="shared" si="0"/>
        <v>0.74995097516746878</v>
      </c>
      <c r="V49" s="68"/>
      <c r="W49" s="481" t="str">
        <f t="shared" si="1"/>
        <v>4.167</v>
      </c>
      <c r="X49" s="481" t="str">
        <f t="shared" si="1"/>
        <v>4.167</v>
      </c>
      <c r="Y49" s="478">
        <f t="shared" si="2"/>
        <v>8.3339999999999996</v>
      </c>
      <c r="Z49" s="68"/>
    </row>
    <row r="50" spans="1:26" x14ac:dyDescent="0.3">
      <c r="A50" s="69"/>
      <c r="B50" s="420">
        <v>3</v>
      </c>
      <c r="C50" s="421">
        <f>ID!A70</f>
        <v>70</v>
      </c>
      <c r="D50" s="422"/>
      <c r="E50" s="194"/>
      <c r="F50" s="423">
        <f>ID!J70</f>
        <v>100.90600000000001</v>
      </c>
      <c r="G50" s="423">
        <f>ID!K70</f>
        <v>100.56666765646666</v>
      </c>
      <c r="H50" s="479">
        <f>ID!N70</f>
        <v>30.906000000000006</v>
      </c>
      <c r="I50" s="479">
        <f>ID!O70</f>
        <v>30.566667656466663</v>
      </c>
      <c r="J50" s="427" t="s">
        <v>168</v>
      </c>
      <c r="K50" s="500">
        <f t="shared" si="3"/>
        <v>0.61538099025557558</v>
      </c>
      <c r="L50" s="500">
        <f t="shared" si="4"/>
        <v>0.66463946123704742</v>
      </c>
      <c r="M50" s="1379"/>
      <c r="N50" s="1379"/>
      <c r="O50" s="1320"/>
      <c r="P50" s="68"/>
      <c r="Q50" s="480">
        <f>ID!P70</f>
        <v>0.61538099025557558</v>
      </c>
      <c r="R50" s="497">
        <f>ID!Q70</f>
        <v>0.66463946123704742</v>
      </c>
      <c r="S50" s="68"/>
      <c r="T50" s="498">
        <f t="shared" si="0"/>
        <v>31.521380990255583</v>
      </c>
      <c r="U50" s="498">
        <f t="shared" si="0"/>
        <v>31.231307117703711</v>
      </c>
      <c r="V50" s="68"/>
      <c r="W50" s="481" t="str">
        <f t="shared" si="1"/>
        <v>0</v>
      </c>
      <c r="X50" s="481" t="str">
        <f t="shared" si="1"/>
        <v>0</v>
      </c>
      <c r="Y50" s="478">
        <f t="shared" si="2"/>
        <v>0</v>
      </c>
      <c r="Z50" s="68"/>
    </row>
    <row r="51" spans="1:26" x14ac:dyDescent="0.3">
      <c r="A51" s="69"/>
      <c r="B51" s="420">
        <v>4</v>
      </c>
      <c r="C51" s="421">
        <f>ID!A71</f>
        <v>100</v>
      </c>
      <c r="D51" s="422"/>
      <c r="E51" s="194"/>
      <c r="F51" s="423">
        <f>ID!J71</f>
        <v>151.36666666666665</v>
      </c>
      <c r="G51" s="423">
        <f>ID!K71</f>
        <v>150.76666765286669</v>
      </c>
      <c r="H51" s="479">
        <f>ID!N71</f>
        <v>51.366666666666646</v>
      </c>
      <c r="I51" s="479">
        <f>ID!O71</f>
        <v>50.766667652866687</v>
      </c>
      <c r="J51" s="428" t="s">
        <v>164</v>
      </c>
      <c r="K51" s="500">
        <f t="shared" si="3"/>
        <v>0.61484742622066291</v>
      </c>
      <c r="L51" s="500">
        <f t="shared" si="4"/>
        <v>0.65214372129546749</v>
      </c>
      <c r="M51" s="1379"/>
      <c r="N51" s="1379"/>
      <c r="O51" s="1320"/>
      <c r="P51" s="68"/>
      <c r="Q51" s="480">
        <f>ID!P71</f>
        <v>0.61484742622066291</v>
      </c>
      <c r="R51" s="497">
        <f>ID!Q71</f>
        <v>0.65214372129546749</v>
      </c>
      <c r="S51" s="68"/>
      <c r="T51" s="498">
        <f t="shared" si="0"/>
        <v>51.981514092887309</v>
      </c>
      <c r="U51" s="498">
        <f t="shared" si="0"/>
        <v>51.418811374162154</v>
      </c>
      <c r="V51" s="68"/>
      <c r="W51" s="481" t="str">
        <f t="shared" si="1"/>
        <v>0</v>
      </c>
      <c r="X51" s="481" t="str">
        <f t="shared" si="1"/>
        <v>0</v>
      </c>
      <c r="Y51" s="478">
        <f t="shared" si="2"/>
        <v>0</v>
      </c>
      <c r="Z51" s="68"/>
    </row>
    <row r="52" spans="1:26" x14ac:dyDescent="0.3">
      <c r="A52" s="69"/>
      <c r="B52" s="420">
        <v>5</v>
      </c>
      <c r="C52" s="1002">
        <f>ID!A72</f>
        <v>120</v>
      </c>
      <c r="D52" s="422"/>
      <c r="E52" s="194"/>
      <c r="F52" s="423">
        <f>ID!J72</f>
        <v>201.96666666666664</v>
      </c>
      <c r="G52" s="423">
        <f>ID!K72</f>
        <v>201.06666764746669</v>
      </c>
      <c r="H52" s="479">
        <f>ID!N72</f>
        <v>81.96666666666664</v>
      </c>
      <c r="I52" s="479">
        <f>ID!O72</f>
        <v>81.066667647466687</v>
      </c>
      <c r="J52" s="426"/>
      <c r="K52" s="500">
        <f t="shared" si="3"/>
        <v>0.62452688133509149</v>
      </c>
      <c r="L52" s="500">
        <f t="shared" si="4"/>
        <v>0.64469493792969146</v>
      </c>
      <c r="M52" s="1379"/>
      <c r="N52" s="1379"/>
      <c r="O52" s="1320"/>
      <c r="P52" s="68"/>
      <c r="Q52" s="480">
        <f>ID!P72</f>
        <v>0.62452688133509149</v>
      </c>
      <c r="R52" s="497">
        <f>ID!Q72</f>
        <v>0.64469493792969146</v>
      </c>
      <c r="S52" s="68"/>
      <c r="T52" s="498">
        <f t="shared" si="0"/>
        <v>82.591193548001726</v>
      </c>
      <c r="U52" s="498">
        <f t="shared" si="0"/>
        <v>81.711362585396373</v>
      </c>
      <c r="V52" s="68"/>
      <c r="W52" s="481" t="str">
        <f t="shared" si="1"/>
        <v>0</v>
      </c>
      <c r="X52" s="481" t="str">
        <f t="shared" si="1"/>
        <v>0</v>
      </c>
      <c r="Y52" s="478">
        <f t="shared" si="2"/>
        <v>0</v>
      </c>
      <c r="Z52" s="68"/>
    </row>
    <row r="53" spans="1:26" x14ac:dyDescent="0.3">
      <c r="A53" s="69"/>
      <c r="B53" s="420">
        <v>6</v>
      </c>
      <c r="C53" s="1002">
        <f>ID!A73</f>
        <v>150</v>
      </c>
      <c r="D53" s="422"/>
      <c r="E53" s="194"/>
      <c r="F53" s="423">
        <f>ID!J73</f>
        <v>251.39759999999995</v>
      </c>
      <c r="G53" s="423">
        <f>ID!K73</f>
        <v>250.66666765466667</v>
      </c>
      <c r="H53" s="479">
        <f>ID!N73</f>
        <v>101.39759999999995</v>
      </c>
      <c r="I53" s="479">
        <f>ID!O73</f>
        <v>100.66666765466667</v>
      </c>
      <c r="J53" s="429"/>
      <c r="K53" s="500">
        <f t="shared" si="3"/>
        <v>0.64895038435048291</v>
      </c>
      <c r="L53" s="500">
        <f t="shared" si="4"/>
        <v>0.63491116957816685</v>
      </c>
      <c r="M53" s="1379"/>
      <c r="N53" s="1379"/>
      <c r="O53" s="1321"/>
      <c r="P53" s="68"/>
      <c r="Q53" s="480">
        <f>ID!P73</f>
        <v>0.64895038435048291</v>
      </c>
      <c r="R53" s="497">
        <f>ID!Q73</f>
        <v>0.63491116957816685</v>
      </c>
      <c r="S53" s="68"/>
      <c r="T53" s="498">
        <f t="shared" si="0"/>
        <v>102.04655038435044</v>
      </c>
      <c r="U53" s="498">
        <f t="shared" si="0"/>
        <v>101.30157882424483</v>
      </c>
      <c r="V53" s="68"/>
      <c r="W53" s="481" t="str">
        <f t="shared" si="1"/>
        <v>0</v>
      </c>
      <c r="X53" s="481" t="str">
        <f t="shared" si="1"/>
        <v>0</v>
      </c>
      <c r="Y53" s="478">
        <f t="shared" si="2"/>
        <v>0</v>
      </c>
      <c r="Z53" s="68"/>
    </row>
    <row r="54" spans="1:26" ht="9" customHeight="1" x14ac:dyDescent="0.3">
      <c r="A54" s="69"/>
      <c r="B54" s="70"/>
      <c r="C54" s="70"/>
      <c r="D54" s="70"/>
      <c r="E54" s="70"/>
      <c r="F54" s="407"/>
      <c r="G54" s="407"/>
      <c r="H54" s="408"/>
      <c r="I54" s="52"/>
      <c r="J54" s="68"/>
      <c r="K54" s="68"/>
      <c r="L54" s="68"/>
      <c r="M54" s="68"/>
      <c r="N54" s="68"/>
      <c r="O54" s="68"/>
      <c r="P54" s="68"/>
      <c r="Q54" s="410"/>
      <c r="R54" s="68"/>
      <c r="S54" s="68"/>
      <c r="T54" s="68"/>
      <c r="U54" s="68"/>
      <c r="V54" s="68"/>
      <c r="W54" s="68"/>
      <c r="X54" s="68"/>
      <c r="Y54" s="68"/>
      <c r="Z54" s="68"/>
    </row>
    <row r="55" spans="1:26" hidden="1" x14ac:dyDescent="0.3">
      <c r="A55" s="69"/>
      <c r="B55" s="70"/>
      <c r="C55" s="70"/>
      <c r="D55" s="70"/>
      <c r="E55" s="70"/>
      <c r="F55" s="407"/>
      <c r="G55" s="407"/>
      <c r="H55" s="408"/>
      <c r="I55" s="409"/>
      <c r="J55" s="68"/>
      <c r="Q55" s="410"/>
      <c r="R55" s="68"/>
    </row>
    <row r="56" spans="1:26" hidden="1" x14ac:dyDescent="0.3">
      <c r="A56" s="69"/>
      <c r="B56" s="70"/>
      <c r="C56" s="70"/>
      <c r="D56" s="70"/>
      <c r="E56" s="70"/>
      <c r="F56" s="407"/>
      <c r="G56" s="407"/>
      <c r="H56" s="408"/>
      <c r="I56" s="409"/>
      <c r="J56" s="68"/>
      <c r="Q56" s="410"/>
      <c r="R56" s="68"/>
    </row>
    <row r="57" spans="1:26" ht="17.25" hidden="1" customHeight="1" x14ac:dyDescent="0.3">
      <c r="A57" s="1328"/>
      <c r="B57" s="1328"/>
      <c r="C57" s="1328"/>
      <c r="D57" s="1328"/>
      <c r="E57" s="1328"/>
      <c r="F57" s="1328"/>
      <c r="G57" s="1328"/>
      <c r="H57" s="71"/>
      <c r="I57" s="71"/>
      <c r="J57" s="68"/>
    </row>
    <row r="58" spans="1:26" x14ac:dyDescent="0.3">
      <c r="A58" s="454" t="s">
        <v>12</v>
      </c>
      <c r="B58" s="454" t="s">
        <v>16</v>
      </c>
      <c r="C58" s="482"/>
      <c r="D58" s="75"/>
      <c r="E58" s="75"/>
      <c r="F58" s="75"/>
      <c r="G58" s="75"/>
      <c r="H58" s="76"/>
      <c r="I58" s="76"/>
    </row>
    <row r="59" spans="1:26" x14ac:dyDescent="0.3">
      <c r="B59" s="393" t="s">
        <v>176</v>
      </c>
      <c r="C59" s="75"/>
      <c r="D59" s="75"/>
      <c r="E59" s="75"/>
      <c r="F59" s="75"/>
      <c r="G59" s="75"/>
      <c r="H59" s="76"/>
      <c r="I59" s="76"/>
    </row>
    <row r="60" spans="1:26" x14ac:dyDescent="0.3">
      <c r="B60" s="74" t="str">
        <f>'SERTIFIKAT DPM'!AV11</f>
        <v>Hasil pengujian kebocoran dan kalibrasi akurasi tekanan tertelusur ke Satuan SI melalui PT. KALIMAN</v>
      </c>
      <c r="C60" s="75"/>
      <c r="D60" s="75"/>
      <c r="E60" s="75"/>
      <c r="F60" s="75"/>
      <c r="G60" s="75"/>
      <c r="H60" s="76"/>
      <c r="I60" s="76"/>
      <c r="U60" s="220"/>
    </row>
    <row r="61" spans="1:26" x14ac:dyDescent="0.3">
      <c r="B61" s="430" t="str">
        <f>'SERTIFIKAT STOPWATCH'!U37</f>
        <v>Hasil laju buang cepat tertelusur ke satuan SI melalui PT. KALIMAN</v>
      </c>
      <c r="C61" s="75"/>
      <c r="D61" s="75"/>
      <c r="E61" s="75"/>
      <c r="F61" s="75"/>
      <c r="G61" s="75"/>
      <c r="H61" s="76"/>
      <c r="I61" s="76"/>
    </row>
    <row r="62" spans="1:26" x14ac:dyDescent="0.3">
      <c r="B62" s="222" t="str">
        <f>ID!A76</f>
        <v>Bulb harap diganti</v>
      </c>
      <c r="C62" s="75"/>
      <c r="D62" s="75"/>
      <c r="E62" s="75"/>
      <c r="F62" s="75"/>
      <c r="G62" s="75"/>
      <c r="H62" s="76"/>
      <c r="I62" s="76"/>
    </row>
    <row r="63" spans="1:26" hidden="1" x14ac:dyDescent="0.3">
      <c r="B63" s="222">
        <f>ID!A77</f>
        <v>0</v>
      </c>
      <c r="C63" s="75"/>
      <c r="D63" s="75"/>
      <c r="E63" s="75"/>
      <c r="F63" s="75"/>
      <c r="G63" s="75"/>
      <c r="H63" s="76"/>
      <c r="I63" s="76"/>
    </row>
    <row r="64" spans="1:26" ht="6.75" customHeight="1" x14ac:dyDescent="0.3">
      <c r="B64" s="74"/>
      <c r="C64" s="75"/>
      <c r="D64" s="75"/>
      <c r="E64" s="75"/>
      <c r="F64" s="75"/>
      <c r="G64" s="75"/>
      <c r="H64" s="76"/>
      <c r="I64" s="76"/>
    </row>
    <row r="65" spans="1:27" x14ac:dyDescent="0.3">
      <c r="A65" s="454" t="s">
        <v>165</v>
      </c>
      <c r="B65" s="1331" t="s">
        <v>244</v>
      </c>
      <c r="C65" s="1331"/>
      <c r="D65" s="1331"/>
      <c r="E65" s="1331"/>
      <c r="F65" s="1331"/>
      <c r="G65" s="1331"/>
    </row>
    <row r="66" spans="1:27" ht="15.75" customHeight="1" x14ac:dyDescent="0.3">
      <c r="B66" s="72" t="str">
        <f>ID!A83</f>
        <v>Digital Pressure Meter, Merek : Fluke Biomedical, Model : DPM 4-1H, SN : 3506049</v>
      </c>
      <c r="F66" s="75"/>
      <c r="G66" s="75"/>
      <c r="H66" s="76"/>
      <c r="I66" s="76"/>
      <c r="T66" s="431"/>
      <c r="U66" s="431"/>
      <c r="V66" s="431"/>
      <c r="W66" s="431"/>
      <c r="X66" s="431"/>
      <c r="Y66" s="431"/>
      <c r="Z66" s="431"/>
      <c r="AA66" s="431"/>
    </row>
    <row r="67" spans="1:27" ht="17.25" customHeight="1" x14ac:dyDescent="0.3">
      <c r="B67" s="412" t="str">
        <f>ID!A85</f>
        <v>Stopwatch, Merek : EXTECH, Model : 365535, SN : 001382</v>
      </c>
      <c r="T67" s="431"/>
      <c r="U67" s="431"/>
      <c r="V67" s="431"/>
      <c r="W67" s="431"/>
      <c r="X67" s="431"/>
      <c r="Y67" s="431"/>
      <c r="Z67" s="431"/>
      <c r="AA67" s="431"/>
    </row>
    <row r="68" spans="1:27" x14ac:dyDescent="0.3">
      <c r="A68" s="454" t="s">
        <v>34</v>
      </c>
      <c r="B68" s="432" t="s">
        <v>35</v>
      </c>
      <c r="C68" s="432"/>
    </row>
    <row r="69" spans="1:27" ht="47.25" customHeight="1" x14ac:dyDescent="0.3">
      <c r="B69" s="1330" t="str">
        <f>IF(M73&gt;=80,KETERANGAN!G8,KETERANGAN!G9)</f>
        <v>Alat yang dikalibrasi melebihi batas toleransi dan dinyatakan TIDAK LAIK PAKAI, dimana hasil atau skor akhir dibawah 80% berdasarkan Keputusan Direktur Jenderal Pelayanan Kesehatan No : HK.02.02/V/0412/2020</v>
      </c>
      <c r="C69" s="1330"/>
      <c r="D69" s="1330"/>
      <c r="E69" s="1330"/>
      <c r="F69" s="1330"/>
      <c r="G69" s="1330"/>
      <c r="H69" s="1330"/>
      <c r="I69" s="1330"/>
      <c r="J69" s="1330"/>
      <c r="K69" s="1330"/>
      <c r="L69" s="1330"/>
    </row>
    <row r="70" spans="1:27" ht="18.75" customHeight="1" x14ac:dyDescent="0.3">
      <c r="A70" s="432" t="s">
        <v>188</v>
      </c>
      <c r="B70" s="432" t="s">
        <v>13</v>
      </c>
      <c r="C70" s="432"/>
      <c r="Q70" s="393" t="s">
        <v>201</v>
      </c>
      <c r="R70" s="393" t="s">
        <v>202</v>
      </c>
      <c r="S70" s="393" t="s">
        <v>203</v>
      </c>
      <c r="T70" s="575" t="s">
        <v>295</v>
      </c>
      <c r="U70" s="575" t="s">
        <v>296</v>
      </c>
      <c r="V70" s="576">
        <v>1</v>
      </c>
      <c r="W70" s="575" t="s">
        <v>297</v>
      </c>
    </row>
    <row r="71" spans="1:27" ht="18.75" customHeight="1" x14ac:dyDescent="0.3">
      <c r="B71" s="412" t="str">
        <f>ID!A81</f>
        <v>Rangga Setya Hantoko</v>
      </c>
      <c r="P71" s="72">
        <f>IF(ID!$C$14=ID!$M$9,PENYELIA!Q71,IF(ID!$C$14=ID!$M$10,PENYELIA!R71,IF(ID!$C$14=ID!$M$11,PENYELIA!S71)))</f>
        <v>0</v>
      </c>
      <c r="Q71" s="402">
        <v>0</v>
      </c>
      <c r="R71" s="402">
        <v>0</v>
      </c>
      <c r="S71" s="402">
        <v>0</v>
      </c>
      <c r="T71" s="572">
        <f>IF(ID!$C$14=ID!$M$9,PENYELIA!Q71,IF(ID!$C$14=ID!$M$10,PENYELIA!R71,IF(ID!$C$14=ID!$M$11,PENYELIA!S71)))</f>
        <v>0</v>
      </c>
      <c r="U71" s="572">
        <f>(IF(AND(T48&lt;=3,U48&lt;=3),T71,0))</f>
        <v>0</v>
      </c>
      <c r="V71" s="573">
        <f>SUM(U71:U76)</f>
        <v>1</v>
      </c>
      <c r="W71" s="574">
        <f>Z71</f>
        <v>0</v>
      </c>
      <c r="X71" s="393" t="s">
        <v>201</v>
      </c>
      <c r="Y71" s="572">
        <f>IF(V71=50,50,IF(V71=36,50,IF(V71=33,50,IF(V71=49,50,0))))</f>
        <v>0</v>
      </c>
      <c r="Z71" s="572">
        <f>IF(ID!$C$14=X71,Y71,IF(ID!$C$14=X72,Y72,IF(ID!$C$14=X73,Y73)))</f>
        <v>0</v>
      </c>
    </row>
    <row r="72" spans="1:27" ht="31.5" customHeight="1" x14ac:dyDescent="0.3">
      <c r="C72" s="1323" t="s">
        <v>197</v>
      </c>
      <c r="D72" s="1324"/>
      <c r="E72" s="1324"/>
      <c r="F72" s="1324"/>
      <c r="G72" s="1324"/>
      <c r="H72" s="1325"/>
      <c r="I72" s="433" t="s">
        <v>236</v>
      </c>
      <c r="J72" s="433" t="s">
        <v>198</v>
      </c>
      <c r="K72" s="1173" t="s">
        <v>200</v>
      </c>
      <c r="L72" s="1173"/>
      <c r="M72" s="1323" t="s">
        <v>199</v>
      </c>
      <c r="N72" s="1325"/>
      <c r="P72" s="72">
        <f>IF(ID!$C$14=ID!$M$9,PENYELIA!Q72,IF(ID!$C$14=ID!$M$10,PENYELIA!R72,IF(ID!$C$14=ID!$M$11,PENYELIA!S72)))</f>
        <v>1</v>
      </c>
      <c r="Q72" s="402">
        <v>1</v>
      </c>
      <c r="R72" s="402">
        <v>14</v>
      </c>
      <c r="S72" s="402">
        <v>1</v>
      </c>
      <c r="T72" s="572">
        <f>IF(ID!$C$14=ID!$M$9,PENYELIA!Q72,IF(ID!$C$14=ID!$M$10,PENYELIA!R72,IF(ID!$C$14=ID!$M$11,PENYELIA!S72)))</f>
        <v>1</v>
      </c>
      <c r="U72" s="572">
        <f t="shared" ref="U72:U76" si="5">(IF(AND(T49&lt;=3,U49&lt;=3),T72,0))</f>
        <v>1</v>
      </c>
      <c r="V72" s="99"/>
      <c r="W72" s="99"/>
      <c r="X72" s="393" t="s">
        <v>202</v>
      </c>
      <c r="Y72" s="572">
        <f>IF(V71=50,50,IF(V71=36,50,IF(V71=33,50,IF(V71=49,50,0))))</f>
        <v>0</v>
      </c>
    </row>
    <row r="73" spans="1:27" x14ac:dyDescent="0.3">
      <c r="C73" s="434" t="s">
        <v>90</v>
      </c>
      <c r="D73" s="435"/>
      <c r="E73" s="436" t="s">
        <v>0</v>
      </c>
      <c r="F73" s="437" t="str">
        <f>ID!A81</f>
        <v>Rangga Setya Hantoko</v>
      </c>
      <c r="G73" s="437"/>
      <c r="H73" s="438"/>
      <c r="I73" s="503">
        <f ca="1">TODAY()</f>
        <v>45306</v>
      </c>
      <c r="J73" s="439"/>
      <c r="K73" s="1174" t="str">
        <f>IF($M$73&gt;=80,"HIJAU","MERAH")</f>
        <v>MERAH</v>
      </c>
      <c r="L73" s="1174"/>
      <c r="M73" s="1370">
        <f>O21+O22+O29+O35+O48</f>
        <v>30</v>
      </c>
      <c r="N73" s="1376" t="str">
        <f>IF($M$73&gt;=80,"P","O")</f>
        <v>O</v>
      </c>
      <c r="P73" s="72">
        <f>IF(ID!$C$14=ID!$M$9,PENYELIA!Q73,IF(ID!$C$14=ID!$M$10,PENYELIA!R73,IF(ID!$C$14=ID!$M$11,PENYELIA!S73)))</f>
        <v>17</v>
      </c>
      <c r="Q73" s="402">
        <v>17</v>
      </c>
      <c r="R73" s="402">
        <v>17</v>
      </c>
      <c r="S73" s="402">
        <v>8</v>
      </c>
      <c r="T73" s="572">
        <f>IF(ID!$C$14=ID!$M$9,PENYELIA!Q73,IF(ID!$C$14=ID!$M$10,PENYELIA!R73,IF(ID!$C$14=ID!$M$11,PENYELIA!S73)))</f>
        <v>17</v>
      </c>
      <c r="U73" s="572">
        <f t="shared" si="5"/>
        <v>0</v>
      </c>
      <c r="V73" s="99"/>
      <c r="W73" s="99"/>
      <c r="X73" s="393" t="s">
        <v>203</v>
      </c>
      <c r="Y73" s="572">
        <f>IF(V71=49,50,IF(V71=48,50,IF(V71=41,50,IF(V71=32,50,IF(V71=35,50,IF(V71=40,50,0))))))</f>
        <v>0</v>
      </c>
    </row>
    <row r="74" spans="1:27" x14ac:dyDescent="0.3">
      <c r="C74" s="440" t="s">
        <v>91</v>
      </c>
      <c r="D74" s="438"/>
      <c r="E74" s="437" t="s">
        <v>0</v>
      </c>
      <c r="F74" s="437"/>
      <c r="G74" s="437"/>
      <c r="H74" s="438"/>
      <c r="I74" s="439"/>
      <c r="J74" s="439"/>
      <c r="K74" s="1174"/>
      <c r="L74" s="1174"/>
      <c r="M74" s="1370"/>
      <c r="N74" s="1377"/>
      <c r="P74" s="72">
        <f>IF(ID!$C$14=ID!$M$9,PENYELIA!Q74,IF(ID!$C$14=ID!$M$10,PENYELIA!R74,IF(ID!$C$14=ID!$M$11,PENYELIA!S74)))</f>
        <v>17</v>
      </c>
      <c r="Q74" s="402">
        <v>17</v>
      </c>
      <c r="R74" s="402">
        <v>17</v>
      </c>
      <c r="S74" s="402">
        <v>17</v>
      </c>
      <c r="T74" s="572">
        <f>IF(ID!$C$14=ID!$M$9,PENYELIA!Q74,IF(ID!$C$14=ID!$M$10,PENYELIA!R74,IF(ID!$C$14=ID!$M$11,PENYELIA!S74)))</f>
        <v>17</v>
      </c>
      <c r="U74" s="572">
        <f>(IF(AND(T51&lt;=3,U51&lt;=3),T74,0))</f>
        <v>0</v>
      </c>
      <c r="V74" s="99"/>
      <c r="W74" s="99"/>
    </row>
    <row r="75" spans="1:27" x14ac:dyDescent="0.3">
      <c r="P75" s="72">
        <f>IF(ID!$C$14=ID!$M$9,PENYELIA!Q75,IF(ID!$C$14=ID!$M$10,PENYELIA!R75,IF(ID!$C$14=ID!$M$11,PENYELIA!S75)))</f>
        <v>14</v>
      </c>
      <c r="Q75" s="402">
        <v>14</v>
      </c>
      <c r="R75" s="402">
        <v>1</v>
      </c>
      <c r="S75" s="402">
        <v>14</v>
      </c>
      <c r="T75" s="572">
        <f>IF(ID!$C$14=ID!$M$9,PENYELIA!Q75,IF(ID!$C$14=ID!$M$10,PENYELIA!R75,IF(ID!$C$14=ID!$M$11,PENYELIA!S75)))</f>
        <v>14</v>
      </c>
      <c r="U75" s="572">
        <f t="shared" si="5"/>
        <v>0</v>
      </c>
      <c r="V75" s="99"/>
      <c r="W75" s="99"/>
    </row>
    <row r="76" spans="1:27" x14ac:dyDescent="0.3">
      <c r="P76" s="72">
        <f>IF(ID!$C$14=ID!$M$9,PENYELIA!Q76,IF(ID!$C$14=ID!$M$10,PENYELIA!R76,IF(ID!$C$14=ID!$M$11,PENYELIA!S76)))</f>
        <v>1</v>
      </c>
      <c r="Q76" s="402">
        <v>1</v>
      </c>
      <c r="R76" s="402">
        <v>1</v>
      </c>
      <c r="S76" s="402">
        <v>9</v>
      </c>
      <c r="T76" s="572">
        <f>IF(ID!$C$14=ID!$M$9,PENYELIA!Q76,IF(ID!$C$14=ID!$M$10,PENYELIA!R76,IF(ID!$C$14=ID!$M$11,PENYELIA!S76)))</f>
        <v>1</v>
      </c>
      <c r="U76" s="572">
        <f t="shared" si="5"/>
        <v>0</v>
      </c>
      <c r="V76" s="99"/>
      <c r="W76" s="99"/>
    </row>
    <row r="204" spans="1:6" x14ac:dyDescent="0.3">
      <c r="A204" s="72"/>
      <c r="F204" s="441"/>
    </row>
  </sheetData>
  <sheetProtection formatCells="0" formatColumns="0" formatRows="0" insertRows="0" deleteRows="0"/>
  <mergeCells count="58">
    <mergeCell ref="M73:M74"/>
    <mergeCell ref="T46:U46"/>
    <mergeCell ref="Q39:R40"/>
    <mergeCell ref="Q45:R46"/>
    <mergeCell ref="K45:L45"/>
    <mergeCell ref="N73:N74"/>
    <mergeCell ref="K72:L72"/>
    <mergeCell ref="K73:L74"/>
    <mergeCell ref="M72:N72"/>
    <mergeCell ref="M46:N47"/>
    <mergeCell ref="M48:N48"/>
    <mergeCell ref="M49:N49"/>
    <mergeCell ref="M50:N50"/>
    <mergeCell ref="M51:N51"/>
    <mergeCell ref="M52:N52"/>
    <mergeCell ref="M53:N53"/>
    <mergeCell ref="C40:E40"/>
    <mergeCell ref="B18:C18"/>
    <mergeCell ref="C39:E39"/>
    <mergeCell ref="B29:E29"/>
    <mergeCell ref="B26:E27"/>
    <mergeCell ref="B28:E28"/>
    <mergeCell ref="B38:B40"/>
    <mergeCell ref="B34:E34"/>
    <mergeCell ref="A23:G23"/>
    <mergeCell ref="F28:H28"/>
    <mergeCell ref="B45:B47"/>
    <mergeCell ref="A1:N1"/>
    <mergeCell ref="A2:N2"/>
    <mergeCell ref="F34:H34"/>
    <mergeCell ref="B17:C17"/>
    <mergeCell ref="C45:E45"/>
    <mergeCell ref="I26:I27"/>
    <mergeCell ref="F32:H33"/>
    <mergeCell ref="I32:I33"/>
    <mergeCell ref="F29:H29"/>
    <mergeCell ref="B32:E33"/>
    <mergeCell ref="F26:H27"/>
    <mergeCell ref="B35:E35"/>
    <mergeCell ref="F35:H35"/>
    <mergeCell ref="C38:E38"/>
    <mergeCell ref="C47:E47"/>
    <mergeCell ref="O48:O53"/>
    <mergeCell ref="O46:O47"/>
    <mergeCell ref="C72:H72"/>
    <mergeCell ref="H41:H43"/>
    <mergeCell ref="G38:G39"/>
    <mergeCell ref="A57:G57"/>
    <mergeCell ref="C41:E41"/>
    <mergeCell ref="C43:E43"/>
    <mergeCell ref="C42:E42"/>
    <mergeCell ref="B69:L69"/>
    <mergeCell ref="B65:G65"/>
    <mergeCell ref="F45:G45"/>
    <mergeCell ref="H45:I45"/>
    <mergeCell ref="H38:H39"/>
    <mergeCell ref="I38:I39"/>
    <mergeCell ref="F38:F39"/>
  </mergeCells>
  <phoneticPr fontId="0" type="noConversion"/>
  <printOptions horizontalCentered="1"/>
  <pageMargins left="0.511811023622047" right="0.23622047244094499" top="0.511811023622047" bottom="0.23622047244094499" header="0.23622047244094499" footer="0.23622047244094499"/>
  <pageSetup paperSize="9" scale="73" orientation="portrait" horizontalDpi="4294967294" verticalDpi="4294967293" r:id="rId1"/>
  <headerFooter>
    <oddHeader xml:space="preserve">&amp;R&amp;"-,Regular"&amp;8T.LP 042-18
</oddHeader>
    <oddFooter>&amp;R&amp;8&amp;K00-048Software Sphygmomanometer 11.4.2022</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ADBD-5ACF-4BC4-BF48-776E40BDE720}">
  <sheetPr>
    <tabColor rgb="FF00B050"/>
  </sheetPr>
  <dimension ref="A1:O61"/>
  <sheetViews>
    <sheetView zoomScaleNormal="100" zoomScaleSheetLayoutView="90" workbookViewId="0">
      <selection activeCell="H9" sqref="H9"/>
    </sheetView>
  </sheetViews>
  <sheetFormatPr defaultColWidth="9.21875" defaultRowHeight="13.2" x14ac:dyDescent="0.25"/>
  <cols>
    <col min="1" max="1" width="18.21875" style="838" customWidth="1"/>
    <col min="2" max="2" width="26.21875" style="838" customWidth="1"/>
    <col min="3" max="3" width="3.21875" style="838" customWidth="1"/>
    <col min="4" max="4" width="11.5546875" style="838" customWidth="1"/>
    <col min="5" max="5" width="9.44140625" style="838" customWidth="1"/>
    <col min="6" max="6" width="22.5546875" style="838" customWidth="1"/>
    <col min="7" max="7" width="9.21875" style="838"/>
    <col min="8" max="8" width="18.77734375" style="838" customWidth="1"/>
    <col min="9" max="9" width="12.21875" style="838" customWidth="1"/>
    <col min="10" max="16384" width="9.21875" style="838"/>
  </cols>
  <sheetData>
    <row r="1" spans="1:15" x14ac:dyDescent="0.25">
      <c r="H1" s="839" t="str">
        <f>IF(ID!D2=KETERANGAN!F8,"LAIK","TIDAK LAIK")</f>
        <v>TIDAK LAIK</v>
      </c>
      <c r="I1" s="840"/>
      <c r="J1" s="840"/>
    </row>
    <row r="2" spans="1:15" ht="30" x14ac:dyDescent="0.25">
      <c r="A2" s="1399" t="str">
        <f>B46</f>
        <v>SERTIFIKAT KALIBRASI</v>
      </c>
      <c r="B2" s="1399"/>
      <c r="C2" s="1399"/>
      <c r="D2" s="1399"/>
      <c r="E2" s="1399"/>
      <c r="F2" s="1399"/>
      <c r="H2" s="841"/>
      <c r="I2" s="1400"/>
      <c r="J2" s="1401"/>
    </row>
    <row r="3" spans="1:15" ht="13.8" x14ac:dyDescent="0.25">
      <c r="A3" s="1402" t="str">
        <f>LH!A2</f>
        <v>Nomor Surat Keterangan : 44 / M - 11 / II - 21 / E - 035.66 DL</v>
      </c>
      <c r="B3" s="1402"/>
      <c r="C3" s="1402"/>
      <c r="D3" s="1402"/>
      <c r="E3" s="1402"/>
      <c r="F3" s="1402"/>
    </row>
    <row r="4" spans="1:15" x14ac:dyDescent="0.25">
      <c r="C4" s="838" t="s">
        <v>443</v>
      </c>
      <c r="D4" s="1403" t="s">
        <v>529</v>
      </c>
      <c r="E4" s="1403"/>
      <c r="F4" s="1403"/>
      <c r="H4" s="842"/>
      <c r="I4" s="842"/>
      <c r="J4" s="842"/>
    </row>
    <row r="5" spans="1:15" ht="14.4" x14ac:dyDescent="0.3">
      <c r="H5" s="1404"/>
      <c r="I5" s="1404"/>
      <c r="J5" s="1404"/>
    </row>
    <row r="6" spans="1:15" ht="13.8" x14ac:dyDescent="0.25">
      <c r="A6" s="1053" t="s">
        <v>442</v>
      </c>
      <c r="B6" s="843" t="s">
        <v>445</v>
      </c>
      <c r="C6" s="844"/>
      <c r="D6" s="1386" t="s">
        <v>441</v>
      </c>
      <c r="E6" s="1387"/>
      <c r="F6" s="845" t="str">
        <f>MID(A3,SEARCH("E - ",A3),LEN(A3))</f>
        <v>E - 035.66 DL</v>
      </c>
    </row>
    <row r="7" spans="1:15" ht="13.8" x14ac:dyDescent="0.25">
      <c r="A7" s="846"/>
      <c r="B7" s="846"/>
      <c r="C7" s="846"/>
    </row>
    <row r="8" spans="1:15" ht="13.8" x14ac:dyDescent="0.25">
      <c r="A8" s="1381" t="s">
        <v>440</v>
      </c>
      <c r="B8" s="1381"/>
      <c r="C8" s="847" t="s">
        <v>0</v>
      </c>
      <c r="D8" s="1381" t="str">
        <f>LH!F5</f>
        <v>COSMO Med</v>
      </c>
      <c r="E8" s="1381"/>
      <c r="F8" s="1381"/>
      <c r="I8" s="1396"/>
      <c r="J8" s="1396"/>
    </row>
    <row r="9" spans="1:15" ht="13.8" x14ac:dyDescent="0.25">
      <c r="A9" s="1381" t="s">
        <v>439</v>
      </c>
      <c r="B9" s="1381"/>
      <c r="C9" s="847" t="s">
        <v>0</v>
      </c>
      <c r="D9" s="1381" t="str">
        <f>LH!F6</f>
        <v>-</v>
      </c>
      <c r="E9" s="1381"/>
      <c r="F9" s="1381"/>
      <c r="I9" s="1396"/>
      <c r="J9" s="1396"/>
    </row>
    <row r="10" spans="1:15" ht="14.4" x14ac:dyDescent="0.3">
      <c r="A10" s="1381" t="s">
        <v>438</v>
      </c>
      <c r="B10" s="1381"/>
      <c r="C10" s="847" t="s">
        <v>0</v>
      </c>
      <c r="D10" s="1381" t="str">
        <f>LH!F7</f>
        <v>-</v>
      </c>
      <c r="E10" s="1381"/>
      <c r="F10" s="1381"/>
      <c r="I10" s="1397"/>
      <c r="J10" s="1388"/>
      <c r="O10" s="848"/>
    </row>
    <row r="11" spans="1:15" s="840" customFormat="1" ht="14.4" hidden="1" x14ac:dyDescent="0.3">
      <c r="A11" s="1398"/>
      <c r="B11" s="1398"/>
      <c r="C11" s="849"/>
      <c r="D11" s="850"/>
      <c r="E11" s="850"/>
      <c r="F11" s="851"/>
      <c r="I11" s="852"/>
      <c r="J11" s="853"/>
      <c r="O11" s="853"/>
    </row>
    <row r="12" spans="1:15" s="840" customFormat="1" ht="14.4" x14ac:dyDescent="0.3">
      <c r="A12" s="1398" t="s">
        <v>76</v>
      </c>
      <c r="B12" s="1398"/>
      <c r="C12" s="849" t="s">
        <v>0</v>
      </c>
      <c r="D12" s="1053">
        <f>LH!F8</f>
        <v>2</v>
      </c>
      <c r="E12" s="1089" t="s">
        <v>38</v>
      </c>
      <c r="F12" s="851"/>
      <c r="I12" s="854"/>
      <c r="J12" s="853"/>
      <c r="O12" s="853"/>
    </row>
    <row r="13" spans="1:15" ht="14.4" x14ac:dyDescent="0.3">
      <c r="A13" s="855"/>
      <c r="B13" s="855"/>
      <c r="C13" s="846"/>
      <c r="I13" s="1395"/>
      <c r="J13" s="1395"/>
      <c r="O13" s="848"/>
    </row>
    <row r="14" spans="1:15" ht="28.5" customHeight="1" x14ac:dyDescent="0.3">
      <c r="A14" s="856" t="s">
        <v>437</v>
      </c>
      <c r="B14" s="857"/>
      <c r="C14" s="846"/>
      <c r="D14" s="1386" t="s">
        <v>436</v>
      </c>
      <c r="E14" s="1387"/>
      <c r="F14" s="858"/>
      <c r="I14" s="1388"/>
      <c r="J14" s="1388"/>
      <c r="O14" s="848"/>
    </row>
    <row r="15" spans="1:15" ht="14.4" x14ac:dyDescent="0.25">
      <c r="A15" s="859"/>
      <c r="B15" s="846"/>
      <c r="C15" s="846"/>
      <c r="D15" s="846"/>
      <c r="E15" s="846"/>
      <c r="I15" s="1389"/>
      <c r="J15" s="1389"/>
    </row>
    <row r="16" spans="1:15" s="840" customFormat="1" ht="42.75" customHeight="1" x14ac:dyDescent="0.3">
      <c r="A16" s="1390" t="s">
        <v>435</v>
      </c>
      <c r="B16" s="1390"/>
      <c r="C16" s="860" t="s">
        <v>0</v>
      </c>
      <c r="D16" s="1391" t="s">
        <v>464</v>
      </c>
      <c r="E16" s="1391"/>
      <c r="F16" s="1391"/>
      <c r="H16" s="861"/>
      <c r="I16" s="1392"/>
      <c r="J16" s="1393"/>
    </row>
    <row r="17" spans="1:10" ht="14.4" x14ac:dyDescent="0.3">
      <c r="A17" s="1381" t="str">
        <f>"Nama Ruang "&amp;B50</f>
        <v>Nama Ruang Kalibrasi</v>
      </c>
      <c r="B17" s="1381"/>
      <c r="C17" s="847" t="s">
        <v>0</v>
      </c>
      <c r="D17" s="1383" t="str">
        <f>LH!F12</f>
        <v>VK</v>
      </c>
      <c r="E17" s="1383"/>
      <c r="F17" s="1383"/>
      <c r="H17" s="1394"/>
      <c r="I17" s="1394"/>
      <c r="J17" s="1394"/>
    </row>
    <row r="18" spans="1:10" ht="14.4" x14ac:dyDescent="0.3">
      <c r="A18" s="1381" t="s">
        <v>135</v>
      </c>
      <c r="B18" s="1381"/>
      <c r="C18" s="847" t="s">
        <v>0</v>
      </c>
      <c r="D18" s="1385">
        <f>LH!F9</f>
        <v>44641</v>
      </c>
      <c r="E18" s="1385"/>
      <c r="F18" s="1385"/>
      <c r="H18" s="1054"/>
      <c r="I18" s="1054"/>
      <c r="J18" s="1054"/>
    </row>
    <row r="19" spans="1:10" ht="14.25" customHeight="1" x14ac:dyDescent="0.25">
      <c r="A19" s="1381" t="str">
        <f>"Tanggal "&amp;B50</f>
        <v>Tanggal Kalibrasi</v>
      </c>
      <c r="B19" s="1381"/>
      <c r="C19" s="847" t="s">
        <v>0</v>
      </c>
      <c r="D19" s="1385" t="str">
        <f>LH!F10</f>
        <v>21 Maret 2022</v>
      </c>
      <c r="E19" s="1385"/>
      <c r="F19" s="1385"/>
    </row>
    <row r="20" spans="1:10" ht="13.8" x14ac:dyDescent="0.25">
      <c r="A20" s="1381" t="str">
        <f>"Penanggungjawab "&amp;B50</f>
        <v>Penanggungjawab Kalibrasi</v>
      </c>
      <c r="B20" s="1381"/>
      <c r="C20" s="847" t="s">
        <v>0</v>
      </c>
      <c r="D20" s="1381" t="str">
        <f>LH!B67</f>
        <v>Rangga Setya Hantoko</v>
      </c>
      <c r="E20" s="1381"/>
      <c r="F20" s="1381"/>
    </row>
    <row r="21" spans="1:10" ht="14.4" x14ac:dyDescent="0.3">
      <c r="A21" s="1381" t="str">
        <f>"Lokasi "&amp;B50</f>
        <v>Lokasi Kalibrasi</v>
      </c>
      <c r="B21" s="1381"/>
      <c r="C21" s="847" t="s">
        <v>0</v>
      </c>
      <c r="D21" s="1383" t="str">
        <f>LH!F11</f>
        <v>ICU</v>
      </c>
      <c r="E21" s="1383"/>
      <c r="F21" s="1383"/>
      <c r="H21" s="862"/>
    </row>
    <row r="22" spans="1:10" ht="31.5" customHeight="1" x14ac:dyDescent="0.25">
      <c r="A22" s="1383" t="str">
        <f>"Hasil "&amp;B50</f>
        <v>Hasil Kalibrasi</v>
      </c>
      <c r="B22" s="1383"/>
      <c r="C22" s="863" t="s">
        <v>0</v>
      </c>
      <c r="D22" s="1384" t="s">
        <v>583</v>
      </c>
      <c r="E22" s="1384"/>
      <c r="F22" s="1384"/>
    </row>
    <row r="23" spans="1:10" ht="13.8" x14ac:dyDescent="0.25">
      <c r="A23" s="1381" t="s">
        <v>177</v>
      </c>
      <c r="B23" s="1381"/>
      <c r="C23" s="847" t="s">
        <v>0</v>
      </c>
      <c r="D23" s="1381" t="str">
        <f>LH!F13</f>
        <v>MK 042-18</v>
      </c>
      <c r="E23" s="1381"/>
      <c r="F23" s="1381"/>
    </row>
    <row r="26" spans="1:10" ht="26.25" customHeight="1" x14ac:dyDescent="0.25">
      <c r="D26" s="864" t="s">
        <v>433</v>
      </c>
      <c r="E26" s="1382">
        <f ca="1">TODAY()</f>
        <v>45306</v>
      </c>
      <c r="F26" s="1382"/>
    </row>
    <row r="27" spans="1:10" ht="13.8" x14ac:dyDescent="0.25">
      <c r="D27" s="1381" t="s">
        <v>432</v>
      </c>
      <c r="E27" s="1381"/>
      <c r="F27" s="1381"/>
    </row>
    <row r="28" spans="1:10" ht="13.8" x14ac:dyDescent="0.25">
      <c r="D28" s="1381" t="s">
        <v>431</v>
      </c>
      <c r="E28" s="1381"/>
      <c r="F28" s="1381"/>
    </row>
    <row r="29" spans="1:10" ht="13.8" x14ac:dyDescent="0.25">
      <c r="D29" s="865"/>
      <c r="E29" s="865"/>
    </row>
    <row r="30" spans="1:10" ht="13.8" x14ac:dyDescent="0.25">
      <c r="D30" s="865"/>
      <c r="E30" s="865"/>
    </row>
    <row r="31" spans="1:10" ht="13.8" x14ac:dyDescent="0.25">
      <c r="D31" s="865"/>
      <c r="E31" s="865"/>
    </row>
    <row r="32" spans="1:10" ht="13.8" x14ac:dyDescent="0.25">
      <c r="D32" s="1381" t="s">
        <v>430</v>
      </c>
      <c r="E32" s="1381"/>
      <c r="F32" s="1381"/>
    </row>
    <row r="33" spans="1:6" ht="13.8" x14ac:dyDescent="0.25">
      <c r="D33" s="1380" t="s">
        <v>429</v>
      </c>
      <c r="E33" s="1380"/>
      <c r="F33" s="1380"/>
    </row>
    <row r="36" spans="1:6" x14ac:dyDescent="0.25">
      <c r="A36" s="866"/>
      <c r="B36" s="866"/>
      <c r="C36" s="866"/>
      <c r="D36" s="866"/>
      <c r="E36" s="866"/>
      <c r="F36" s="866"/>
    </row>
    <row r="42" spans="1:6" ht="13.8" thickBot="1" x14ac:dyDescent="0.3"/>
    <row r="43" spans="1:6" ht="31.5" customHeight="1" x14ac:dyDescent="0.25">
      <c r="A43" s="867" t="s">
        <v>465</v>
      </c>
      <c r="B43" s="936" t="s">
        <v>608</v>
      </c>
    </row>
    <row r="44" spans="1:6" x14ac:dyDescent="0.25">
      <c r="A44" s="868"/>
      <c r="B44" s="869"/>
    </row>
    <row r="45" spans="1:6" ht="24" customHeight="1" x14ac:dyDescent="0.25">
      <c r="A45" s="870" t="s">
        <v>466</v>
      </c>
      <c r="B45" s="871" t="str">
        <f>ID!A1</f>
        <v>INPUT DATA KALIBRASI SPHYGMOMANOMETER</v>
      </c>
    </row>
    <row r="46" spans="1:6" ht="39" customHeight="1" x14ac:dyDescent="0.25">
      <c r="A46" s="870" t="s">
        <v>467</v>
      </c>
      <c r="B46" s="937" t="str">
        <f>IF(B45="INPUT DATA KALIBRASI SPHYGMOMANOMETER",B47,B48)</f>
        <v>SERTIFIKAT KALIBRASI</v>
      </c>
    </row>
    <row r="47" spans="1:6" ht="22.5" customHeight="1" x14ac:dyDescent="0.25">
      <c r="A47" s="870" t="s">
        <v>468</v>
      </c>
      <c r="B47" s="869" t="s">
        <v>444</v>
      </c>
    </row>
    <row r="48" spans="1:6" x14ac:dyDescent="0.25">
      <c r="A48" s="868"/>
      <c r="B48" s="869" t="s">
        <v>469</v>
      </c>
    </row>
    <row r="49" spans="1:2" x14ac:dyDescent="0.25">
      <c r="A49" s="868"/>
      <c r="B49" s="869"/>
    </row>
    <row r="50" spans="1:2" ht="48" customHeight="1" x14ac:dyDescent="0.25">
      <c r="A50" s="870" t="s">
        <v>470</v>
      </c>
      <c r="B50" s="869" t="str">
        <f>IF(RIGHT(A2,10)=" KALIBRASI","Kalibrasi","Pengujian")</f>
        <v>Kalibrasi</v>
      </c>
    </row>
    <row r="51" spans="1:2" x14ac:dyDescent="0.25">
      <c r="A51" s="868"/>
      <c r="B51" s="869"/>
    </row>
    <row r="52" spans="1:2" s="873" customFormat="1" ht="34.5" customHeight="1" x14ac:dyDescent="0.25">
      <c r="A52" s="870" t="s">
        <v>471</v>
      </c>
      <c r="B52" s="872" t="s">
        <v>434</v>
      </c>
    </row>
    <row r="53" spans="1:2" x14ac:dyDescent="0.25">
      <c r="A53" s="868"/>
      <c r="B53" s="869"/>
    </row>
    <row r="54" spans="1:2" ht="50.25" customHeight="1" x14ac:dyDescent="0.25">
      <c r="A54" s="874" t="s">
        <v>472</v>
      </c>
      <c r="B54" s="875"/>
    </row>
    <row r="55" spans="1:2" ht="27" customHeight="1" x14ac:dyDescent="0.25">
      <c r="A55" s="870" t="s">
        <v>473</v>
      </c>
      <c r="B55" s="876"/>
    </row>
    <row r="56" spans="1:2" x14ac:dyDescent="0.25">
      <c r="A56" s="868"/>
      <c r="B56" s="869"/>
    </row>
    <row r="57" spans="1:2" ht="30" customHeight="1" x14ac:dyDescent="0.25">
      <c r="A57" s="874" t="s">
        <v>474</v>
      </c>
      <c r="B57" s="938"/>
    </row>
    <row r="58" spans="1:2" ht="27.6" x14ac:dyDescent="0.25">
      <c r="A58" s="868" t="s">
        <v>475</v>
      </c>
      <c r="B58" s="877" t="str">
        <f>CONCATENATE(B60,B55)</f>
        <v xml:space="preserve">Laik Pakai, disarankan untuk dikalibrasi ulang pada tanggal </v>
      </c>
    </row>
    <row r="59" spans="1:2" ht="27.6" x14ac:dyDescent="0.25">
      <c r="A59" s="868"/>
      <c r="B59" s="877" t="str">
        <f>CONCATENATE(B61,B55)</f>
        <v xml:space="preserve">Laik Pakai, disarankan untuk diuji ulang pada tanggal </v>
      </c>
    </row>
    <row r="60" spans="1:2" ht="42" customHeight="1" x14ac:dyDescent="0.25">
      <c r="A60" s="878" t="s">
        <v>468</v>
      </c>
      <c r="B60" s="877" t="s">
        <v>476</v>
      </c>
    </row>
    <row r="61" spans="1:2" ht="39.75" customHeight="1" thickBot="1" x14ac:dyDescent="0.3">
      <c r="A61" s="879"/>
      <c r="B61" s="880" t="s">
        <v>477</v>
      </c>
    </row>
  </sheetData>
  <sheetProtection formatRows="0"/>
  <mergeCells count="44">
    <mergeCell ref="D6:E6"/>
    <mergeCell ref="A2:F2"/>
    <mergeCell ref="I2:J2"/>
    <mergeCell ref="A3:F3"/>
    <mergeCell ref="D4:F4"/>
    <mergeCell ref="H5:J5"/>
    <mergeCell ref="I13:J13"/>
    <mergeCell ref="A8:B8"/>
    <mergeCell ref="D8:F8"/>
    <mergeCell ref="I8:J8"/>
    <mergeCell ref="A9:B9"/>
    <mergeCell ref="D9:F9"/>
    <mergeCell ref="I9:J9"/>
    <mergeCell ref="A10:B10"/>
    <mergeCell ref="D10:F10"/>
    <mergeCell ref="I10:J10"/>
    <mergeCell ref="A11:B11"/>
    <mergeCell ref="A12:B12"/>
    <mergeCell ref="A19:B19"/>
    <mergeCell ref="D19:F19"/>
    <mergeCell ref="D14:E14"/>
    <mergeCell ref="I14:J14"/>
    <mergeCell ref="I15:J15"/>
    <mergeCell ref="A16:B16"/>
    <mergeCell ref="D16:F16"/>
    <mergeCell ref="I16:J16"/>
    <mergeCell ref="A17:B17"/>
    <mergeCell ref="D17:F17"/>
    <mergeCell ref="H17:J17"/>
    <mergeCell ref="A18:B18"/>
    <mergeCell ref="D18:F18"/>
    <mergeCell ref="A20:B20"/>
    <mergeCell ref="D20:F20"/>
    <mergeCell ref="A21:B21"/>
    <mergeCell ref="D21:F21"/>
    <mergeCell ref="A22:B22"/>
    <mergeCell ref="D22:F22"/>
    <mergeCell ref="D33:F33"/>
    <mergeCell ref="A23:B23"/>
    <mergeCell ref="D23:F23"/>
    <mergeCell ref="E26:F26"/>
    <mergeCell ref="D27:F27"/>
    <mergeCell ref="D28:F28"/>
    <mergeCell ref="D32:F32"/>
  </mergeCells>
  <dataValidations count="3">
    <dataValidation type="list" allowBlank="1" showInputMessage="1" showErrorMessage="1" sqref="J12" xr:uid="{B09CF124-6D71-48B5-92E5-728C8B8E5CD0}">
      <formula1>$O$9:$O$14</formula1>
    </dataValidation>
    <dataValidation type="list" allowBlank="1" showInputMessage="1" showErrorMessage="1" sqref="J11" xr:uid="{80FCD656-5775-4307-9C73-D7D0A0A3BD16}">
      <formula1>$M$2:$M$22</formula1>
    </dataValidation>
    <dataValidation type="list" allowBlank="1" showInputMessage="1" showErrorMessage="1" sqref="A2:F2" xr:uid="{C7BA7DC7-1690-48D3-AD43-938A2E461024}">
      <formula1>"SERTIFIKAT KALIBRASI,SERTIFIKAT PENGUJIAN"</formula1>
    </dataValidation>
  </dataValidations>
  <pageMargins left="0.6" right="0.3" top="1.57" bottom="0" header="0.5" footer="0.6"/>
  <pageSetup paperSize="9" orientation="portrait" horizontalDpi="0" verticalDpi="0" r:id="rId1"/>
  <headerFooter>
    <oddFooter>&amp;L&amp;"Times New Roman,Bold"Sertifikat ini terdiri dari 2 halaman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RIWAYAT REVISI</vt:lpstr>
      <vt:lpstr>KETERANGAN</vt:lpstr>
      <vt:lpstr>SERTIFIKAT DPM</vt:lpstr>
      <vt:lpstr>ID</vt:lpstr>
      <vt:lpstr>LK</vt:lpstr>
      <vt:lpstr>SERTIFIKAT STOPWATCH</vt:lpstr>
      <vt:lpstr>RESOLUSI STANDAR</vt:lpstr>
      <vt:lpstr>SERTIFIKAT THERMOHYGROMETER</vt:lpstr>
      <vt:lpstr>DATA 1</vt:lpstr>
      <vt:lpstr>INTERPOLASI  </vt:lpstr>
      <vt:lpstr>LH</vt:lpstr>
      <vt:lpstr>BUDGET NAIK</vt:lpstr>
      <vt:lpstr>BUDGET TURUN</vt:lpstr>
      <vt:lpstr>PENYELIA</vt:lpstr>
      <vt:lpstr>SERTIFIKAT</vt:lpstr>
      <vt:lpstr>'BUDGET NAIK'!Print_Area</vt:lpstr>
      <vt:lpstr>'BUDGET TURUN'!Print_Area</vt:lpstr>
      <vt:lpstr>ID!Print_Area</vt:lpstr>
      <vt:lpstr>LH!Print_Area</vt:lpstr>
      <vt:lpstr>LK!Print_Area</vt:lpstr>
      <vt:lpstr>PENYELIA!Print_Area</vt:lpstr>
      <vt:lpstr>SERTIFIKAT!Print_Area</vt:lpstr>
    </vt:vector>
  </TitlesOfParts>
  <Company>BPFK Surabaya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27 MEI 2013</dc:title>
  <dc:creator>RANGGA</dc:creator>
  <cp:lastModifiedBy>Developer</cp:lastModifiedBy>
  <cp:lastPrinted>2022-10-04T03:56:27Z</cp:lastPrinted>
  <dcterms:created xsi:type="dcterms:W3CDTF">2003-12-09T09:04:15Z</dcterms:created>
  <dcterms:modified xsi:type="dcterms:W3CDTF">2024-01-15T03:51:35Z</dcterms:modified>
</cp:coreProperties>
</file>