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870AD4AA-270C-4759-953F-6B5578B77695}" xr6:coauthVersionLast="45" xr6:coauthVersionMax="47" xr10:uidLastSave="{00000000-0000-0000-0000-000000000000}"/>
  <bookViews>
    <workbookView xWindow="28680" yWindow="-45" windowWidth="29040" windowHeight="15720" firstSheet="3" activeTab="3" xr2:uid="{00000000-000D-0000-FFFF-FFFF00000000}"/>
  </bookViews>
  <sheets>
    <sheet name="Sheet1" sheetId="1" state="hidden" r:id="rId1"/>
    <sheet name="LK" sheetId="5" r:id="rId2"/>
    <sheet name="Riwayat Revisi" sheetId="16" r:id="rId3"/>
    <sheet name="ID" sheetId="4" r:id="rId4"/>
    <sheet name="Cetik Cetik" sheetId="10" r:id="rId5"/>
    <sheet name="Sertifikat " sheetId="14" r:id="rId6"/>
    <sheet name="BUDGETING" sheetId="2" r:id="rId7"/>
    <sheet name="PENYELIA" sheetId="6" r:id="rId8"/>
    <sheet name="LH" sheetId="9" r:id="rId9"/>
    <sheet name="SERTIFIKAT" sheetId="17" state="hidden" r:id="rId10"/>
    <sheet name="DB Thermohygro" sheetId="15" r:id="rId11"/>
  </sheets>
  <externalReferences>
    <externalReference r:id="rId12"/>
  </externalReferences>
  <definedNames>
    <definedName name="_xlnm.Print_Area" localSheetId="6">BUDGETING!$A$1:$K$72</definedName>
    <definedName name="_xlnm.Print_Area" localSheetId="4">'Cetik Cetik'!$B$50:$B$68</definedName>
    <definedName name="_xlnm.Print_Area" localSheetId="10">'DB Thermohygro'!$A$1:$O$199,'DB Thermohygro'!$A$337:$O$351</definedName>
    <definedName name="_xlnm.Print_Area" localSheetId="3">ID!$A$1:$K$73</definedName>
    <definedName name="_xlnm.Print_Area" localSheetId="8">LH!$A$1:$M$73</definedName>
    <definedName name="_xlnm.Print_Area" localSheetId="1">LK!$A$1:$I$66</definedName>
    <definedName name="_xlnm.Print_Area" localSheetId="7">PENYELIA!$A$1:$M$66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9" l="1"/>
  <c r="C42" i="9"/>
  <c r="G42" i="9"/>
  <c r="B33" i="9"/>
  <c r="H15" i="9"/>
  <c r="H16" i="9" s="1"/>
  <c r="F15" i="9"/>
  <c r="F16" i="9" s="1"/>
  <c r="D15" i="9"/>
  <c r="D16" i="9" s="1"/>
  <c r="B50" i="17"/>
  <c r="B45" i="17"/>
  <c r="B46" i="17" s="1"/>
  <c r="B43" i="17"/>
  <c r="E26" i="17"/>
  <c r="D23" i="17"/>
  <c r="D21" i="17"/>
  <c r="D20" i="17"/>
  <c r="D19" i="17"/>
  <c r="B54" i="17" s="1"/>
  <c r="B55" i="17" s="1"/>
  <c r="D18" i="17"/>
  <c r="D17" i="17"/>
  <c r="D12" i="17"/>
  <c r="D10" i="17"/>
  <c r="D9" i="17"/>
  <c r="D8" i="17"/>
  <c r="A3" i="17"/>
  <c r="F6" i="17" s="1"/>
  <c r="B58" i="17" l="1"/>
  <c r="B59" i="17"/>
  <c r="B57" i="17" s="1"/>
  <c r="G73" i="4" l="1"/>
  <c r="D9" i="4"/>
  <c r="C33" i="14"/>
  <c r="C34" i="14"/>
  <c r="C35" i="14"/>
  <c r="C32" i="14"/>
  <c r="C20" i="14"/>
  <c r="C19" i="14"/>
  <c r="C21" i="14"/>
  <c r="C18" i="14"/>
  <c r="C6" i="14"/>
  <c r="H35" i="4"/>
  <c r="H36" i="4"/>
  <c r="H37" i="4"/>
  <c r="H38" i="4"/>
  <c r="O42" i="6" l="1"/>
  <c r="I42" i="9" l="1"/>
  <c r="F76" i="14" l="1"/>
  <c r="F66" i="14"/>
  <c r="F56" i="14"/>
  <c r="F46" i="14"/>
  <c r="B89" i="10"/>
  <c r="C104" i="10"/>
  <c r="M104" i="10"/>
  <c r="T104" i="10"/>
  <c r="B104" i="10"/>
  <c r="B80" i="10" s="1"/>
  <c r="C76" i="14"/>
  <c r="E76" i="14"/>
  <c r="B76" i="14"/>
  <c r="E66" i="14"/>
  <c r="C66" i="14"/>
  <c r="B66" i="14"/>
  <c r="C56" i="14"/>
  <c r="E56" i="14"/>
  <c r="B56" i="14"/>
  <c r="E46" i="14"/>
  <c r="C46" i="14"/>
  <c r="B46" i="14"/>
  <c r="E35" i="14"/>
  <c r="D76" i="14" s="1"/>
  <c r="E34" i="14"/>
  <c r="D66" i="14" s="1"/>
  <c r="E33" i="14"/>
  <c r="D56" i="14" s="1"/>
  <c r="E32" i="14"/>
  <c r="D46" i="14" s="1"/>
  <c r="B36" i="9"/>
  <c r="B35" i="9"/>
  <c r="B34" i="9"/>
  <c r="B32" i="9"/>
  <c r="B28" i="9"/>
  <c r="B27" i="9"/>
  <c r="B36" i="6" l="1"/>
  <c r="B35" i="6"/>
  <c r="B34" i="6"/>
  <c r="B33" i="6"/>
  <c r="B32" i="6"/>
  <c r="B28" i="6" l="1"/>
  <c r="B27" i="6"/>
  <c r="I65" i="9" l="1"/>
  <c r="J72" i="9"/>
  <c r="C41" i="14" l="1"/>
  <c r="C64" i="14"/>
  <c r="B59" i="2"/>
  <c r="B44" i="2"/>
  <c r="B30" i="2"/>
  <c r="B16" i="2"/>
  <c r="B2" i="2"/>
  <c r="F4" i="14"/>
  <c r="B64" i="14" l="1"/>
  <c r="K136" i="15" l="1"/>
  <c r="B54" i="14"/>
  <c r="C54" i="14"/>
  <c r="P21" i="14"/>
  <c r="P20" i="14"/>
  <c r="P19" i="14"/>
  <c r="P18" i="14"/>
  <c r="D8" i="6"/>
  <c r="D8" i="9" s="1"/>
  <c r="C8" i="6"/>
  <c r="C8" i="9" s="1"/>
  <c r="A8" i="6"/>
  <c r="A8" i="9" s="1"/>
  <c r="C101" i="10" l="1"/>
  <c r="M101" i="10"/>
  <c r="T101" i="10"/>
  <c r="C102" i="10"/>
  <c r="M102" i="10"/>
  <c r="T102" i="10"/>
  <c r="T103" i="10"/>
  <c r="M103" i="10"/>
  <c r="C103" i="10"/>
  <c r="E28" i="14"/>
  <c r="E27" i="14"/>
  <c r="E26" i="14"/>
  <c r="E25" i="14"/>
  <c r="E21" i="14"/>
  <c r="E20" i="14"/>
  <c r="E19" i="14"/>
  <c r="E18" i="14"/>
  <c r="N7" i="14"/>
  <c r="N6" i="14"/>
  <c r="N5" i="14"/>
  <c r="N4" i="14"/>
  <c r="N14" i="14"/>
  <c r="N13" i="14"/>
  <c r="N12" i="14"/>
  <c r="N11" i="14"/>
  <c r="N21" i="14"/>
  <c r="N20" i="14"/>
  <c r="N19" i="14"/>
  <c r="N18" i="14"/>
  <c r="D44" i="14" s="1"/>
  <c r="G14" i="14" l="1"/>
  <c r="G13" i="14"/>
  <c r="G12" i="14"/>
  <c r="G11" i="14"/>
  <c r="E14" i="14"/>
  <c r="E13" i="14"/>
  <c r="E12" i="14"/>
  <c r="E11" i="14"/>
  <c r="C4" i="14"/>
  <c r="E4" i="14" s="1"/>
  <c r="F7" i="14" l="1"/>
  <c r="E69" i="14" s="1"/>
  <c r="C7" i="14"/>
  <c r="B69" i="14" s="1"/>
  <c r="F6" i="14"/>
  <c r="E59" i="14" s="1"/>
  <c r="C5" i="14"/>
  <c r="B49" i="14" s="1"/>
  <c r="F5" i="14"/>
  <c r="E49" i="14" s="1"/>
  <c r="D49" i="14" s="1"/>
  <c r="E39" i="14"/>
  <c r="D39" i="14"/>
  <c r="D58" i="4"/>
  <c r="G44" i="4"/>
  <c r="K334" i="15"/>
  <c r="L334" i="15"/>
  <c r="J334" i="15"/>
  <c r="D334" i="15"/>
  <c r="E334" i="15"/>
  <c r="D335" i="15"/>
  <c r="E335" i="15"/>
  <c r="C334" i="15"/>
  <c r="K315" i="15"/>
  <c r="L315" i="15"/>
  <c r="J315" i="15"/>
  <c r="D315" i="15"/>
  <c r="E315" i="15"/>
  <c r="C315" i="15"/>
  <c r="K296" i="15"/>
  <c r="L296" i="15"/>
  <c r="J296" i="15"/>
  <c r="D296" i="15"/>
  <c r="E296" i="15"/>
  <c r="C296" i="15"/>
  <c r="K277" i="15"/>
  <c r="L277" i="15"/>
  <c r="J277" i="15"/>
  <c r="D277" i="15"/>
  <c r="E277" i="15"/>
  <c r="C277" i="15"/>
  <c r="K258" i="15"/>
  <c r="L258" i="15"/>
  <c r="J258" i="15"/>
  <c r="D259" i="15"/>
  <c r="E259" i="15"/>
  <c r="C259" i="15"/>
  <c r="D258" i="15"/>
  <c r="E258" i="15"/>
  <c r="C258" i="15"/>
  <c r="K239" i="15"/>
  <c r="L239" i="15"/>
  <c r="J239" i="15"/>
  <c r="D239" i="15"/>
  <c r="E239" i="15"/>
  <c r="C239" i="15"/>
  <c r="P241" i="15"/>
  <c r="P242" i="15"/>
  <c r="P220" i="15"/>
  <c r="P219" i="15"/>
  <c r="K220" i="15"/>
  <c r="L220" i="15"/>
  <c r="J220" i="15"/>
  <c r="D220" i="15"/>
  <c r="E220" i="15"/>
  <c r="C220" i="15"/>
  <c r="J373" i="15"/>
  <c r="I373" i="15"/>
  <c r="K333" i="15"/>
  <c r="L333" i="15"/>
  <c r="J333" i="15"/>
  <c r="D333" i="15"/>
  <c r="E333" i="15"/>
  <c r="C333" i="15"/>
  <c r="K314" i="15"/>
  <c r="L314" i="15"/>
  <c r="J314" i="15"/>
  <c r="D314" i="15"/>
  <c r="E314" i="15"/>
  <c r="C314" i="15"/>
  <c r="K295" i="15"/>
  <c r="L295" i="15"/>
  <c r="J295" i="15"/>
  <c r="D295" i="15"/>
  <c r="E295" i="15"/>
  <c r="C295" i="15"/>
  <c r="K276" i="15"/>
  <c r="L276" i="15"/>
  <c r="J276" i="15"/>
  <c r="D276" i="15"/>
  <c r="E276" i="15"/>
  <c r="C276" i="15"/>
  <c r="K257" i="15"/>
  <c r="L257" i="15"/>
  <c r="J257" i="15"/>
  <c r="D257" i="15"/>
  <c r="E257" i="15"/>
  <c r="C257" i="15"/>
  <c r="K238" i="15"/>
  <c r="L238" i="15"/>
  <c r="J238" i="15"/>
  <c r="D238" i="15"/>
  <c r="E238" i="15"/>
  <c r="C238" i="15"/>
  <c r="P240" i="15"/>
  <c r="P218" i="15"/>
  <c r="D219" i="15"/>
  <c r="E219" i="15"/>
  <c r="C219" i="15"/>
  <c r="K219" i="15"/>
  <c r="L219" i="15"/>
  <c r="J219" i="15"/>
  <c r="J372" i="15"/>
  <c r="I372" i="15"/>
  <c r="K332" i="15"/>
  <c r="L332" i="15"/>
  <c r="J332" i="15"/>
  <c r="D332" i="15"/>
  <c r="E332" i="15"/>
  <c r="C332" i="15"/>
  <c r="K313" i="15"/>
  <c r="L313" i="15"/>
  <c r="J313" i="15"/>
  <c r="D313" i="15"/>
  <c r="E313" i="15"/>
  <c r="C313" i="15"/>
  <c r="K294" i="15"/>
  <c r="L294" i="15"/>
  <c r="J294" i="15"/>
  <c r="D294" i="15"/>
  <c r="E294" i="15"/>
  <c r="C294" i="15"/>
  <c r="K275" i="15"/>
  <c r="L275" i="15"/>
  <c r="J275" i="15"/>
  <c r="D275" i="15"/>
  <c r="E275" i="15"/>
  <c r="C275" i="15"/>
  <c r="K256" i="15"/>
  <c r="L256" i="15"/>
  <c r="J256" i="15"/>
  <c r="D256" i="15"/>
  <c r="E256" i="15"/>
  <c r="C256" i="15"/>
  <c r="K237" i="15"/>
  <c r="L237" i="15"/>
  <c r="J237" i="15"/>
  <c r="D237" i="15"/>
  <c r="E237" i="15"/>
  <c r="C237" i="15"/>
  <c r="P239" i="15"/>
  <c r="P217" i="15"/>
  <c r="K218" i="15"/>
  <c r="L218" i="15"/>
  <c r="J218" i="15"/>
  <c r="D218" i="15"/>
  <c r="E218" i="15"/>
  <c r="C218" i="15"/>
  <c r="J371" i="15"/>
  <c r="I371" i="15"/>
  <c r="K331" i="15"/>
  <c r="L331" i="15"/>
  <c r="J331" i="15"/>
  <c r="D331" i="15"/>
  <c r="E331" i="15"/>
  <c r="C331" i="15"/>
  <c r="K312" i="15"/>
  <c r="L312" i="15"/>
  <c r="J312" i="15"/>
  <c r="D312" i="15"/>
  <c r="E312" i="15"/>
  <c r="C312" i="15"/>
  <c r="K293" i="15"/>
  <c r="L293" i="15"/>
  <c r="J293" i="15"/>
  <c r="D293" i="15"/>
  <c r="E293" i="15"/>
  <c r="C293" i="15"/>
  <c r="K274" i="15"/>
  <c r="L274" i="15"/>
  <c r="J274" i="15"/>
  <c r="D274" i="15"/>
  <c r="E274" i="15"/>
  <c r="C274" i="15"/>
  <c r="K255" i="15"/>
  <c r="L255" i="15"/>
  <c r="J255" i="15"/>
  <c r="D255" i="15"/>
  <c r="E255" i="15"/>
  <c r="C255" i="15"/>
  <c r="K236" i="15"/>
  <c r="L236" i="15"/>
  <c r="J236" i="15"/>
  <c r="D236" i="15"/>
  <c r="E236" i="15"/>
  <c r="C236" i="15"/>
  <c r="P238" i="15"/>
  <c r="P216" i="15"/>
  <c r="K217" i="15"/>
  <c r="L217" i="15"/>
  <c r="J217" i="15"/>
  <c r="D217" i="15"/>
  <c r="E217" i="15"/>
  <c r="C217" i="15"/>
  <c r="C221" i="15"/>
  <c r="J370" i="15"/>
  <c r="I370" i="15"/>
  <c r="K330" i="15"/>
  <c r="L330" i="15"/>
  <c r="J330" i="15"/>
  <c r="D330" i="15"/>
  <c r="E330" i="15"/>
  <c r="C330" i="15"/>
  <c r="K311" i="15"/>
  <c r="L311" i="15"/>
  <c r="J311" i="15"/>
  <c r="D311" i="15"/>
  <c r="E311" i="15"/>
  <c r="C311" i="15"/>
  <c r="K292" i="15"/>
  <c r="L292" i="15"/>
  <c r="J292" i="15"/>
  <c r="D292" i="15"/>
  <c r="E292" i="15"/>
  <c r="C292" i="15"/>
  <c r="K273" i="15"/>
  <c r="L273" i="15"/>
  <c r="J273" i="15"/>
  <c r="D273" i="15"/>
  <c r="E273" i="15"/>
  <c r="C273" i="15"/>
  <c r="K254" i="15"/>
  <c r="L254" i="15"/>
  <c r="J254" i="15"/>
  <c r="D254" i="15"/>
  <c r="E254" i="15"/>
  <c r="C254" i="15"/>
  <c r="P237" i="15"/>
  <c r="P215" i="15"/>
  <c r="K235" i="15"/>
  <c r="L235" i="15"/>
  <c r="J235" i="15"/>
  <c r="D235" i="15"/>
  <c r="E235" i="15"/>
  <c r="C235" i="15"/>
  <c r="K216" i="15"/>
  <c r="L216" i="15"/>
  <c r="J216" i="15"/>
  <c r="D216" i="15"/>
  <c r="E216" i="15"/>
  <c r="C216" i="15"/>
  <c r="J369" i="15"/>
  <c r="I369" i="15"/>
  <c r="K329" i="15"/>
  <c r="L329" i="15"/>
  <c r="J329" i="15"/>
  <c r="D329" i="15"/>
  <c r="E329" i="15"/>
  <c r="C329" i="15"/>
  <c r="K310" i="15"/>
  <c r="L310" i="15"/>
  <c r="J310" i="15"/>
  <c r="D310" i="15"/>
  <c r="E310" i="15"/>
  <c r="C310" i="15"/>
  <c r="K291" i="15"/>
  <c r="L291" i="15"/>
  <c r="J291" i="15"/>
  <c r="D291" i="15"/>
  <c r="E291" i="15"/>
  <c r="C291" i="15"/>
  <c r="K272" i="15"/>
  <c r="L272" i="15"/>
  <c r="J272" i="15"/>
  <c r="D272" i="15"/>
  <c r="E272" i="15"/>
  <c r="C272" i="15"/>
  <c r="K253" i="15"/>
  <c r="L253" i="15"/>
  <c r="J253" i="15"/>
  <c r="D253" i="15"/>
  <c r="E253" i="15"/>
  <c r="C253" i="15"/>
  <c r="P236" i="15"/>
  <c r="K234" i="15"/>
  <c r="L234" i="15"/>
  <c r="J234" i="15"/>
  <c r="D234" i="15"/>
  <c r="E234" i="15"/>
  <c r="C234" i="15"/>
  <c r="J368" i="15"/>
  <c r="I368" i="15"/>
  <c r="L187" i="15"/>
  <c r="M334" i="15" s="1"/>
  <c r="F187" i="15"/>
  <c r="F334" i="15" s="1"/>
  <c r="L186" i="15"/>
  <c r="M315" i="15" s="1"/>
  <c r="F186" i="15"/>
  <c r="F315" i="15" s="1"/>
  <c r="L185" i="15"/>
  <c r="M296" i="15" s="1"/>
  <c r="F185" i="15"/>
  <c r="F296" i="15" s="1"/>
  <c r="L184" i="15"/>
  <c r="M277" i="15" s="1"/>
  <c r="F184" i="15"/>
  <c r="F277" i="15" s="1"/>
  <c r="L183" i="15"/>
  <c r="M258" i="15" s="1"/>
  <c r="F183" i="15"/>
  <c r="F258" i="15" s="1"/>
  <c r="L182" i="15"/>
  <c r="M239" i="15" s="1"/>
  <c r="F182" i="15"/>
  <c r="F239" i="15" s="1"/>
  <c r="L181" i="15"/>
  <c r="M220" i="15" s="1"/>
  <c r="F181" i="15"/>
  <c r="F220" i="15" s="1"/>
  <c r="K180" i="15"/>
  <c r="J180" i="15"/>
  <c r="H178" i="15"/>
  <c r="P214" i="15"/>
  <c r="K215" i="15"/>
  <c r="L215" i="15"/>
  <c r="J215" i="15"/>
  <c r="D215" i="15"/>
  <c r="E215" i="15"/>
  <c r="C215" i="15"/>
  <c r="L176" i="15"/>
  <c r="M333" i="15" s="1"/>
  <c r="F176" i="15"/>
  <c r="F333" i="15" s="1"/>
  <c r="L175" i="15"/>
  <c r="M314" i="15" s="1"/>
  <c r="F175" i="15"/>
  <c r="F314" i="15" s="1"/>
  <c r="L174" i="15"/>
  <c r="M295" i="15" s="1"/>
  <c r="F174" i="15"/>
  <c r="F295" i="15" s="1"/>
  <c r="L173" i="15"/>
  <c r="M276" i="15" s="1"/>
  <c r="F173" i="15"/>
  <c r="F276" i="15" s="1"/>
  <c r="L172" i="15"/>
  <c r="M257" i="15" s="1"/>
  <c r="F172" i="15"/>
  <c r="F257" i="15" s="1"/>
  <c r="L171" i="15"/>
  <c r="M238" i="15" s="1"/>
  <c r="F171" i="15"/>
  <c r="F238" i="15" s="1"/>
  <c r="L170" i="15"/>
  <c r="M219" i="15" s="1"/>
  <c r="F170" i="15"/>
  <c r="F219" i="15" s="1"/>
  <c r="K169" i="15"/>
  <c r="J169" i="15"/>
  <c r="H167" i="15"/>
  <c r="L165" i="15"/>
  <c r="M332" i="15" s="1"/>
  <c r="F165" i="15"/>
  <c r="F332" i="15" s="1"/>
  <c r="L164" i="15"/>
  <c r="M313" i="15" s="1"/>
  <c r="F164" i="15"/>
  <c r="F313" i="15" s="1"/>
  <c r="L163" i="15"/>
  <c r="M294" i="15" s="1"/>
  <c r="F163" i="15"/>
  <c r="F294" i="15" s="1"/>
  <c r="L162" i="15"/>
  <c r="M275" i="15" s="1"/>
  <c r="F162" i="15"/>
  <c r="F275" i="15" s="1"/>
  <c r="L161" i="15"/>
  <c r="M256" i="15" s="1"/>
  <c r="F161" i="15"/>
  <c r="F256" i="15" s="1"/>
  <c r="L160" i="15"/>
  <c r="M237" i="15" s="1"/>
  <c r="F160" i="15"/>
  <c r="F237" i="15" s="1"/>
  <c r="L159" i="15"/>
  <c r="M218" i="15" s="1"/>
  <c r="F159" i="15"/>
  <c r="F218" i="15" s="1"/>
  <c r="K158" i="15"/>
  <c r="J158" i="15"/>
  <c r="H156" i="15"/>
  <c r="L154" i="15"/>
  <c r="M331" i="15" s="1"/>
  <c r="F154" i="15"/>
  <c r="F331" i="15" s="1"/>
  <c r="L153" i="15"/>
  <c r="M312" i="15" s="1"/>
  <c r="F153" i="15"/>
  <c r="F312" i="15" s="1"/>
  <c r="L152" i="15"/>
  <c r="M293" i="15" s="1"/>
  <c r="F152" i="15"/>
  <c r="F293" i="15" s="1"/>
  <c r="L151" i="15"/>
  <c r="M274" i="15" s="1"/>
  <c r="F151" i="15"/>
  <c r="F274" i="15" s="1"/>
  <c r="L150" i="15"/>
  <c r="M255" i="15" s="1"/>
  <c r="F150" i="15"/>
  <c r="F255" i="15" s="1"/>
  <c r="L149" i="15"/>
  <c r="M236" i="15" s="1"/>
  <c r="F149" i="15"/>
  <c r="F236" i="15" s="1"/>
  <c r="L148" i="15"/>
  <c r="M217" i="15" s="1"/>
  <c r="F148" i="15"/>
  <c r="F217" i="15" s="1"/>
  <c r="K147" i="15"/>
  <c r="J147" i="15"/>
  <c r="H145" i="15"/>
  <c r="L143" i="15"/>
  <c r="M330" i="15" s="1"/>
  <c r="F143" i="15"/>
  <c r="F330" i="15" s="1"/>
  <c r="L142" i="15"/>
  <c r="M311" i="15" s="1"/>
  <c r="F142" i="15"/>
  <c r="F311" i="15" s="1"/>
  <c r="L141" i="15"/>
  <c r="M292" i="15" s="1"/>
  <c r="F141" i="15"/>
  <c r="F292" i="15" s="1"/>
  <c r="L140" i="15"/>
  <c r="M273" i="15" s="1"/>
  <c r="F140" i="15"/>
  <c r="F273" i="15" s="1"/>
  <c r="L139" i="15"/>
  <c r="M254" i="15" s="1"/>
  <c r="F139" i="15"/>
  <c r="F254" i="15" s="1"/>
  <c r="L138" i="15"/>
  <c r="M235" i="15" s="1"/>
  <c r="F138" i="15"/>
  <c r="F235" i="15" s="1"/>
  <c r="L137" i="15"/>
  <c r="M216" i="15" s="1"/>
  <c r="F137" i="15"/>
  <c r="F216" i="15" s="1"/>
  <c r="J136" i="15"/>
  <c r="H134" i="15"/>
  <c r="L132" i="15"/>
  <c r="M329" i="15" s="1"/>
  <c r="F132" i="15"/>
  <c r="F329" i="15" s="1"/>
  <c r="L131" i="15"/>
  <c r="M310" i="15" s="1"/>
  <c r="F131" i="15"/>
  <c r="F310" i="15" s="1"/>
  <c r="L130" i="15"/>
  <c r="M291" i="15" s="1"/>
  <c r="F130" i="15"/>
  <c r="F291" i="15" s="1"/>
  <c r="L129" i="15"/>
  <c r="M272" i="15" s="1"/>
  <c r="F129" i="15"/>
  <c r="F272" i="15" s="1"/>
  <c r="L128" i="15"/>
  <c r="M253" i="15" s="1"/>
  <c r="F128" i="15"/>
  <c r="F253" i="15" s="1"/>
  <c r="L127" i="15"/>
  <c r="M234" i="15" s="1"/>
  <c r="F127" i="15"/>
  <c r="F234" i="15" s="1"/>
  <c r="L126" i="15"/>
  <c r="M215" i="15" s="1"/>
  <c r="F126" i="15"/>
  <c r="F215" i="15" s="1"/>
  <c r="K125" i="15"/>
  <c r="J125" i="15"/>
  <c r="H123" i="15"/>
  <c r="B103" i="10"/>
  <c r="B79" i="10" s="1"/>
  <c r="D55" i="14"/>
  <c r="D75" i="14"/>
  <c r="D45" i="14"/>
  <c r="D64" i="14"/>
  <c r="D74" i="14"/>
  <c r="F64" i="14"/>
  <c r="B102" i="10"/>
  <c r="B78" i="10" s="1"/>
  <c r="B101" i="10"/>
  <c r="B77" i="10" s="1"/>
  <c r="A80" i="14"/>
  <c r="F53" i="14"/>
  <c r="F43" i="14"/>
  <c r="F73" i="14"/>
  <c r="D53" i="14"/>
  <c r="D63" i="14"/>
  <c r="D73" i="14"/>
  <c r="B76" i="10"/>
  <c r="B75" i="10"/>
  <c r="B74" i="10"/>
  <c r="B73" i="10"/>
  <c r="F75" i="14"/>
  <c r="E75" i="14"/>
  <c r="C75" i="14"/>
  <c r="B75" i="14"/>
  <c r="F74" i="14"/>
  <c r="E74" i="14"/>
  <c r="C74" i="14"/>
  <c r="B74" i="14"/>
  <c r="E73" i="14"/>
  <c r="C73" i="14"/>
  <c r="B73" i="14"/>
  <c r="E72" i="14"/>
  <c r="C72" i="14"/>
  <c r="B72" i="14"/>
  <c r="F72" i="14" s="1"/>
  <c r="E71" i="14"/>
  <c r="D71" i="14"/>
  <c r="C71" i="14"/>
  <c r="B71" i="14"/>
  <c r="F71" i="14" s="1"/>
  <c r="E70" i="14"/>
  <c r="C70" i="14"/>
  <c r="F70" i="14" s="1"/>
  <c r="B70" i="14"/>
  <c r="C69" i="14"/>
  <c r="F69" i="14" s="1"/>
  <c r="F65" i="14"/>
  <c r="E65" i="14"/>
  <c r="D65" i="14"/>
  <c r="C65" i="14"/>
  <c r="B65" i="14"/>
  <c r="E64" i="14"/>
  <c r="E63" i="14"/>
  <c r="C63" i="14"/>
  <c r="E62" i="14"/>
  <c r="D62" i="14"/>
  <c r="C62" i="14"/>
  <c r="B62" i="14"/>
  <c r="F62" i="14" s="1"/>
  <c r="E61" i="14"/>
  <c r="D61" i="14"/>
  <c r="C61" i="14"/>
  <c r="B61" i="14"/>
  <c r="F61" i="14" s="1"/>
  <c r="E60" i="14"/>
  <c r="C60" i="14"/>
  <c r="F60" i="14" s="1"/>
  <c r="B60" i="14"/>
  <c r="C59" i="14"/>
  <c r="F59" i="14" s="1"/>
  <c r="B59" i="14"/>
  <c r="F55" i="14"/>
  <c r="E55" i="14"/>
  <c r="C55" i="14"/>
  <c r="B55" i="14"/>
  <c r="F54" i="14"/>
  <c r="E54" i="14"/>
  <c r="D54" i="14"/>
  <c r="E53" i="14"/>
  <c r="C53" i="14"/>
  <c r="B53" i="14"/>
  <c r="E52" i="14"/>
  <c r="D52" i="14" s="1"/>
  <c r="C52" i="14"/>
  <c r="B52" i="14"/>
  <c r="F52" i="14" s="1"/>
  <c r="E51" i="14"/>
  <c r="D51" i="14" s="1"/>
  <c r="C51" i="14"/>
  <c r="B51" i="14"/>
  <c r="F51" i="14" s="1"/>
  <c r="E50" i="14"/>
  <c r="D50" i="14" s="1"/>
  <c r="C50" i="14"/>
  <c r="F50" i="14" s="1"/>
  <c r="B50" i="14"/>
  <c r="C49" i="14"/>
  <c r="F49" i="14" s="1"/>
  <c r="F45" i="14"/>
  <c r="E45" i="14"/>
  <c r="C45" i="14"/>
  <c r="B45" i="14"/>
  <c r="F44" i="14"/>
  <c r="E44" i="14"/>
  <c r="C44" i="14"/>
  <c r="B44" i="14"/>
  <c r="E43" i="14"/>
  <c r="D43" i="14"/>
  <c r="C43" i="14"/>
  <c r="B43" i="14"/>
  <c r="E42" i="14"/>
  <c r="D42" i="14"/>
  <c r="C42" i="14"/>
  <c r="B42" i="14"/>
  <c r="F42" i="14" s="1"/>
  <c r="E41" i="14"/>
  <c r="B41" i="14"/>
  <c r="F41" i="14" s="1"/>
  <c r="E40" i="14"/>
  <c r="C40" i="14"/>
  <c r="F40" i="14" s="1"/>
  <c r="B40" i="14"/>
  <c r="C39" i="14"/>
  <c r="F39" i="14" s="1"/>
  <c r="B39" i="14"/>
  <c r="P14" i="14"/>
  <c r="D72" i="14"/>
  <c r="D70" i="14"/>
  <c r="P13" i="14"/>
  <c r="D60" i="14"/>
  <c r="P12" i="14"/>
  <c r="P11" i="14"/>
  <c r="D40" i="14"/>
  <c r="P7" i="14"/>
  <c r="P6" i="14"/>
  <c r="E6" i="14"/>
  <c r="D59" i="14" s="1"/>
  <c r="P5" i="14"/>
  <c r="P4" i="14"/>
  <c r="D41" i="14"/>
  <c r="C89" i="10" l="1"/>
  <c r="B90" i="10" s="1"/>
  <c r="B49" i="6" s="1"/>
  <c r="E5" i="14"/>
  <c r="D80" i="14"/>
  <c r="C80" i="14"/>
  <c r="G80" i="14"/>
  <c r="H44" i="4" s="1"/>
  <c r="F80" i="14"/>
  <c r="D4" i="2" s="1"/>
  <c r="E80" i="14"/>
  <c r="D7" i="2" s="1"/>
  <c r="E7" i="14"/>
  <c r="D69" i="14" s="1"/>
  <c r="B94" i="10" l="1"/>
  <c r="B66" i="4" s="1"/>
  <c r="A85" i="14" s="1"/>
  <c r="G85" i="14" s="1"/>
  <c r="B93" i="10"/>
  <c r="B92" i="10"/>
  <c r="B65" i="4" l="1"/>
  <c r="A82" i="14" s="1"/>
  <c r="B64" i="4"/>
  <c r="A81" i="14" s="1"/>
  <c r="D85" i="14"/>
  <c r="F85" i="14"/>
  <c r="D46" i="2" s="1"/>
  <c r="E85" i="14"/>
  <c r="D49" i="2" s="1"/>
  <c r="C85" i="14"/>
  <c r="H47" i="4"/>
  <c r="E81" i="14" l="1"/>
  <c r="D21" i="2" s="1"/>
  <c r="F81" i="14"/>
  <c r="D18" i="2" s="1"/>
  <c r="F82" i="14"/>
  <c r="E82" i="14"/>
  <c r="C82" i="14"/>
  <c r="G82" i="14"/>
  <c r="G88" i="14" s="1"/>
  <c r="D82" i="14"/>
  <c r="G81" i="14"/>
  <c r="G83" i="14" s="1"/>
  <c r="H46" i="4" s="1"/>
  <c r="C81" i="14"/>
  <c r="D81" i="14"/>
  <c r="F86" i="14"/>
  <c r="E86" i="14" s="1"/>
  <c r="G86" i="14"/>
  <c r="A356" i="15"/>
  <c r="J374" i="15"/>
  <c r="I374" i="15"/>
  <c r="J367" i="15"/>
  <c r="I367" i="15"/>
  <c r="J366" i="15"/>
  <c r="I366" i="15"/>
  <c r="J365" i="15"/>
  <c r="I365" i="15"/>
  <c r="J364" i="15"/>
  <c r="I364" i="15"/>
  <c r="J363" i="15"/>
  <c r="I363" i="15"/>
  <c r="J362" i="15"/>
  <c r="I362" i="15"/>
  <c r="J361" i="15"/>
  <c r="I361" i="15"/>
  <c r="J360" i="15"/>
  <c r="I360" i="15"/>
  <c r="J359" i="15"/>
  <c r="I359" i="15"/>
  <c r="J358" i="15"/>
  <c r="I358" i="15"/>
  <c r="J357" i="15"/>
  <c r="I357" i="15"/>
  <c r="L335" i="15"/>
  <c r="K335" i="15"/>
  <c r="J335" i="15"/>
  <c r="C335" i="15"/>
  <c r="L328" i="15"/>
  <c r="K328" i="15"/>
  <c r="J328" i="15"/>
  <c r="E328" i="15"/>
  <c r="D328" i="15"/>
  <c r="C328" i="15"/>
  <c r="L327" i="15"/>
  <c r="K327" i="15"/>
  <c r="J327" i="15"/>
  <c r="E327" i="15"/>
  <c r="D327" i="15"/>
  <c r="C327" i="15"/>
  <c r="L326" i="15"/>
  <c r="K326" i="15"/>
  <c r="J326" i="15"/>
  <c r="E326" i="15"/>
  <c r="D326" i="15"/>
  <c r="C326" i="15"/>
  <c r="L325" i="15"/>
  <c r="K325" i="15"/>
  <c r="J325" i="15"/>
  <c r="E325" i="15"/>
  <c r="D325" i="15"/>
  <c r="C325" i="15"/>
  <c r="L324" i="15"/>
  <c r="K324" i="15"/>
  <c r="J324" i="15"/>
  <c r="E324" i="15"/>
  <c r="D324" i="15"/>
  <c r="C324" i="15"/>
  <c r="L323" i="15"/>
  <c r="K323" i="15"/>
  <c r="J323" i="15"/>
  <c r="E323" i="15"/>
  <c r="D323" i="15"/>
  <c r="C323" i="15"/>
  <c r="L322" i="15"/>
  <c r="K322" i="15"/>
  <c r="J322" i="15"/>
  <c r="E322" i="15"/>
  <c r="D322" i="15"/>
  <c r="C322" i="15"/>
  <c r="L321" i="15"/>
  <c r="K321" i="15"/>
  <c r="J321" i="15"/>
  <c r="E321" i="15"/>
  <c r="D321" i="15"/>
  <c r="C321" i="15"/>
  <c r="L320" i="15"/>
  <c r="K320" i="15"/>
  <c r="J320" i="15"/>
  <c r="E320" i="15"/>
  <c r="D320" i="15"/>
  <c r="C320" i="15"/>
  <c r="L319" i="15"/>
  <c r="K319" i="15"/>
  <c r="J319" i="15"/>
  <c r="E319" i="15"/>
  <c r="D319" i="15"/>
  <c r="C319" i="15"/>
  <c r="L318" i="15"/>
  <c r="K318" i="15"/>
  <c r="J318" i="15"/>
  <c r="E318" i="15"/>
  <c r="D318" i="15"/>
  <c r="C318" i="15"/>
  <c r="L316" i="15"/>
  <c r="K316" i="15"/>
  <c r="J316" i="15"/>
  <c r="E316" i="15"/>
  <c r="D316" i="15"/>
  <c r="C316" i="15"/>
  <c r="L309" i="15"/>
  <c r="K309" i="15"/>
  <c r="J309" i="15"/>
  <c r="E309" i="15"/>
  <c r="D309" i="15"/>
  <c r="C309" i="15"/>
  <c r="L308" i="15"/>
  <c r="K308" i="15"/>
  <c r="J308" i="15"/>
  <c r="E308" i="15"/>
  <c r="D308" i="15"/>
  <c r="C308" i="15"/>
  <c r="L307" i="15"/>
  <c r="K307" i="15"/>
  <c r="J307" i="15"/>
  <c r="E307" i="15"/>
  <c r="D307" i="15"/>
  <c r="C307" i="15"/>
  <c r="L306" i="15"/>
  <c r="K306" i="15"/>
  <c r="J306" i="15"/>
  <c r="E306" i="15"/>
  <c r="D306" i="15"/>
  <c r="C306" i="15"/>
  <c r="L305" i="15"/>
  <c r="K305" i="15"/>
  <c r="J305" i="15"/>
  <c r="E305" i="15"/>
  <c r="D305" i="15"/>
  <c r="C305" i="15"/>
  <c r="L304" i="15"/>
  <c r="K304" i="15"/>
  <c r="J304" i="15"/>
  <c r="E304" i="15"/>
  <c r="D304" i="15"/>
  <c r="C304" i="15"/>
  <c r="L303" i="15"/>
  <c r="K303" i="15"/>
  <c r="J303" i="15"/>
  <c r="E303" i="15"/>
  <c r="D303" i="15"/>
  <c r="C303" i="15"/>
  <c r="L302" i="15"/>
  <c r="K302" i="15"/>
  <c r="J302" i="15"/>
  <c r="E302" i="15"/>
  <c r="D302" i="15"/>
  <c r="C302" i="15"/>
  <c r="L301" i="15"/>
  <c r="K301" i="15"/>
  <c r="J301" i="15"/>
  <c r="E301" i="15"/>
  <c r="D301" i="15"/>
  <c r="C301" i="15"/>
  <c r="L300" i="15"/>
  <c r="K300" i="15"/>
  <c r="J300" i="15"/>
  <c r="E300" i="15"/>
  <c r="D300" i="15"/>
  <c r="C300" i="15"/>
  <c r="L299" i="15"/>
  <c r="K299" i="15"/>
  <c r="J299" i="15"/>
  <c r="E299" i="15"/>
  <c r="D299" i="15"/>
  <c r="C299" i="15"/>
  <c r="L297" i="15"/>
  <c r="K297" i="15"/>
  <c r="J297" i="15"/>
  <c r="E297" i="15"/>
  <c r="D297" i="15"/>
  <c r="C297" i="15"/>
  <c r="L290" i="15"/>
  <c r="K290" i="15"/>
  <c r="J290" i="15"/>
  <c r="E290" i="15"/>
  <c r="D290" i="15"/>
  <c r="C290" i="15"/>
  <c r="L289" i="15"/>
  <c r="K289" i="15"/>
  <c r="J289" i="15"/>
  <c r="E289" i="15"/>
  <c r="D289" i="15"/>
  <c r="C289" i="15"/>
  <c r="L288" i="15"/>
  <c r="K288" i="15"/>
  <c r="J288" i="15"/>
  <c r="E288" i="15"/>
  <c r="D288" i="15"/>
  <c r="C288" i="15"/>
  <c r="L287" i="15"/>
  <c r="K287" i="15"/>
  <c r="J287" i="15"/>
  <c r="E287" i="15"/>
  <c r="D287" i="15"/>
  <c r="C287" i="15"/>
  <c r="L286" i="15"/>
  <c r="K286" i="15"/>
  <c r="J286" i="15"/>
  <c r="E286" i="15"/>
  <c r="D286" i="15"/>
  <c r="C286" i="15"/>
  <c r="L285" i="15"/>
  <c r="K285" i="15"/>
  <c r="J285" i="15"/>
  <c r="E285" i="15"/>
  <c r="D285" i="15"/>
  <c r="C285" i="15"/>
  <c r="L284" i="15"/>
  <c r="K284" i="15"/>
  <c r="J284" i="15"/>
  <c r="E284" i="15"/>
  <c r="D284" i="15"/>
  <c r="C284" i="15"/>
  <c r="L283" i="15"/>
  <c r="K283" i="15"/>
  <c r="J283" i="15"/>
  <c r="E283" i="15"/>
  <c r="D283" i="15"/>
  <c r="C283" i="15"/>
  <c r="L282" i="15"/>
  <c r="K282" i="15"/>
  <c r="J282" i="15"/>
  <c r="E282" i="15"/>
  <c r="D282" i="15"/>
  <c r="C282" i="15"/>
  <c r="L281" i="15"/>
  <c r="K281" i="15"/>
  <c r="J281" i="15"/>
  <c r="E281" i="15"/>
  <c r="D281" i="15"/>
  <c r="C281" i="15"/>
  <c r="L280" i="15"/>
  <c r="K280" i="15"/>
  <c r="J280" i="15"/>
  <c r="E280" i="15"/>
  <c r="D280" i="15"/>
  <c r="C280" i="15"/>
  <c r="L278" i="15"/>
  <c r="K278" i="15"/>
  <c r="J278" i="15"/>
  <c r="E278" i="15"/>
  <c r="D278" i="15"/>
  <c r="C278" i="15"/>
  <c r="L271" i="15"/>
  <c r="K271" i="15"/>
  <c r="J271" i="15"/>
  <c r="E271" i="15"/>
  <c r="D271" i="15"/>
  <c r="C271" i="15"/>
  <c r="L270" i="15"/>
  <c r="K270" i="15"/>
  <c r="J270" i="15"/>
  <c r="E270" i="15"/>
  <c r="D270" i="15"/>
  <c r="C270" i="15"/>
  <c r="L269" i="15"/>
  <c r="K269" i="15"/>
  <c r="J269" i="15"/>
  <c r="E269" i="15"/>
  <c r="D269" i="15"/>
  <c r="C269" i="15"/>
  <c r="L268" i="15"/>
  <c r="K268" i="15"/>
  <c r="J268" i="15"/>
  <c r="E268" i="15"/>
  <c r="D268" i="15"/>
  <c r="C268" i="15"/>
  <c r="L267" i="15"/>
  <c r="K267" i="15"/>
  <c r="J267" i="15"/>
  <c r="E267" i="15"/>
  <c r="D267" i="15"/>
  <c r="C267" i="15"/>
  <c r="L266" i="15"/>
  <c r="K266" i="15"/>
  <c r="J266" i="15"/>
  <c r="E266" i="15"/>
  <c r="D266" i="15"/>
  <c r="C266" i="15"/>
  <c r="L265" i="15"/>
  <c r="K265" i="15"/>
  <c r="J265" i="15"/>
  <c r="E265" i="15"/>
  <c r="D265" i="15"/>
  <c r="C265" i="15"/>
  <c r="L264" i="15"/>
  <c r="K264" i="15"/>
  <c r="J264" i="15"/>
  <c r="E264" i="15"/>
  <c r="D264" i="15"/>
  <c r="C264" i="15"/>
  <c r="L263" i="15"/>
  <c r="K263" i="15"/>
  <c r="J263" i="15"/>
  <c r="E263" i="15"/>
  <c r="D263" i="15"/>
  <c r="C263" i="15"/>
  <c r="L262" i="15"/>
  <c r="K262" i="15"/>
  <c r="J262" i="15"/>
  <c r="E262" i="15"/>
  <c r="D262" i="15"/>
  <c r="C262" i="15"/>
  <c r="L261" i="15"/>
  <c r="K261" i="15"/>
  <c r="J261" i="15"/>
  <c r="E261" i="15"/>
  <c r="D261" i="15"/>
  <c r="C261" i="15"/>
  <c r="L259" i="15"/>
  <c r="K259" i="15"/>
  <c r="J259" i="15"/>
  <c r="L252" i="15"/>
  <c r="K252" i="15"/>
  <c r="J252" i="15"/>
  <c r="E252" i="15"/>
  <c r="D252" i="15"/>
  <c r="C252" i="15"/>
  <c r="L251" i="15"/>
  <c r="K251" i="15"/>
  <c r="J251" i="15"/>
  <c r="E251" i="15"/>
  <c r="D251" i="15"/>
  <c r="C251" i="15"/>
  <c r="L250" i="15"/>
  <c r="K250" i="15"/>
  <c r="J250" i="15"/>
  <c r="E250" i="15"/>
  <c r="D250" i="15"/>
  <c r="C250" i="15"/>
  <c r="L249" i="15"/>
  <c r="K249" i="15"/>
  <c r="J249" i="15"/>
  <c r="E249" i="15"/>
  <c r="D249" i="15"/>
  <c r="C249" i="15"/>
  <c r="L248" i="15"/>
  <c r="K248" i="15"/>
  <c r="J248" i="15"/>
  <c r="E248" i="15"/>
  <c r="D248" i="15"/>
  <c r="C248" i="15"/>
  <c r="L247" i="15"/>
  <c r="K247" i="15"/>
  <c r="J247" i="15"/>
  <c r="E247" i="15"/>
  <c r="D247" i="15"/>
  <c r="C247" i="15"/>
  <c r="L246" i="15"/>
  <c r="K246" i="15"/>
  <c r="J246" i="15"/>
  <c r="E246" i="15"/>
  <c r="D246" i="15"/>
  <c r="C246" i="15"/>
  <c r="L245" i="15"/>
  <c r="K245" i="15"/>
  <c r="J245" i="15"/>
  <c r="E245" i="15"/>
  <c r="D245" i="15"/>
  <c r="C245" i="15"/>
  <c r="L244" i="15"/>
  <c r="K244" i="15"/>
  <c r="J244" i="15"/>
  <c r="E244" i="15"/>
  <c r="D244" i="15"/>
  <c r="C244" i="15"/>
  <c r="L243" i="15"/>
  <c r="K243" i="15"/>
  <c r="J243" i="15"/>
  <c r="E243" i="15"/>
  <c r="D243" i="15"/>
  <c r="C243" i="15"/>
  <c r="L242" i="15"/>
  <c r="K242" i="15"/>
  <c r="J242" i="15"/>
  <c r="E242" i="15"/>
  <c r="D242" i="15"/>
  <c r="C242" i="15"/>
  <c r="P235" i="15"/>
  <c r="P234" i="15"/>
  <c r="L240" i="15"/>
  <c r="K240" i="15"/>
  <c r="J240" i="15"/>
  <c r="E240" i="15"/>
  <c r="D240" i="15"/>
  <c r="C240" i="15"/>
  <c r="P233" i="15"/>
  <c r="L233" i="15"/>
  <c r="K233" i="15"/>
  <c r="J233" i="15"/>
  <c r="E233" i="15"/>
  <c r="D233" i="15"/>
  <c r="C233" i="15"/>
  <c r="P232" i="15"/>
  <c r="L232" i="15"/>
  <c r="K232" i="15"/>
  <c r="J232" i="15"/>
  <c r="E232" i="15"/>
  <c r="D232" i="15"/>
  <c r="C232" i="15"/>
  <c r="P231" i="15"/>
  <c r="L231" i="15"/>
  <c r="K231" i="15"/>
  <c r="J231" i="15"/>
  <c r="E231" i="15"/>
  <c r="D231" i="15"/>
  <c r="C231" i="15"/>
  <c r="P230" i="15"/>
  <c r="L230" i="15"/>
  <c r="K230" i="15"/>
  <c r="J230" i="15"/>
  <c r="E230" i="15"/>
  <c r="D230" i="15"/>
  <c r="C230" i="15"/>
  <c r="P229" i="15"/>
  <c r="L229" i="15"/>
  <c r="K229" i="15"/>
  <c r="J229" i="15"/>
  <c r="E229" i="15"/>
  <c r="D229" i="15"/>
  <c r="C229" i="15"/>
  <c r="P228" i="15"/>
  <c r="L228" i="15"/>
  <c r="K228" i="15"/>
  <c r="J228" i="15"/>
  <c r="E228" i="15"/>
  <c r="D228" i="15"/>
  <c r="C228" i="15"/>
  <c r="P227" i="15"/>
  <c r="L227" i="15"/>
  <c r="K227" i="15"/>
  <c r="J227" i="15"/>
  <c r="E227" i="15"/>
  <c r="D227" i="15"/>
  <c r="C227" i="15"/>
  <c r="P226" i="15"/>
  <c r="L226" i="15"/>
  <c r="K226" i="15"/>
  <c r="J226" i="15"/>
  <c r="E226" i="15"/>
  <c r="D226" i="15"/>
  <c r="C226" i="15"/>
  <c r="P225" i="15"/>
  <c r="L225" i="15"/>
  <c r="K225" i="15"/>
  <c r="J225" i="15"/>
  <c r="E225" i="15"/>
  <c r="D225" i="15"/>
  <c r="C225" i="15"/>
  <c r="L224" i="15"/>
  <c r="K224" i="15"/>
  <c r="J224" i="15"/>
  <c r="E224" i="15"/>
  <c r="D224" i="15"/>
  <c r="C224" i="15"/>
  <c r="L223" i="15"/>
  <c r="K223" i="15"/>
  <c r="J223" i="15"/>
  <c r="E223" i="15"/>
  <c r="D223" i="15"/>
  <c r="C223" i="15"/>
  <c r="L221" i="15"/>
  <c r="K221" i="15"/>
  <c r="J221" i="15"/>
  <c r="E221" i="15"/>
  <c r="D221" i="15"/>
  <c r="L214" i="15"/>
  <c r="K214" i="15"/>
  <c r="J214" i="15"/>
  <c r="E214" i="15"/>
  <c r="D214" i="15"/>
  <c r="C214" i="15"/>
  <c r="P213" i="15"/>
  <c r="L213" i="15"/>
  <c r="K213" i="15"/>
  <c r="J213" i="15"/>
  <c r="E213" i="15"/>
  <c r="D213" i="15"/>
  <c r="C213" i="15"/>
  <c r="P212" i="15"/>
  <c r="L212" i="15"/>
  <c r="K212" i="15"/>
  <c r="J212" i="15"/>
  <c r="E212" i="15"/>
  <c r="D212" i="15"/>
  <c r="C212" i="15"/>
  <c r="P211" i="15"/>
  <c r="L211" i="15"/>
  <c r="K211" i="15"/>
  <c r="J211" i="15"/>
  <c r="E211" i="15"/>
  <c r="D211" i="15"/>
  <c r="C211" i="15"/>
  <c r="P210" i="15"/>
  <c r="L210" i="15"/>
  <c r="K210" i="15"/>
  <c r="J210" i="15"/>
  <c r="E210" i="15"/>
  <c r="D210" i="15"/>
  <c r="C210" i="15"/>
  <c r="P209" i="15"/>
  <c r="L209" i="15"/>
  <c r="K209" i="15"/>
  <c r="J209" i="15"/>
  <c r="E209" i="15"/>
  <c r="D209" i="15"/>
  <c r="C209" i="15"/>
  <c r="P208" i="15"/>
  <c r="L208" i="15"/>
  <c r="K208" i="15"/>
  <c r="J208" i="15"/>
  <c r="E208" i="15"/>
  <c r="D208" i="15"/>
  <c r="C208" i="15"/>
  <c r="P207" i="15"/>
  <c r="L207" i="15"/>
  <c r="K207" i="15"/>
  <c r="J207" i="15"/>
  <c r="E207" i="15"/>
  <c r="D207" i="15"/>
  <c r="C207" i="15"/>
  <c r="P206" i="15"/>
  <c r="L206" i="15"/>
  <c r="K206" i="15"/>
  <c r="J206" i="15"/>
  <c r="E206" i="15"/>
  <c r="D206" i="15"/>
  <c r="C206" i="15"/>
  <c r="P205" i="15"/>
  <c r="L205" i="15"/>
  <c r="K205" i="15"/>
  <c r="J205" i="15"/>
  <c r="E205" i="15"/>
  <c r="D205" i="15"/>
  <c r="C205" i="15"/>
  <c r="P204" i="15"/>
  <c r="L204" i="15"/>
  <c r="K204" i="15"/>
  <c r="J204" i="15"/>
  <c r="E204" i="15"/>
  <c r="D204" i="15"/>
  <c r="C204" i="15"/>
  <c r="P203" i="15"/>
  <c r="L198" i="15"/>
  <c r="M335" i="15" s="1"/>
  <c r="F198" i="15"/>
  <c r="F335" i="15" s="1"/>
  <c r="L197" i="15"/>
  <c r="M316" i="15" s="1"/>
  <c r="F197" i="15"/>
  <c r="F316" i="15" s="1"/>
  <c r="L196" i="15"/>
  <c r="M297" i="15" s="1"/>
  <c r="F196" i="15"/>
  <c r="F297" i="15" s="1"/>
  <c r="L195" i="15"/>
  <c r="M278" i="15" s="1"/>
  <c r="F195" i="15"/>
  <c r="F278" i="15" s="1"/>
  <c r="L194" i="15"/>
  <c r="M259" i="15" s="1"/>
  <c r="F194" i="15"/>
  <c r="F259" i="15" s="1"/>
  <c r="L193" i="15"/>
  <c r="M240" i="15" s="1"/>
  <c r="F193" i="15"/>
  <c r="F240" i="15" s="1"/>
  <c r="L192" i="15"/>
  <c r="M221" i="15" s="1"/>
  <c r="F192" i="15"/>
  <c r="F221" i="15" s="1"/>
  <c r="K191" i="15"/>
  <c r="J191" i="15"/>
  <c r="H189" i="15"/>
  <c r="L121" i="15"/>
  <c r="M328" i="15" s="1"/>
  <c r="F121" i="15"/>
  <c r="F328" i="15" s="1"/>
  <c r="L120" i="15"/>
  <c r="M309" i="15" s="1"/>
  <c r="F120" i="15"/>
  <c r="F309" i="15" s="1"/>
  <c r="L119" i="15"/>
  <c r="M290" i="15" s="1"/>
  <c r="F119" i="15"/>
  <c r="F290" i="15" s="1"/>
  <c r="L118" i="15"/>
  <c r="M271" i="15" s="1"/>
  <c r="F118" i="15"/>
  <c r="F271" i="15" s="1"/>
  <c r="L117" i="15"/>
  <c r="M252" i="15" s="1"/>
  <c r="F117" i="15"/>
  <c r="F252" i="15" s="1"/>
  <c r="L116" i="15"/>
  <c r="M233" i="15" s="1"/>
  <c r="F116" i="15"/>
  <c r="F233" i="15" s="1"/>
  <c r="L115" i="15"/>
  <c r="M214" i="15" s="1"/>
  <c r="F115" i="15"/>
  <c r="F214" i="15" s="1"/>
  <c r="K114" i="15"/>
  <c r="J114" i="15"/>
  <c r="H112" i="15"/>
  <c r="L110" i="15"/>
  <c r="M327" i="15" s="1"/>
  <c r="F110" i="15"/>
  <c r="F327" i="15" s="1"/>
  <c r="L109" i="15"/>
  <c r="M308" i="15" s="1"/>
  <c r="F109" i="15"/>
  <c r="F308" i="15" s="1"/>
  <c r="L108" i="15"/>
  <c r="M289" i="15" s="1"/>
  <c r="F108" i="15"/>
  <c r="F289" i="15" s="1"/>
  <c r="L107" i="15"/>
  <c r="M270" i="15" s="1"/>
  <c r="F107" i="15"/>
  <c r="F270" i="15" s="1"/>
  <c r="L106" i="15"/>
  <c r="M251" i="15" s="1"/>
  <c r="F106" i="15"/>
  <c r="F251" i="15" s="1"/>
  <c r="L105" i="15"/>
  <c r="M232" i="15" s="1"/>
  <c r="F105" i="15"/>
  <c r="F232" i="15" s="1"/>
  <c r="L104" i="15"/>
  <c r="M213" i="15" s="1"/>
  <c r="F104" i="15"/>
  <c r="F213" i="15" s="1"/>
  <c r="K103" i="15"/>
  <c r="J103" i="15"/>
  <c r="H101" i="15"/>
  <c r="L99" i="15"/>
  <c r="M326" i="15" s="1"/>
  <c r="F99" i="15"/>
  <c r="F326" i="15" s="1"/>
  <c r="L98" i="15"/>
  <c r="M307" i="15" s="1"/>
  <c r="F98" i="15"/>
  <c r="F307" i="15" s="1"/>
  <c r="L97" i="15"/>
  <c r="M288" i="15" s="1"/>
  <c r="F97" i="15"/>
  <c r="F288" i="15" s="1"/>
  <c r="L96" i="15"/>
  <c r="M269" i="15" s="1"/>
  <c r="F96" i="15"/>
  <c r="F269" i="15" s="1"/>
  <c r="L95" i="15"/>
  <c r="M250" i="15" s="1"/>
  <c r="F95" i="15"/>
  <c r="F250" i="15" s="1"/>
  <c r="L94" i="15"/>
  <c r="M231" i="15" s="1"/>
  <c r="F94" i="15"/>
  <c r="F231" i="15" s="1"/>
  <c r="L93" i="15"/>
  <c r="M212" i="15" s="1"/>
  <c r="F93" i="15"/>
  <c r="F212" i="15" s="1"/>
  <c r="K92" i="15"/>
  <c r="J92" i="15"/>
  <c r="H90" i="15"/>
  <c r="L88" i="15"/>
  <c r="M325" i="15" s="1"/>
  <c r="F88" i="15"/>
  <c r="F325" i="15" s="1"/>
  <c r="L87" i="15"/>
  <c r="M306" i="15" s="1"/>
  <c r="F87" i="15"/>
  <c r="F306" i="15" s="1"/>
  <c r="L86" i="15"/>
  <c r="M287" i="15" s="1"/>
  <c r="F86" i="15"/>
  <c r="F287" i="15" s="1"/>
  <c r="L85" i="15"/>
  <c r="M268" i="15" s="1"/>
  <c r="F85" i="15"/>
  <c r="F268" i="15" s="1"/>
  <c r="L84" i="15"/>
  <c r="M249" i="15" s="1"/>
  <c r="F84" i="15"/>
  <c r="F249" i="15" s="1"/>
  <c r="L83" i="15"/>
  <c r="M230" i="15" s="1"/>
  <c r="F83" i="15"/>
  <c r="F230" i="15" s="1"/>
  <c r="L82" i="15"/>
  <c r="M211" i="15" s="1"/>
  <c r="F82" i="15"/>
  <c r="F211" i="15" s="1"/>
  <c r="K81" i="15"/>
  <c r="J81" i="15"/>
  <c r="H79" i="15"/>
  <c r="L77" i="15"/>
  <c r="M324" i="15" s="1"/>
  <c r="F77" i="15"/>
  <c r="F324" i="15" s="1"/>
  <c r="L76" i="15"/>
  <c r="M305" i="15" s="1"/>
  <c r="F76" i="15"/>
  <c r="F305" i="15" s="1"/>
  <c r="L75" i="15"/>
  <c r="M286" i="15" s="1"/>
  <c r="F75" i="15"/>
  <c r="F286" i="15" s="1"/>
  <c r="L74" i="15"/>
  <c r="M267" i="15" s="1"/>
  <c r="F74" i="15"/>
  <c r="F267" i="15" s="1"/>
  <c r="L73" i="15"/>
  <c r="M248" i="15" s="1"/>
  <c r="F73" i="15"/>
  <c r="F248" i="15" s="1"/>
  <c r="L72" i="15"/>
  <c r="M229" i="15" s="1"/>
  <c r="F72" i="15"/>
  <c r="F229" i="15" s="1"/>
  <c r="L71" i="15"/>
  <c r="M210" i="15" s="1"/>
  <c r="F71" i="15"/>
  <c r="F210" i="15" s="1"/>
  <c r="K70" i="15"/>
  <c r="J70" i="15"/>
  <c r="H68" i="15"/>
  <c r="L66" i="15"/>
  <c r="M323" i="15" s="1"/>
  <c r="F66" i="15"/>
  <c r="F323" i="15" s="1"/>
  <c r="L65" i="15"/>
  <c r="M304" i="15" s="1"/>
  <c r="F65" i="15"/>
  <c r="F304" i="15" s="1"/>
  <c r="L64" i="15"/>
  <c r="M285" i="15" s="1"/>
  <c r="F64" i="15"/>
  <c r="F285" i="15" s="1"/>
  <c r="L63" i="15"/>
  <c r="M266" i="15" s="1"/>
  <c r="F63" i="15"/>
  <c r="F266" i="15" s="1"/>
  <c r="L62" i="15"/>
  <c r="M247" i="15" s="1"/>
  <c r="F62" i="15"/>
  <c r="F247" i="15" s="1"/>
  <c r="L61" i="15"/>
  <c r="M228" i="15" s="1"/>
  <c r="F61" i="15"/>
  <c r="F228" i="15" s="1"/>
  <c r="L60" i="15"/>
  <c r="M209" i="15" s="1"/>
  <c r="F60" i="15"/>
  <c r="F209" i="15" s="1"/>
  <c r="K59" i="15"/>
  <c r="J59" i="15"/>
  <c r="H57" i="15"/>
  <c r="L55" i="15"/>
  <c r="M322" i="15" s="1"/>
  <c r="F55" i="15"/>
  <c r="F322" i="15" s="1"/>
  <c r="L54" i="15"/>
  <c r="M303" i="15" s="1"/>
  <c r="F54" i="15"/>
  <c r="F303" i="15" s="1"/>
  <c r="L53" i="15"/>
  <c r="M284" i="15" s="1"/>
  <c r="F53" i="15"/>
  <c r="F284" i="15" s="1"/>
  <c r="L52" i="15"/>
  <c r="M265" i="15" s="1"/>
  <c r="F52" i="15"/>
  <c r="F265" i="15" s="1"/>
  <c r="L51" i="15"/>
  <c r="M246" i="15" s="1"/>
  <c r="F51" i="15"/>
  <c r="F246" i="15" s="1"/>
  <c r="L50" i="15"/>
  <c r="M227" i="15" s="1"/>
  <c r="F50" i="15"/>
  <c r="F227" i="15" s="1"/>
  <c r="L49" i="15"/>
  <c r="M208" i="15" s="1"/>
  <c r="F49" i="15"/>
  <c r="F208" i="15" s="1"/>
  <c r="K48" i="15"/>
  <c r="J48" i="15"/>
  <c r="H46" i="15"/>
  <c r="L44" i="15"/>
  <c r="M321" i="15" s="1"/>
  <c r="F44" i="15"/>
  <c r="F321" i="15" s="1"/>
  <c r="L43" i="15"/>
  <c r="M302" i="15" s="1"/>
  <c r="F43" i="15"/>
  <c r="F302" i="15" s="1"/>
  <c r="L42" i="15"/>
  <c r="M283" i="15" s="1"/>
  <c r="F42" i="15"/>
  <c r="F283" i="15" s="1"/>
  <c r="L41" i="15"/>
  <c r="M264" i="15" s="1"/>
  <c r="F41" i="15"/>
  <c r="F264" i="15" s="1"/>
  <c r="L40" i="15"/>
  <c r="M245" i="15" s="1"/>
  <c r="F40" i="15"/>
  <c r="F245" i="15" s="1"/>
  <c r="L39" i="15"/>
  <c r="M226" i="15" s="1"/>
  <c r="F39" i="15"/>
  <c r="F226" i="15" s="1"/>
  <c r="L38" i="15"/>
  <c r="M207" i="15" s="1"/>
  <c r="F38" i="15"/>
  <c r="F207" i="15" s="1"/>
  <c r="K37" i="15"/>
  <c r="J37" i="15"/>
  <c r="H35" i="15"/>
  <c r="L33" i="15"/>
  <c r="M320" i="15" s="1"/>
  <c r="F33" i="15"/>
  <c r="F320" i="15" s="1"/>
  <c r="L32" i="15"/>
  <c r="M301" i="15" s="1"/>
  <c r="F32" i="15"/>
  <c r="F301" i="15" s="1"/>
  <c r="L31" i="15"/>
  <c r="M282" i="15" s="1"/>
  <c r="F31" i="15"/>
  <c r="F282" i="15" s="1"/>
  <c r="L30" i="15"/>
  <c r="M263" i="15" s="1"/>
  <c r="F30" i="15"/>
  <c r="F263" i="15" s="1"/>
  <c r="L29" i="15"/>
  <c r="M244" i="15" s="1"/>
  <c r="F29" i="15"/>
  <c r="F244" i="15" s="1"/>
  <c r="L28" i="15"/>
  <c r="M225" i="15" s="1"/>
  <c r="F28" i="15"/>
  <c r="F225" i="15" s="1"/>
  <c r="L27" i="15"/>
  <c r="M206" i="15" s="1"/>
  <c r="F27" i="15"/>
  <c r="F206" i="15" s="1"/>
  <c r="K26" i="15"/>
  <c r="J26" i="15"/>
  <c r="H24" i="15"/>
  <c r="L22" i="15"/>
  <c r="M319" i="15" s="1"/>
  <c r="F22" i="15"/>
  <c r="F319" i="15" s="1"/>
  <c r="L21" i="15"/>
  <c r="M300" i="15" s="1"/>
  <c r="F21" i="15"/>
  <c r="F300" i="15" s="1"/>
  <c r="L20" i="15"/>
  <c r="M281" i="15" s="1"/>
  <c r="F20" i="15"/>
  <c r="F281" i="15" s="1"/>
  <c r="L19" i="15"/>
  <c r="M262" i="15" s="1"/>
  <c r="F19" i="15"/>
  <c r="F262" i="15" s="1"/>
  <c r="L18" i="15"/>
  <c r="M243" i="15" s="1"/>
  <c r="F18" i="15"/>
  <c r="F243" i="15" s="1"/>
  <c r="L17" i="15"/>
  <c r="M224" i="15" s="1"/>
  <c r="F17" i="15"/>
  <c r="F224" i="15" s="1"/>
  <c r="L16" i="15"/>
  <c r="M205" i="15" s="1"/>
  <c r="F16" i="15"/>
  <c r="F205" i="15" s="1"/>
  <c r="K15" i="15"/>
  <c r="J15" i="15"/>
  <c r="H13" i="15"/>
  <c r="L11" i="15"/>
  <c r="M318" i="15" s="1"/>
  <c r="F11" i="15"/>
  <c r="F318" i="15" s="1"/>
  <c r="L10" i="15"/>
  <c r="M299" i="15" s="1"/>
  <c r="F10" i="15"/>
  <c r="F299" i="15" s="1"/>
  <c r="L9" i="15"/>
  <c r="F9" i="15"/>
  <c r="F280" i="15" s="1"/>
  <c r="L8" i="15"/>
  <c r="M261" i="15" s="1"/>
  <c r="F8" i="15"/>
  <c r="F261" i="15" s="1"/>
  <c r="L7" i="15"/>
  <c r="M242" i="15" s="1"/>
  <c r="F7" i="15"/>
  <c r="F242" i="15" s="1"/>
  <c r="L6" i="15"/>
  <c r="F6" i="15"/>
  <c r="F223" i="15" s="1"/>
  <c r="L5" i="15"/>
  <c r="M204" i="15" s="1"/>
  <c r="F5" i="15"/>
  <c r="F204" i="15" s="1"/>
  <c r="K4" i="15"/>
  <c r="J4" i="15"/>
  <c r="H2" i="15"/>
  <c r="G87" i="14" l="1"/>
  <c r="F88" i="14"/>
  <c r="E88" i="14" s="1"/>
  <c r="F83" i="14"/>
  <c r="D32" i="2" s="1"/>
  <c r="G84" i="14"/>
  <c r="F87" i="14"/>
  <c r="E87" i="14" s="1"/>
  <c r="G89" i="14"/>
  <c r="H45" i="4"/>
  <c r="F89" i="14"/>
  <c r="E89" i="14" s="1"/>
  <c r="G90" i="14"/>
  <c r="H48" i="4" s="1"/>
  <c r="F90" i="14"/>
  <c r="D61" i="2" s="1"/>
  <c r="F84" i="14"/>
  <c r="E84" i="14" s="1"/>
  <c r="A375" i="15"/>
  <c r="A337" i="15" s="1"/>
  <c r="B337" i="15"/>
  <c r="M280" i="15"/>
  <c r="M223" i="15"/>
  <c r="D47" i="2"/>
  <c r="C26" i="6"/>
  <c r="C26" i="9" s="1"/>
  <c r="B26" i="9"/>
  <c r="G47" i="4"/>
  <c r="C35" i="6" s="1"/>
  <c r="G48" i="4"/>
  <c r="H30" i="4"/>
  <c r="E83" i="14" l="1"/>
  <c r="D35" i="2" s="1"/>
  <c r="E90" i="14"/>
  <c r="D64" i="2" s="1"/>
  <c r="B340" i="15"/>
  <c r="B346" i="15"/>
  <c r="B341" i="15"/>
  <c r="B345" i="15"/>
  <c r="B343" i="15"/>
  <c r="B342" i="15"/>
  <c r="A340" i="15"/>
  <c r="A341" i="15"/>
  <c r="A346" i="15"/>
  <c r="A342" i="15"/>
  <c r="A343" i="15"/>
  <c r="D341" i="15"/>
  <c r="C340" i="15"/>
  <c r="D344" i="15"/>
  <c r="D342" i="15"/>
  <c r="C343" i="15"/>
  <c r="D345" i="15"/>
  <c r="D346" i="15"/>
  <c r="D343" i="15"/>
  <c r="C341" i="15"/>
  <c r="C342" i="15"/>
  <c r="C344" i="15"/>
  <c r="C346" i="15"/>
  <c r="D340" i="15"/>
  <c r="K337" i="15"/>
  <c r="A344" i="15"/>
  <c r="A345" i="15"/>
  <c r="F337" i="15"/>
  <c r="H340" i="15" s="1"/>
  <c r="B344" i="15"/>
  <c r="C345" i="15"/>
  <c r="G337" i="15"/>
  <c r="L337" i="15" s="1"/>
  <c r="C339" i="15"/>
  <c r="H339" i="15" s="1"/>
  <c r="B339" i="15"/>
  <c r="G339" i="15" s="1"/>
  <c r="G26" i="6"/>
  <c r="B61" i="9"/>
  <c r="O341" i="15" l="1"/>
  <c r="O342" i="15"/>
  <c r="G340" i="15"/>
  <c r="G341" i="15"/>
  <c r="G346" i="15"/>
  <c r="I340" i="15"/>
  <c r="I343" i="15"/>
  <c r="G345" i="15"/>
  <c r="H346" i="15"/>
  <c r="F343" i="15"/>
  <c r="F342" i="15"/>
  <c r="G343" i="15"/>
  <c r="I346" i="15"/>
  <c r="G344" i="15"/>
  <c r="F346" i="15"/>
  <c r="G342" i="15"/>
  <c r="F340" i="15"/>
  <c r="F341" i="15"/>
  <c r="H345" i="15"/>
  <c r="H342" i="15"/>
  <c r="H341" i="15"/>
  <c r="I342" i="15"/>
  <c r="I341" i="15"/>
  <c r="F344" i="15"/>
  <c r="H343" i="15"/>
  <c r="I344" i="15"/>
  <c r="F345" i="15"/>
  <c r="H344" i="15"/>
  <c r="I345" i="15"/>
  <c r="G26" i="9"/>
  <c r="N358" i="15" l="1"/>
  <c r="G16" i="9"/>
  <c r="N357" i="15"/>
  <c r="G15" i="9"/>
  <c r="F65" i="6"/>
  <c r="C65" i="6"/>
  <c r="P26" i="6" l="1"/>
  <c r="B26" i="4" l="1"/>
  <c r="D9" i="2"/>
  <c r="D7" i="6" l="1"/>
  <c r="I45" i="6" s="1"/>
  <c r="A7" i="6"/>
  <c r="A7" i="9" s="1"/>
  <c r="N24" i="4"/>
  <c r="I44" i="9" l="1"/>
  <c r="D7" i="9"/>
  <c r="U48" i="6"/>
  <c r="U47" i="6"/>
  <c r="U46" i="6"/>
  <c r="U45" i="6"/>
  <c r="B20" i="4"/>
  <c r="E31" i="4" l="1"/>
  <c r="I44" i="4" l="1"/>
  <c r="B47" i="9" l="1"/>
  <c r="B18" i="6" l="1"/>
  <c r="B18" i="9" s="1"/>
  <c r="B22" i="6"/>
  <c r="B22" i="9" s="1"/>
  <c r="B14" i="4"/>
  <c r="B14" i="6" s="1"/>
  <c r="B14" i="9" s="1"/>
  <c r="A11" i="4"/>
  <c r="A10" i="4"/>
  <c r="A11" i="6" l="1"/>
  <c r="A11" i="9"/>
  <c r="A10" i="6"/>
  <c r="A10" i="9"/>
  <c r="N23" i="4" l="1"/>
  <c r="E5" i="2" s="1"/>
  <c r="E19" i="2" s="1"/>
  <c r="E33" i="2" s="1"/>
  <c r="E47" i="2" l="1"/>
  <c r="E62" i="2" s="1"/>
  <c r="B53" i="6" l="1"/>
  <c r="B52" i="9" l="1"/>
  <c r="B48" i="9" l="1"/>
  <c r="B16" i="9"/>
  <c r="B56" i="6" l="1"/>
  <c r="B55" i="9" s="1"/>
  <c r="B55" i="6"/>
  <c r="B54" i="9" s="1"/>
  <c r="B54" i="6"/>
  <c r="B53" i="9" s="1"/>
  <c r="G25" i="9"/>
  <c r="F18" i="4" l="1"/>
  <c r="I47" i="4" l="1"/>
  <c r="G35" i="6" s="1"/>
  <c r="T35" i="6" s="1"/>
  <c r="I48" i="4"/>
  <c r="A1" i="9"/>
  <c r="M48" i="4" l="1"/>
  <c r="P36" i="6" s="1"/>
  <c r="G36" i="6"/>
  <c r="M47" i="4"/>
  <c r="P35" i="6" s="1"/>
  <c r="T36" i="6" l="1"/>
  <c r="G36" i="9"/>
  <c r="D5" i="2"/>
  <c r="B62" i="6" l="1"/>
  <c r="B62" i="9" s="1"/>
  <c r="D20" i="6"/>
  <c r="D19" i="6"/>
  <c r="D19" i="9" s="1"/>
  <c r="D5" i="6"/>
  <c r="D5" i="9" s="1"/>
  <c r="D6" i="6"/>
  <c r="D6" i="9" s="1"/>
  <c r="D9" i="6"/>
  <c r="D9" i="9" s="1"/>
  <c r="D10" i="6"/>
  <c r="D10" i="9" s="1"/>
  <c r="D11" i="6"/>
  <c r="D11" i="9" s="1"/>
  <c r="D12" i="6"/>
  <c r="D12" i="9" s="1"/>
  <c r="D4" i="6"/>
  <c r="D4" i="9" s="1"/>
  <c r="F17" i="4"/>
  <c r="L342" i="15" s="1"/>
  <c r="F16" i="4"/>
  <c r="L341" i="15" s="1"/>
  <c r="E30" i="4"/>
  <c r="H31" i="4"/>
  <c r="E32" i="4"/>
  <c r="H32" i="4"/>
  <c r="E33" i="4"/>
  <c r="H33" i="4"/>
  <c r="E34" i="4"/>
  <c r="H34" i="4"/>
  <c r="E35" i="4"/>
  <c r="E36" i="4"/>
  <c r="E37" i="4"/>
  <c r="E38" i="4"/>
  <c r="E39" i="4"/>
  <c r="H39" i="4"/>
  <c r="G46" i="4"/>
  <c r="C56" i="4"/>
  <c r="D56" i="4"/>
  <c r="C57" i="4"/>
  <c r="D57" i="4"/>
  <c r="C58" i="4"/>
  <c r="C59" i="4"/>
  <c r="D59" i="4"/>
  <c r="C60" i="4"/>
  <c r="D60" i="4"/>
  <c r="D66" i="2"/>
  <c r="D62" i="2"/>
  <c r="D51" i="2"/>
  <c r="D37" i="2"/>
  <c r="D33" i="2"/>
  <c r="D19" i="2"/>
  <c r="D23" i="2"/>
  <c r="F350" i="15" l="1"/>
  <c r="G351" i="15" s="1"/>
  <c r="E16" i="9"/>
  <c r="A350" i="15"/>
  <c r="D349" i="15" s="1"/>
  <c r="E15" i="9"/>
  <c r="H40" i="4"/>
  <c r="E56" i="4"/>
  <c r="F56" i="4" s="1"/>
  <c r="C34" i="6"/>
  <c r="C34" i="9" s="1"/>
  <c r="I46" i="4"/>
  <c r="G34" i="6" s="1"/>
  <c r="G32" i="6"/>
  <c r="C32" i="6"/>
  <c r="C32" i="9" s="1"/>
  <c r="E40" i="4"/>
  <c r="B349" i="15"/>
  <c r="I351" i="15"/>
  <c r="M19" i="6"/>
  <c r="D20" i="9"/>
  <c r="M20" i="6"/>
  <c r="C28" i="6"/>
  <c r="C28" i="9" s="1"/>
  <c r="C27" i="6"/>
  <c r="C36" i="6"/>
  <c r="C36" i="9" s="1"/>
  <c r="G45" i="4"/>
  <c r="C35" i="9"/>
  <c r="E57" i="4"/>
  <c r="E59" i="4"/>
  <c r="H40" i="6" s="1"/>
  <c r="I40" i="9" s="1"/>
  <c r="E58" i="4"/>
  <c r="E60" i="4"/>
  <c r="I40" i="6" s="1"/>
  <c r="K40" i="9" s="1"/>
  <c r="B351" i="15" l="1"/>
  <c r="D351" i="15"/>
  <c r="I349" i="15"/>
  <c r="G349" i="15"/>
  <c r="T32" i="6"/>
  <c r="G32" i="9"/>
  <c r="T34" i="6"/>
  <c r="G34" i="9"/>
  <c r="F58" i="4"/>
  <c r="G58" i="4" s="1"/>
  <c r="G28" i="6"/>
  <c r="P28" i="6" s="1"/>
  <c r="C73" i="2"/>
  <c r="G27" i="6"/>
  <c r="P27" i="6" s="1"/>
  <c r="N26" i="6" s="1"/>
  <c r="O26" i="6" s="1"/>
  <c r="C40" i="6"/>
  <c r="C40" i="9" s="1"/>
  <c r="F57" i="4"/>
  <c r="G57" i="4" s="1"/>
  <c r="C33" i="6"/>
  <c r="C33" i="9" s="1"/>
  <c r="I45" i="4"/>
  <c r="G33" i="6" s="1"/>
  <c r="T33" i="6" s="1"/>
  <c r="C350" i="15"/>
  <c r="M341" i="15" s="1"/>
  <c r="M357" i="15" s="1"/>
  <c r="L345" i="15" s="1"/>
  <c r="D15" i="6" s="1"/>
  <c r="M46" i="4"/>
  <c r="P34" i="6" s="1"/>
  <c r="C27" i="9"/>
  <c r="F40" i="6"/>
  <c r="G40" i="9" s="1"/>
  <c r="G56" i="4"/>
  <c r="B40" i="6"/>
  <c r="B40" i="9" s="1"/>
  <c r="M44" i="4"/>
  <c r="P32" i="6" s="1"/>
  <c r="F60" i="4"/>
  <c r="G60" i="4" s="1"/>
  <c r="F59" i="4"/>
  <c r="G59" i="4" s="1"/>
  <c r="G61" i="2"/>
  <c r="G32" i="2"/>
  <c r="G18" i="2"/>
  <c r="E66" i="2"/>
  <c r="G66" i="2" s="1"/>
  <c r="I66" i="2" s="1"/>
  <c r="E65" i="2"/>
  <c r="E64" i="2"/>
  <c r="E63" i="2"/>
  <c r="E51" i="2"/>
  <c r="E50" i="2"/>
  <c r="E49" i="2"/>
  <c r="E48" i="2"/>
  <c r="G46" i="2"/>
  <c r="E37" i="2"/>
  <c r="E36" i="2"/>
  <c r="E35" i="2"/>
  <c r="E34" i="2"/>
  <c r="E23" i="2"/>
  <c r="E22" i="2"/>
  <c r="E21" i="2"/>
  <c r="E20" i="2"/>
  <c r="E7" i="2"/>
  <c r="H350" i="15" l="1"/>
  <c r="M342" i="15" s="1"/>
  <c r="M358" i="15" s="1"/>
  <c r="L346" i="15" s="1"/>
  <c r="D16" i="6" s="1"/>
  <c r="G28" i="9"/>
  <c r="G27" i="9"/>
  <c r="M45" i="4"/>
  <c r="H56" i="4"/>
  <c r="G19" i="2"/>
  <c r="I19" i="2" s="1"/>
  <c r="J19" i="2" s="1"/>
  <c r="G47" i="2"/>
  <c r="I47" i="2" s="1"/>
  <c r="J47" i="2" s="1"/>
  <c r="G33" i="2"/>
  <c r="I33" i="2" s="1"/>
  <c r="J33" i="2" s="1"/>
  <c r="G51" i="2"/>
  <c r="I51" i="2" s="1"/>
  <c r="J51" i="2" s="1"/>
  <c r="G23" i="2"/>
  <c r="I23" i="2" s="1"/>
  <c r="K23" i="2" s="1"/>
  <c r="G37" i="2"/>
  <c r="I37" i="2" s="1"/>
  <c r="J37" i="2" s="1"/>
  <c r="G62" i="2"/>
  <c r="I62" i="2" s="1"/>
  <c r="J62" i="2" s="1"/>
  <c r="G64" i="2"/>
  <c r="I64" i="2" s="1"/>
  <c r="I61" i="2"/>
  <c r="J66" i="2"/>
  <c r="K66" i="2"/>
  <c r="G49" i="2"/>
  <c r="I49" i="2" s="1"/>
  <c r="I46" i="2"/>
  <c r="G35" i="2"/>
  <c r="I35" i="2" s="1"/>
  <c r="I32" i="2"/>
  <c r="I18" i="2"/>
  <c r="G21" i="2"/>
  <c r="I21" i="2" s="1"/>
  <c r="J44" i="4" l="1"/>
  <c r="C74" i="2" s="1"/>
  <c r="P33" i="6"/>
  <c r="N32" i="6" s="1"/>
  <c r="O32" i="6" s="1"/>
  <c r="O39" i="6" s="1"/>
  <c r="G33" i="9"/>
  <c r="G35" i="9"/>
  <c r="D8" i="2"/>
  <c r="D50" i="2"/>
  <c r="K47" i="2"/>
  <c r="K33" i="2"/>
  <c r="K51" i="2"/>
  <c r="K19" i="2"/>
  <c r="J23" i="2"/>
  <c r="K37" i="2"/>
  <c r="K62" i="2"/>
  <c r="K61" i="2"/>
  <c r="J61" i="2"/>
  <c r="J64" i="2"/>
  <c r="K64" i="2"/>
  <c r="K46" i="2"/>
  <c r="J46" i="2"/>
  <c r="J49" i="2"/>
  <c r="K49" i="2"/>
  <c r="J32" i="2"/>
  <c r="K32" i="2"/>
  <c r="J35" i="2"/>
  <c r="K35" i="2"/>
  <c r="K21" i="2"/>
  <c r="J21" i="2"/>
  <c r="J18" i="2"/>
  <c r="K18" i="2"/>
  <c r="E9" i="2"/>
  <c r="G9" i="2" s="1"/>
  <c r="I9" i="2" s="1"/>
  <c r="E8" i="2"/>
  <c r="E6" i="2"/>
  <c r="G5" i="2"/>
  <c r="I5" i="2" s="1"/>
  <c r="G4" i="2"/>
  <c r="G7" i="2" l="1"/>
  <c r="I7" i="2" s="1"/>
  <c r="K7" i="2" s="1"/>
  <c r="I4" i="2"/>
  <c r="J9" i="2"/>
  <c r="K9" i="2"/>
  <c r="J5" i="2"/>
  <c r="K5" i="2"/>
  <c r="B45" i="6" l="1"/>
  <c r="B44" i="9" s="1"/>
  <c r="D63" i="2"/>
  <c r="G63" i="2" s="1"/>
  <c r="I63" i="2" s="1"/>
  <c r="J63" i="2" s="1"/>
  <c r="D48" i="2"/>
  <c r="D6" i="2" s="1"/>
  <c r="J7" i="2"/>
  <c r="K4" i="2"/>
  <c r="J4" i="2"/>
  <c r="G48" i="2" l="1"/>
  <c r="I48" i="2" s="1"/>
  <c r="J48" i="2" s="1"/>
  <c r="D65" i="2"/>
  <c r="G65" i="2" s="1"/>
  <c r="K63" i="2"/>
  <c r="K48" i="2" l="1"/>
  <c r="D34" i="2"/>
  <c r="D20" i="2"/>
  <c r="G6" i="2"/>
  <c r="I6" i="2" s="1"/>
  <c r="G8" i="2"/>
  <c r="I8" i="2" s="1"/>
  <c r="D22" i="2"/>
  <c r="G22" i="2" s="1"/>
  <c r="I22" i="2" s="1"/>
  <c r="K22" i="2" s="1"/>
  <c r="D36" i="2"/>
  <c r="G36" i="2" s="1"/>
  <c r="I36" i="2" s="1"/>
  <c r="G50" i="2"/>
  <c r="I50" i="2" s="1"/>
  <c r="J50" i="2" s="1"/>
  <c r="J52" i="2" s="1"/>
  <c r="I65" i="2"/>
  <c r="G34" i="2" l="1"/>
  <c r="I34" i="2" s="1"/>
  <c r="K34" i="2" s="1"/>
  <c r="J6" i="2"/>
  <c r="K6" i="2"/>
  <c r="G20" i="2"/>
  <c r="I20" i="2" s="1"/>
  <c r="J22" i="2"/>
  <c r="K50" i="2"/>
  <c r="K52" i="2" s="1"/>
  <c r="J54" i="2" s="1"/>
  <c r="J55" i="2" s="1"/>
  <c r="K36" i="2"/>
  <c r="J36" i="2"/>
  <c r="K65" i="2"/>
  <c r="K67" i="2" s="1"/>
  <c r="J65" i="2"/>
  <c r="J67" i="2" s="1"/>
  <c r="K8" i="2"/>
  <c r="J8" i="2"/>
  <c r="J53" i="2"/>
  <c r="J34" i="2" l="1"/>
  <c r="J38" i="2" s="1"/>
  <c r="J39" i="2" s="1"/>
  <c r="J10" i="2"/>
  <c r="J11" i="2" s="1"/>
  <c r="K10" i="2"/>
  <c r="K20" i="2"/>
  <c r="K24" i="2" s="1"/>
  <c r="J20" i="2"/>
  <c r="J24" i="2" s="1"/>
  <c r="K38" i="2"/>
  <c r="J56" i="2"/>
  <c r="J68" i="2"/>
  <c r="J69" i="2"/>
  <c r="J70" i="2" s="1"/>
  <c r="J12" i="2" l="1"/>
  <c r="J13" i="2" s="1"/>
  <c r="J40" i="2"/>
  <c r="J41" i="2" s="1"/>
  <c r="J42" i="2" s="1"/>
  <c r="J26" i="2"/>
  <c r="J27" i="2" s="1"/>
  <c r="J25" i="2"/>
  <c r="I35" i="6"/>
  <c r="I27" i="6"/>
  <c r="J27" i="9" s="1"/>
  <c r="J71" i="2"/>
  <c r="U35" i="6" l="1"/>
  <c r="J35" i="9"/>
  <c r="J14" i="2"/>
  <c r="I32" i="6" s="1"/>
  <c r="J28" i="2"/>
  <c r="I33" i="6" s="1"/>
  <c r="J33" i="9" s="1"/>
  <c r="I34" i="6"/>
  <c r="I36" i="6"/>
  <c r="I28" i="6"/>
  <c r="J28" i="9" s="1"/>
  <c r="U36" i="6" l="1"/>
  <c r="J36" i="9"/>
  <c r="U34" i="6"/>
  <c r="J34" i="9"/>
  <c r="U32" i="6"/>
  <c r="J32" i="9"/>
  <c r="U33" i="6"/>
  <c r="C75" i="2" s="1"/>
  <c r="C76" i="2" s="1"/>
  <c r="I26" i="6"/>
  <c r="I26" i="9" s="1"/>
  <c r="G45" i="6" l="1"/>
  <c r="O40" i="6" s="1"/>
  <c r="K41" i="6" s="1"/>
  <c r="I65" i="6" s="1"/>
  <c r="G44" i="9" l="1"/>
  <c r="B50" i="6"/>
  <c r="B49" i="9" s="1"/>
  <c r="C45" i="6"/>
  <c r="C44" i="9" s="1"/>
  <c r="M16" i="4" l="1"/>
  <c r="B70" i="4" l="1"/>
  <c r="B59" i="6" s="1"/>
  <c r="B58" i="9" s="1"/>
  <c r="C2" i="4" l="1"/>
  <c r="M15" i="4"/>
  <c r="A2" i="6" l="1"/>
  <c r="A2" i="9" s="1"/>
  <c r="M14" i="4"/>
  <c r="B63" i="14" l="1"/>
  <c r="F6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MyBook PRO K5</author>
  </authors>
  <commentList>
    <comment ref="A80" authorId="0" shapeId="0" xr:uid="{E9997BBF-ED43-404B-BE9C-421C71F93375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1 kg</t>
        </r>
      </text>
    </comment>
    <comment ref="A81" authorId="0" shapeId="0" xr:uid="{AA1FDC39-9B1F-44C5-A008-B8CA5E678DFB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2* kg</t>
        </r>
      </text>
    </comment>
    <comment ref="A82" authorId="0" shapeId="0" xr:uid="{BCD72CE9-029F-4642-ABB1-4535BF506728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2 kg</t>
        </r>
      </text>
    </comment>
    <comment ref="A85" authorId="0" shapeId="0" xr:uid="{FFC55D00-EF24-4C05-AE5F-4796F1E6B9BD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5 kg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Syukriah,Farrah  BI-ID-J</author>
  </authors>
  <commentList>
    <comment ref="A81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
penunjukkan di timbangan</t>
        </r>
      </text>
    </comment>
  </commentList>
</comments>
</file>

<file path=xl/sharedStrings.xml><?xml version="1.0" encoding="utf-8"?>
<sst xmlns="http://schemas.openxmlformats.org/spreadsheetml/2006/main" count="1237" uniqueCount="442">
  <si>
    <t>Kalibrasi anak timbangan</t>
  </si>
  <si>
    <t>Temperature</t>
  </si>
  <si>
    <r>
      <t xml:space="preserve">: 18,88 - 19,75 </t>
    </r>
    <r>
      <rPr>
        <sz val="11"/>
        <color theme="1"/>
        <rFont val="Arial"/>
        <family val="2"/>
      </rPr>
      <t>°</t>
    </r>
    <r>
      <rPr>
        <sz val="11"/>
        <color theme="1"/>
        <rFont val="Calibri"/>
        <family val="2"/>
        <charset val="1"/>
        <scheme val="minor"/>
      </rPr>
      <t>c</t>
    </r>
  </si>
  <si>
    <t>Relative Humidity</t>
  </si>
  <si>
    <t>: 61,2% - 60,9%</t>
  </si>
  <si>
    <t>Pressure (mmHg)</t>
  </si>
  <si>
    <t>: 755 - 755</t>
  </si>
  <si>
    <t>Nomor seri</t>
  </si>
  <si>
    <t>01 - 1117309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</si>
  <si>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</rPr>
      <t>k (F1)</t>
    </r>
  </si>
  <si>
    <t>g</t>
  </si>
  <si>
    <t>Ue</t>
  </si>
  <si>
    <t>mg</t>
  </si>
  <si>
    <t>Nominal</t>
  </si>
  <si>
    <t>Standard</t>
  </si>
  <si>
    <t>Balance Used</t>
  </si>
  <si>
    <t>Unit</t>
  </si>
  <si>
    <t>UUT</t>
  </si>
  <si>
    <t>S1</t>
  </si>
  <si>
    <t>T1</t>
  </si>
  <si>
    <t>T2</t>
  </si>
  <si>
    <t>S2</t>
  </si>
  <si>
    <t>Class</t>
  </si>
  <si>
    <t>SN/Marker</t>
  </si>
  <si>
    <t>100 g</t>
  </si>
  <si>
    <t>F1</t>
  </si>
  <si>
    <t>XS204</t>
  </si>
  <si>
    <t>gram</t>
  </si>
  <si>
    <t>M1</t>
  </si>
  <si>
    <t>N/A</t>
  </si>
  <si>
    <t>LEMBAR KERJA TIMBANGAN BAYI</t>
  </si>
  <si>
    <t xml:space="preserve">Nomor Sertifikat / Surat Keterangan : 51 /…………/…………-…………/ E - </t>
  </si>
  <si>
    <t>Merek</t>
  </si>
  <si>
    <t>:</t>
  </si>
  <si>
    <t>Model/Type</t>
  </si>
  <si>
    <t>No. Seri</t>
  </si>
  <si>
    <t xml:space="preserve">Resolusi </t>
  </si>
  <si>
    <t>kg</t>
  </si>
  <si>
    <t>( Digital / Analog )</t>
  </si>
  <si>
    <t>Tanggal Kalibrasi</t>
  </si>
  <si>
    <t>Tempat Kalibrasi</t>
  </si>
  <si>
    <t>Nama Ruang</t>
  </si>
  <si>
    <t>Metode Kerja</t>
  </si>
  <si>
    <t>I.</t>
  </si>
  <si>
    <t>Kondisi Ruang</t>
  </si>
  <si>
    <t>1. Suhu</t>
  </si>
  <si>
    <t>awal:</t>
  </si>
  <si>
    <t>akhir:</t>
  </si>
  <si>
    <t>2. Kelembaban</t>
  </si>
  <si>
    <t>II.</t>
  </si>
  <si>
    <t>Pemeriksaan Kondisi Fisik dan Fungsi alat</t>
  </si>
  <si>
    <t>1. Fisik</t>
  </si>
  <si>
    <t>Baik / Tidak Baik</t>
  </si>
  <si>
    <t>2. Fungsi</t>
  </si>
  <si>
    <t>III.</t>
  </si>
  <si>
    <t>Pengujian Kinerja</t>
  </si>
  <si>
    <t>Reading No.</t>
  </si>
  <si>
    <t>Load : 5 kg</t>
  </si>
  <si>
    <t>Load : 10 kg</t>
  </si>
  <si>
    <t>z1 (kg)</t>
  </si>
  <si>
    <t>m1 (kg)</t>
  </si>
  <si>
    <t>Massa (kg)</t>
  </si>
  <si>
    <t>z1</t>
  </si>
  <si>
    <t>m1</t>
  </si>
  <si>
    <t>m2</t>
  </si>
  <si>
    <t>z2</t>
  </si>
  <si>
    <t>Penggunaan Standar</t>
  </si>
  <si>
    <t>2 + 1</t>
  </si>
  <si>
    <t>5 + 2 + 2 + 1</t>
  </si>
  <si>
    <t>C. Efek Pembebanan Tidak di Pusat Pan</t>
  </si>
  <si>
    <t>M=</t>
  </si>
  <si>
    <t>PAN TIMBANGAN BAYI</t>
  </si>
  <si>
    <t>Posisi</t>
  </si>
  <si>
    <t>Indication 1</t>
  </si>
  <si>
    <t>Indication 2</t>
  </si>
  <si>
    <t>IV.</t>
  </si>
  <si>
    <t>Keterangan</t>
  </si>
  <si>
    <t>-</t>
  </si>
  <si>
    <t>V.</t>
  </si>
  <si>
    <t>Alat ukur yang digunakan</t>
  </si>
  <si>
    <t xml:space="preserve">[1Kg] Anak Timbangan Standar, Merek: HÄFNER, Tipe: 7.MEHM 210 </t>
  </si>
  <si>
    <t xml:space="preserve">[2Kg] Anak Timbangan Standar, Merek: HÄFNER, Tipe: 7.MEHM 220 </t>
  </si>
  <si>
    <t xml:space="preserve">[5Kg] Anak Timbangan Standar, Merek: HÄFNER, Tipe: 7.MEHM 230 </t>
  </si>
  <si>
    <t>Thermohygrometer, Merek : KIMO, KH-210-AO SN: 14082463 / 15062872 / 15062874 / 15062875 / 15062873</t>
  </si>
  <si>
    <t>Thermohygrometer, Merek : SEKONIC, ST-50A SN : HE 21-000669 / HE 21-000670</t>
  </si>
  <si>
    <t>Thermohygrometer, Merek : Greisinger , GFTB 200 SN : 34903051 / 34903053 / 34903046 / 34904091</t>
  </si>
  <si>
    <t xml:space="preserve">Thermohygrometer, Merek : EXTECH , SD700 SN </t>
  </si>
  <si>
    <t>: A.100586 / A.100609 / A.100611 / A.100616 / A.100617 / A.100618 / A.100605</t>
  </si>
  <si>
    <t>[Note : Untuk pengujian 2 Kg &amp; 3 Kg menggunakan anak timbangan 2 Kg yang ada label ( * ) ]</t>
  </si>
  <si>
    <t>VI.</t>
  </si>
  <si>
    <t>Kesimpulan</t>
  </si>
  <si>
    <r>
      <t xml:space="preserve">Alat yang dikalibrasi dalam </t>
    </r>
    <r>
      <rPr>
        <b/>
        <sz val="11"/>
        <color theme="1"/>
        <rFont val="Calibri"/>
        <family val="2"/>
        <scheme val="minor"/>
      </rPr>
      <t>BATAS  / MELEBIHI</t>
    </r>
    <r>
      <rPr>
        <sz val="11"/>
        <color theme="1"/>
        <rFont val="Calibri"/>
        <family val="2"/>
        <scheme val="minor"/>
      </rPr>
      <t xml:space="preserve">  toleransi dan dinyatakan </t>
    </r>
    <r>
      <rPr>
        <b/>
        <sz val="11"/>
        <color theme="1"/>
        <rFont val="Calibri"/>
        <family val="2"/>
        <scheme val="minor"/>
      </rPr>
      <t>LAIK PAKAI / TIDAK LAIK PAKAI</t>
    </r>
  </si>
  <si>
    <t>VII.</t>
  </si>
  <si>
    <t xml:space="preserve">Petugas Kalibrasi </t>
  </si>
  <si>
    <t>No.</t>
  </si>
  <si>
    <t>Tanggal</t>
  </si>
  <si>
    <t>Revisi</t>
  </si>
  <si>
    <t>Oleh</t>
  </si>
  <si>
    <t>Awal</t>
  </si>
  <si>
    <t>Akhir</t>
  </si>
  <si>
    <t>Kesimpulan HK terhide</t>
  </si>
  <si>
    <t>HK sudah tertampil</t>
  </si>
  <si>
    <t>Hasil pengukuran kinerja timbangan bayi tertelusur ke Satuan Internasional ( SI ) melalui SNSU</t>
  </si>
  <si>
    <t>Hasil pengujian kinerja timbangan bayi tertelusur ke Satuan Internasional ( SI ) melalui SNSU</t>
  </si>
  <si>
    <t>Alat yang dikalibrasi dalam batas toleransi dan dinyatakan LAIK PAKAI, dimana hasil pengujian kinerja LOP kurang dari sama dengan 5 kali resolusi berdasarkan Keputusan Direktur Jenderal Pelayanan Kesehatan No : HK.02.02/V/5771/2018</t>
  </si>
  <si>
    <t>Alat yang dikalibrasi dalam batas toleransi dan dinyatakan LAIK PAKAI, dimana hasil pengujian kinerja LOP kurang dari sama dengan 5 kali resolusi berdasarkan Keputusan Direktur Jenderal Pelayanan Kesehatan No : HK.02.02/V/0412/2020</t>
  </si>
  <si>
    <t>Penyesuaian dengan sertifikat terbaru</t>
  </si>
  <si>
    <t>DONE</t>
  </si>
  <si>
    <t>Hamdan</t>
  </si>
  <si>
    <t>Budget ketidakpastian maksimum</t>
  </si>
  <si>
    <t>Done</t>
  </si>
  <si>
    <t>Iqbal</t>
  </si>
  <si>
    <t>22 Desember 2021</t>
  </si>
  <si>
    <t>Urutan alat input data tidak sesuai dengan LK</t>
  </si>
  <si>
    <t>Penyesuaian dengan sertifikat terbaru ( anak timbang 4470920 dan thermohygro)</t>
  </si>
  <si>
    <t>Taufik</t>
  </si>
  <si>
    <t>2 Februari 2023</t>
  </si>
  <si>
    <t>Perbaikan di titik ukur ( bisa di rubah 1-10 ), LOP, ( input, budget , penyelia )</t>
  </si>
  <si>
    <t>INPUT DATA TIMBANGAN BAYI</t>
  </si>
  <si>
    <t>Resolusi</t>
  </si>
  <si>
    <t>Digital</t>
  </si>
  <si>
    <t>Tanggal Penerimaan Alat</t>
  </si>
  <si>
    <t>A</t>
  </si>
  <si>
    <t>MK 051-18</t>
  </si>
  <si>
    <t>awal</t>
  </si>
  <si>
    <t>akhir</t>
  </si>
  <si>
    <t>mean</t>
  </si>
  <si>
    <t>3. Tekanan Ruangan</t>
  </si>
  <si>
    <t>Baik</t>
  </si>
  <si>
    <t>Distribusi</t>
  </si>
  <si>
    <t>Divisor</t>
  </si>
  <si>
    <t>Analog</t>
  </si>
  <si>
    <t>segi 3</t>
  </si>
  <si>
    <t>segi 4</t>
  </si>
  <si>
    <t>A. Daya Ulang Pembacaan</t>
  </si>
  <si>
    <t>Load:</t>
  </si>
  <si>
    <t>Kg</t>
  </si>
  <si>
    <t xml:space="preserve">Load : </t>
  </si>
  <si>
    <t>m-z (kg)</t>
  </si>
  <si>
    <t>SD</t>
  </si>
  <si>
    <t>B. Penyimpangan Penunjukan</t>
  </si>
  <si>
    <t>Mass (kg)</t>
  </si>
  <si>
    <t>Rata -rata pembacaan
((m1-z1)+(m2-z2))/2</t>
  </si>
  <si>
    <t>Massa konvensional</t>
  </si>
  <si>
    <t>Koreksi
(mc-rata rata pembacaan)</t>
  </si>
  <si>
    <t>Koreksi maksimum (kg)</t>
  </si>
  <si>
    <t>Absolute koreksi</t>
  </si>
  <si>
    <t>M</t>
  </si>
  <si>
    <t>Position</t>
  </si>
  <si>
    <t>Rata rata pembacaan</t>
  </si>
  <si>
    <t>Perbedaan Posisi</t>
  </si>
  <si>
    <t>Absolute</t>
  </si>
  <si>
    <t>Maksimum</t>
  </si>
  <si>
    <t>Hary Ernanto</t>
  </si>
  <si>
    <t>Uncertainty Budget</t>
  </si>
  <si>
    <t>Titik ukur</t>
  </si>
  <si>
    <t>Component</t>
  </si>
  <si>
    <t>Distrribution</t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</si>
  <si>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</si>
  <si>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r>
      <t>V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</si>
  <si>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</si>
  <si>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r>
      <t>c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</si>
  <si>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</si>
  <si>
    <r>
      <t>(u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2</t>
    </r>
  </si>
  <si>
    <r>
      <t>(C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>/v</t>
    </r>
    <r>
      <rPr>
        <b/>
        <vertAlign val="subscript"/>
        <sz val="11"/>
        <rFont val="Calibri"/>
        <family val="2"/>
        <scheme val="minor"/>
      </rPr>
      <t>i</t>
    </r>
  </si>
  <si>
    <t>Sertifikat Massa Standar</t>
  </si>
  <si>
    <t>normal</t>
  </si>
  <si>
    <t>rectangular</t>
  </si>
  <si>
    <t>Daya Ulang Pembacaan</t>
  </si>
  <si>
    <t>Normal</t>
  </si>
  <si>
    <t>Instability / Drif</t>
  </si>
  <si>
    <t>Efek Pembebanan tidak dipusat</t>
  </si>
  <si>
    <t>Buoyancy</t>
  </si>
  <si>
    <t>Jumlah</t>
  </si>
  <si>
    <t>Ketidakpastian baku</t>
  </si>
  <si>
    <t>Derajat kebebasan effektiv. Veff</t>
  </si>
  <si>
    <t>Faktor cakupan, k, untuk TK 95%</t>
  </si>
  <si>
    <t>Ketidak pastian U = k.uc</t>
  </si>
  <si>
    <t>Koreksi maksimum</t>
  </si>
  <si>
    <t>LOP</t>
  </si>
  <si>
    <t>HASIL KALIBRASI TIMBANGAN BAYI</t>
  </si>
  <si>
    <t xml:space="preserve"> </t>
  </si>
  <si>
    <t xml:space="preserve">2. Kelembaban </t>
  </si>
  <si>
    <t>Score</t>
  </si>
  <si>
    <t>Standar (kg)</t>
  </si>
  <si>
    <t>Pembacaan Alat (kg)</t>
  </si>
  <si>
    <t>Simpangan Baku</t>
  </si>
  <si>
    <t>Toleransi</t>
  </si>
  <si>
    <t>Ketidakpastian Pengukuran</t>
  </si>
  <si>
    <t>Koreksi</t>
  </si>
  <si>
    <t>Secore</t>
  </si>
  <si>
    <t>ABS Koreksi</t>
  </si>
  <si>
    <t>Ketidak pastian pengukuan</t>
  </si>
  <si>
    <t>0 (Pusat)</t>
  </si>
  <si>
    <t>1 (Depan)</t>
  </si>
  <si>
    <t>2 (Kiri)</t>
  </si>
  <si>
    <t>3 (Belakang)</t>
  </si>
  <si>
    <t>4 (Kanan)</t>
  </si>
  <si>
    <t>Score Kinerja</t>
  </si>
  <si>
    <t>D. Limit Of Performance</t>
  </si>
  <si>
    <t>Bagus</t>
  </si>
  <si>
    <t>Rata - Rata Bagus</t>
  </si>
  <si>
    <t>Cukup</t>
  </si>
  <si>
    <t>Ketidakpastian pengukuran pada tingkat kepercayaan 95% dengan faktor cakupan k = 2</t>
  </si>
  <si>
    <t>Buruk</t>
  </si>
  <si>
    <t>Sangat buruk</t>
  </si>
  <si>
    <t>Hasil pengukuran timbangan bayi berdasarkan LOP ( Limit Of Perfomance ) 1x s/d 2x resolusi</t>
  </si>
  <si>
    <t>Hasil pengukuran timbangan bayi berdasarkan LOP ( Limit Of Perfomance ) 2x s/d 3x resolusi</t>
  </si>
  <si>
    <t>Hasil pengukuran timbangan bayi berdasarkan LOP ( Limit Of Perfomance ) 3x s/d 5x resolusi</t>
  </si>
  <si>
    <t>Hasil pengukuran timbangan bayi berdasarkan LOP ( Limit Of Perfomance ) 5x s/d 7x resolusi</t>
  </si>
  <si>
    <t>Hasil pengukuran timbangan bayi berdasarkan LOP ( Limit Of Perfomance ) 7x s/d 10x resolusi</t>
  </si>
  <si>
    <t>Hasil pengukuran timbangan bayi berdasarkan LOP ( Limit Of Perfomance ) ≥10x resolusi</t>
  </si>
  <si>
    <t>Petugas Kalibrasi</t>
  </si>
  <si>
    <t>Nama</t>
  </si>
  <si>
    <t>Paraf</t>
  </si>
  <si>
    <t>Dibuat :</t>
  </si>
  <si>
    <t>Diperiksa :</t>
  </si>
  <si>
    <t>Tahun</t>
  </si>
  <si>
    <t>Drift</t>
  </si>
  <si>
    <t>U95</t>
  </si>
  <si>
    <t>MK</t>
  </si>
  <si>
    <t>Recall 1</t>
  </si>
  <si>
    <t>Recall 2</t>
  </si>
  <si>
    <t>Anak Timbangan Standar, Merek: HÄFNER, Tipe: 7.MEHM-210 (1840819)</t>
  </si>
  <si>
    <t>2*</t>
  </si>
  <si>
    <t>Anak Timbangan Standar, Merek: HÄFNER, Tipe: 7.MEHM-210 (1850819)</t>
  </si>
  <si>
    <t>Anak Timbangan Standar, Merek: HÄFNER, Tipe: 7.MEHM-210 (4470920)</t>
  </si>
  <si>
    <t>1KG</t>
  </si>
  <si>
    <t>2KG *</t>
  </si>
  <si>
    <t>2KG</t>
  </si>
  <si>
    <t>5KG</t>
  </si>
  <si>
    <t>Serial Number</t>
  </si>
  <si>
    <t>Massa ( kg )</t>
  </si>
  <si>
    <t>D. Evaluasi Kinerja Timbangan Bayi Berdasarkan LOP</t>
  </si>
  <si>
    <t>Menyetujui,</t>
  </si>
  <si>
    <t>Kepala Instalasi Laboratorium</t>
  </si>
  <si>
    <t>Pengujian dan Kalibrasi</t>
  </si>
  <si>
    <t>Choirul Huda, S.Tr.Kes</t>
  </si>
  <si>
    <t>Halaman 2 dari 2 halaman</t>
  </si>
  <si>
    <t>NIP 198008062010121001</t>
  </si>
  <si>
    <t>Farid Wajidi, SKM</t>
  </si>
  <si>
    <t>NIP 196712101990031012</t>
  </si>
  <si>
    <t xml:space="preserve">Nomor Sertifikat : 51 /      / I - 17 / E - 000.00 DL   </t>
  </si>
  <si>
    <t xml:space="preserve">Nomor Surat Keterangan : 51 / M -    / I - 17 / E - 000.00 DL   </t>
  </si>
  <si>
    <t xml:space="preserve">Nomor Sertifikat : 10 /      / I - 17 / E - 000.00 DL   </t>
  </si>
  <si>
    <t xml:space="preserve">Nomor Surat Keterangan : 10 / M -    / I - 17 / E - 000.00 DL   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</si>
  <si>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</si>
  <si>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 dimana hasil atau skor akhir dibawah 70 % berdasarkan Keputusan Direktur Jenderal Pelayanan Kesehatan No : HK.02.02/V/0412/2020</t>
  </si>
  <si>
    <t>Alat yang di  kalibrasi melebihi batas toleransi dan dinyatakan TIDAK LAIK PAKAI</t>
  </si>
  <si>
    <t>Alat yang di kalibrasi dalam batas toleransi dan dinyatakan LAIK PAKAI</t>
  </si>
  <si>
    <t xml:space="preserve">Nomor Sertifikat : 51 / </t>
  </si>
  <si>
    <t xml:space="preserve">Nomor Surat Keterangan : 51 / M - </t>
  </si>
  <si>
    <t>Achmad Fauzan Adzim</t>
  </si>
  <si>
    <t>Choirul Huda</t>
  </si>
  <si>
    <t>Dany Firmanto</t>
  </si>
  <si>
    <t>Donny Martha</t>
  </si>
  <si>
    <t>Fatimah Novrianisa</t>
  </si>
  <si>
    <t>Fikry Faradinna</t>
  </si>
  <si>
    <t>Gusti Arya Dinata</t>
  </si>
  <si>
    <t>Hamdan Syarif</t>
  </si>
  <si>
    <t>Isra Mahensa</t>
  </si>
  <si>
    <t>Muhammad Arrizal Septiawan</t>
  </si>
  <si>
    <t>Muhammad Iqbal Saiful Rahman</t>
  </si>
  <si>
    <t>Muhammad Irfan Husnuzhzhan</t>
  </si>
  <si>
    <t>Muhammad Zaenuri Sugiasmoro</t>
  </si>
  <si>
    <t>Rangga Setya Hantoko</t>
  </si>
  <si>
    <t>Septia Khairunnisa</t>
  </si>
  <si>
    <t>Taufik Priawan</t>
  </si>
  <si>
    <t>Venna Filosofia</t>
  </si>
  <si>
    <t>Wardimanul Abrar</t>
  </si>
  <si>
    <t>Hasil pengujian kinerja timbangan bayi tertelusur ke Satuan Internasional ( SI ) melalui PT. KALIMAN</t>
  </si>
  <si>
    <t>Hasil pengujian kinerja timbangan bayi tertelusur ke Satuan Internasional ( SI ) melalui MASSCAL - Jerman</t>
  </si>
  <si>
    <t>INPUT SERTIFIKAT THERMOHYGROMETER</t>
  </si>
  <si>
    <t>KOREKSI KIMO THERMOHYGROMETER 15062873</t>
  </si>
  <si>
    <t>Suhu</t>
  </si>
  <si>
    <t>DRIFT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</si>
  <si>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</si>
  <si>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</si>
  <si>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</si>
  <si>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</si>
  <si>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</si>
  <si>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</si>
  <si>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</si>
  <si>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</si>
  <si>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</si>
  <si>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</si>
  <si>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</si>
  <si>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</si>
  <si>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</si>
  <si>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</si>
  <si>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</si>
  <si>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</si>
  <si>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</si>
  <si>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</si>
  <si>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</si>
  <si>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</si>
  <si>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</si>
  <si>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</si>
  <si>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</si>
  <si>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</si>
  <si>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B</t>
  </si>
  <si>
    <t>C</t>
  </si>
  <si>
    <t>D</t>
  </si>
  <si>
    <t>E</t>
  </si>
  <si>
    <t>F</t>
  </si>
  <si>
    <t>G</t>
  </si>
  <si>
    <t>Rata-rata standar</t>
  </si>
  <si>
    <t>Rata-rata Terkoreksi</t>
  </si>
  <si>
    <t>STDEV</t>
  </si>
  <si>
    <t>HASIL</t>
  </si>
  <si>
    <t>INTERPOLASI KOREKSI SUHU</t>
  </si>
  <si>
    <t>INTERPOLASI KOREKSI KELEMBABAN</t>
  </si>
  <si>
    <t>Konversi TEXT</t>
  </si>
  <si>
    <t xml:space="preserve"> °C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</si>
  <si>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</si>
  <si>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</si>
  <si>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</si>
  <si>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</si>
  <si>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</si>
  <si>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>Thermohygrolight, Merek : Sekonic, Model : ST-50A, SN : HE-21.000669</t>
  </si>
  <si>
    <t>Thermohygrolight, Merek : Sekonic, Model : ST-50A, SN : HE-21.000670</t>
  </si>
  <si>
    <t>25 Mei 2023</t>
  </si>
  <si>
    <t>Penambahan sertifikat anak timbang SN (…61)</t>
  </si>
  <si>
    <t>26 Mei 2023</t>
  </si>
  <si>
    <t>Update sertifikat Suhu ruang dan kelembaban</t>
  </si>
  <si>
    <t>Ketidak pastian maksimum pada koreksi maksimum</t>
  </si>
  <si>
    <t>27 mei 2023</t>
  </si>
  <si>
    <t>A. Daya Ulang Pembacaan Pembacaan</t>
  </si>
  <si>
    <t>LOP ≤ 10 x Resolusi</t>
  </si>
  <si>
    <t>stdev MAX</t>
  </si>
  <si>
    <t>12.6.2023</t>
  </si>
  <si>
    <t>Cell Stdev di lock</t>
  </si>
  <si>
    <t>Venna</t>
  </si>
  <si>
    <t>Tidak Baik</t>
  </si>
  <si>
    <t>6.7.2023</t>
  </si>
  <si>
    <t>update sertifikat anak timbangan bayi (sn 15,20,21)</t>
  </si>
  <si>
    <t>done</t>
  </si>
  <si>
    <r>
      <t>: (2790715 / 1060716 / 1840819A / 1850819B / 4490920 / 4470920 / 4480920/</t>
    </r>
    <r>
      <rPr>
        <sz val="11"/>
        <color theme="1"/>
        <rFont val="Calibri"/>
        <family val="2"/>
        <scheme val="minor"/>
      </rPr>
      <t xml:space="preserve"> 6190321)</t>
    </r>
  </si>
  <si>
    <r>
      <t xml:space="preserve">: (2800715 / 1030716 / 1920819A / 1910819B / 4420920 / 4450920 / 4380920 / </t>
    </r>
    <r>
      <rPr>
        <sz val="11"/>
        <color theme="1"/>
        <rFont val="Calibri"/>
        <family val="2"/>
        <scheme val="minor"/>
      </rPr>
      <t>6230321 ) *</t>
    </r>
  </si>
  <si>
    <r>
      <t xml:space="preserve">: (2810715 / 1020716 / 1930819A / 1900819B / 4460920 / 4400920 / 4370920 </t>
    </r>
    <r>
      <rPr>
        <b/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  <scheme val="minor"/>
      </rPr>
      <t xml:space="preserve"> 6240321) </t>
    </r>
  </si>
  <si>
    <r>
      <t xml:space="preserve">(2710715 / 6340716 / 1770819A / 1780819B / 4250920 / 4270920 / 4260920 / </t>
    </r>
    <r>
      <rPr>
        <sz val="11"/>
        <color theme="1"/>
        <rFont val="Calibri"/>
        <family val="2"/>
        <scheme val="minor"/>
      </rPr>
      <t xml:space="preserve">6140321 ) </t>
    </r>
  </si>
  <si>
    <t>Rev 11 : 8.9.2023</t>
  </si>
  <si>
    <t>8.9.2023</t>
  </si>
  <si>
    <t>Update data alat di lembar kerja</t>
  </si>
  <si>
    <t>Serenity</t>
  </si>
  <si>
    <t>Aula</t>
  </si>
  <si>
    <t>Ruang KIA</t>
  </si>
  <si>
    <t>Muhammad Ihsan Ilyas</t>
  </si>
  <si>
    <t>SERTIFIKAT KALIBRASI</t>
  </si>
  <si>
    <t>GM.141-19</t>
  </si>
  <si>
    <t>Nama Alat            :</t>
  </si>
  <si>
    <t>Timbangan Dewasa</t>
  </si>
  <si>
    <t>Nomor Order                        :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</si>
  <si>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</si>
  <si>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</si>
  <si>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</si>
  <si>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</si>
  <si>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</si>
  <si>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</si>
  <si>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Mars</t>
  </si>
  <si>
    <t>Nama Ruang Kalibrasi</t>
  </si>
  <si>
    <t xml:space="preserve">Tanggal Penerimaan Alat </t>
  </si>
  <si>
    <t>Penanggungjawab Kalibrasi</t>
  </si>
  <si>
    <t>Lokasi Kalibrasi</t>
  </si>
  <si>
    <t>Hasil Kalibrasi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</si>
  <si>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</si>
  <si>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</si>
  <si>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</si>
  <si>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</si>
  <si>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</si>
  <si>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</si>
  <si>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</si>
  <si>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</si>
  <si>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</si>
  <si>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</si>
  <si>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</si>
  <si>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</si>
  <si>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</si>
  <si>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</si>
  <si>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</si>
  <si>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</si>
  <si>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</si>
  <si>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</si>
  <si>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</si>
  <si>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</si>
  <si>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Toleransi (kg) ≤ 10 kali resolusi (kg)</t>
  </si>
  <si>
    <t xml:space="preserve"> Limit of Perfomance (kg)</t>
  </si>
  <si>
    <t xml:space="preserve">Ketidakpastian maksimum (kg) </t>
  </si>
  <si>
    <t>1 / IX - 23 / E - 108.145 DLA</t>
  </si>
  <si>
    <t>±</t>
  </si>
  <si>
    <t>Thermohygrobarometer, Merek : Greisinger, Model : GFTB 200, SN : 34903046</t>
  </si>
  <si>
    <t>Thermohygrobarometer, Merek : Greisinger, Model : GFTB 200, SN : 34903053</t>
  </si>
  <si>
    <t>Thermohygrobarometer, Merek : Greisinger, Model : GFTB 200, SN : 34903051</t>
  </si>
  <si>
    <t>Thermohygrobarometer, Merek : Greisinger, Model : GFTB 200, SN : 34904091</t>
  </si>
  <si>
    <t>Thermohygrobarometer, Merek : EXTECH, Model : SD700, SN : A.100611</t>
  </si>
  <si>
    <t>Thermohygrobarometer, Merek : EXTECH, Model : SD700, SN : A.100609</t>
  </si>
  <si>
    <t>Thermohygrobarometer, Merek : EXTECH, Model : SD700, SN : A.100605</t>
  </si>
  <si>
    <t>Thermohygrobarometer, Merek : EXTECH, Model : SD700, SN : A.100617</t>
  </si>
  <si>
    <t>Thermohygrobarometer, Merek : EXTECH, Model : SD700, SN : A.100616</t>
  </si>
  <si>
    <t>Thermohygrobarometer, Merek : EXTECH, Model : SD700, SN : A.100618</t>
  </si>
  <si>
    <t>Thermohygrobarometer, Merek : EXTECH, Model : SD700, SN : A.100586</t>
  </si>
  <si>
    <t>Anak Timbangan Standar, Merek : HÄFNER, Tipe : 7.MEHM-210 (2790715)</t>
  </si>
  <si>
    <t>Anak Timbangan Standar, Merek : HÄFNER, Tipe : 7.MEHM-210 (2790716)</t>
  </si>
  <si>
    <t>Anak Timbangan Standar, Merek : HÄFNER, Tipe : 7.MEHM-210 (4490920)</t>
  </si>
  <si>
    <t>Anak Timbangan Standar, Merek : HÄFNER, Tipe : 7.MEHM-210 (4480920)</t>
  </si>
  <si>
    <t>Anak Timbangan Standar, Merek : HÄFNER, Tipe : 7.MEHM-210 (6190321)</t>
  </si>
  <si>
    <t>Anak Timbangan Standar, Merek : HÄFNER, Tipe : 7.MEHM-210, SN : 2790715</t>
  </si>
  <si>
    <t>Anak Timbangan Standar, Merek : HÄFNER, Tipe : 7.MEHM-210, SN : 1060716</t>
  </si>
  <si>
    <t>Anak Timbangan Standar, Merek : HÄFNER, Tipe : 7.MEHM-210, SN : 1840819</t>
  </si>
  <si>
    <t>Anak Timbangan Standar, Merek : HÄFNER, Tipe : 7.MEHM-210, SN : 1850819</t>
  </si>
  <si>
    <t>Anak Timbangan Standar, Merek : HÄFNER, Tipe : 7.MEHM-210, SN : 4490920</t>
  </si>
  <si>
    <t>Anak Timbangan Standar, Merek : HÄFNER, Tipe : 7.MEHM-210, SN : 4470920</t>
  </si>
  <si>
    <t>Anak Timbangan Standar, Merek : HÄFNER, Tipe : 7.MEHM-210, SN : 4480920</t>
  </si>
  <si>
    <t>Anak Timbangan Standar, Merek : HÄFNER, Tipe : 7.MEHM-210, SN : 6190321</t>
  </si>
  <si>
    <t>Anak Timbangan Standar, Merek : HÄFNER, Tipe : 7.MEHM-220, SN : 2800715</t>
  </si>
  <si>
    <t>Anak Timbangan Standar, Merek : HÄFNER, Tipe : 7.MEHM-220, SN : 1030716</t>
  </si>
  <si>
    <t>Anak Timbangan Standar, Merek : HÄFNER, Tipe : 7.MEHM-220, SN : 1920819</t>
  </si>
  <si>
    <t>Anak Timbangan Standar, Merek : HÄFNER, Tipe : 7.MEHM-220, SN : 1910819</t>
  </si>
  <si>
    <t>Anak Timbangan Standar, Merek : HÄFNER, Tipe : 7.MEHM-220, SN : 4420920</t>
  </si>
  <si>
    <t>Anak Timbangan Standar, Merek : HÄFNER, Tipe : 7.MEHM-220, SN : 4450920</t>
  </si>
  <si>
    <t>Anak Timbangan Standar, Merek : HÄFNER, Tipe : 7.MEHM-220, SN : 4380920</t>
  </si>
  <si>
    <t>Anak Timbangan Standar, Merek : HÄFNER, Tipe : 7.MEHM-210, SN : 6230321</t>
  </si>
  <si>
    <t>Anak Timbangan Standar, Merek : HÄFNER, Tipe : 7.MEHM-220, SN : 2810715</t>
  </si>
  <si>
    <t>Anak Timbangan Standar, Merek : HÄFNER, Tipe : 7.MEHM-220, SN : 1020716</t>
  </si>
  <si>
    <t>Anak Timbangan Standar, Merek : HÄFNER, Tipe : 7.MEHM-220, SN : 1930819</t>
  </si>
  <si>
    <t>Anak Timbangan Standar, Merek : HÄFNER, Tipe : 7.MEHM-220, SN : 1900819</t>
  </si>
  <si>
    <t>Anak Timbangan Standar, Merek : HÄFNER, Tipe : 7.MEHM-220, SN : 4460920</t>
  </si>
  <si>
    <t>Anak Timbangan Standar, Merek : HÄFNER, Tipe : 7.MEHM-220, SN : 4400920</t>
  </si>
  <si>
    <t>Anak Timbangan Standar, Merek : HÄFNER, Tipe : 7.MEHM-220, SN : 4370920</t>
  </si>
  <si>
    <t>Anak Timbangan Standar, Merek : HÄFNER, Tipe : 7.MEHM-210, SN : 6240321</t>
  </si>
  <si>
    <t>Anak Timbangan Standar, Merek : HÄFNER, Tipe : 7.MEHM-230, SN : 2710715</t>
  </si>
  <si>
    <t>Anak Timbangan Standar, Merek : HÄFNER, Tipe : 7.MEHM-230, SN : 6340716</t>
  </si>
  <si>
    <t>Anak Timbangan Standar, Merek : HÄFNER, Tipe : 7.MEHM-230, SN : 1770819</t>
  </si>
  <si>
    <t>Anak Timbangan Standar, Merek : HÄFNER, Tipe : 7.MEHM-230, SN : 1780819</t>
  </si>
  <si>
    <t>Anak Timbangan Standar, Merek : HÄFNER, Tipe : 7.MEHM-230, SN : 4250920</t>
  </si>
  <si>
    <t>Anak Timbangan Standar, Merek : HÄFNER, Tipe : 7.MEHM-230, SN : 4270920</t>
  </si>
  <si>
    <t>Anak Timbangan Standar, Merek : HÄFNER, Tipe : 7.MEHM-230, SN : 4260920</t>
  </si>
  <si>
    <t>Anak Timbangan Standar, Merek : HÄFNER, Tipe : 7.MEHM-210, SN : 6140321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</si>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</sst>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0.0000"/>
    <numFmt numFmtId="165" formatCode="0.000000"/>
    <numFmt numFmtId="166" formatCode="0.000"/>
    <numFmt numFmtId="167" formatCode="0.00000"/>
    <numFmt numFmtId="168" formatCode="0.000\ 000"/>
    <numFmt numFmtId="169" formatCode="0.0"/>
    <numFmt numFmtId="170" formatCode="\±\ 0.00"/>
    <numFmt numFmtId="171" formatCode="\±\ 0.0"/>
    <numFmt numFmtId="172" formatCode="\±\ \ \ 0.0\ \ &quot;°C&quot;"/>
    <numFmt numFmtId="173" formatCode="\±\ \ \ 0.0\ \ &quot;%RH&quot;"/>
    <numFmt numFmtId="174" formatCode="0.0000000"/>
    <numFmt numFmtId="175" formatCode="0.00\ &quot;kg&quot;"/>
    <numFmt numFmtId="176" formatCode="0\ &quot;%&quot;"/>
    <numFmt numFmtId="177" formatCode="0.00000000"/>
    <numFmt numFmtId="178" formatCode="0.000\ &quot;kg&quot;"/>
    <numFmt numFmtId="179" formatCode="&quot;Dibuat : &quot;"/>
    <numFmt numFmtId="180" formatCode="0.0\ &quot;%&quot;"/>
    <numFmt numFmtId="181" formatCode="[$-421]dd\ mmmm\ yyyy;@"/>
    <numFmt numFmtId="182" formatCode="0.000000000"/>
    <numFmt numFmtId="183" formatCode="\±\ 0.000000"/>
    <numFmt numFmtId="184" formatCode="\±\ 0.0000000"/>
    <numFmt numFmtId="185" formatCode="[$-F800]dddd\,\ mmmm\ dd\,\ yyyy"/>
  </numFmts>
  <fonts count="6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u/>
      <sz val="14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8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sz val="8"/>
      <name val="Arial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b/>
      <i/>
      <sz val="10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9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"/>
      <scheme val="minor"/>
    </font>
    <font>
      <b/>
      <u/>
      <sz val="14"/>
      <color theme="1"/>
      <name val="Arial"/>
      <family val="2"/>
    </font>
    <font>
      <u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name val="Arial"/>
      <family val="2"/>
    </font>
    <font>
      <sz val="13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theme="0" tint="-0.249977111117893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8"/>
      <name val="Calibri"/>
      <family val="2"/>
      <charset val="1"/>
      <scheme val="minor"/>
    </font>
    <font>
      <b/>
      <u/>
      <sz val="24"/>
      <name val="Times New Roman"/>
      <family val="1"/>
    </font>
    <font>
      <b/>
      <sz val="11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FF0000"/>
      <name val="Arial"/>
      <family val="2"/>
    </font>
    <font>
      <sz val="13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5" fillId="0" borderId="0"/>
    <xf numFmtId="0" fontId="15" fillId="0" borderId="0"/>
    <xf numFmtId="0" fontId="15" fillId="0" borderId="0"/>
    <xf numFmtId="9" fontId="44" fillId="0" borderId="0" applyFont="0" applyFill="0" applyBorder="0" applyAlignment="0" applyProtection="0"/>
    <xf numFmtId="0" fontId="53" fillId="0" borderId="0"/>
    <xf numFmtId="0" fontId="15" fillId="0" borderId="0"/>
    <xf numFmtId="0" fontId="15" fillId="0" borderId="0"/>
  </cellStyleXfs>
  <cellXfs count="70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7" fillId="0" borderId="0" xfId="0" applyFon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168" fontId="10" fillId="0" borderId="0" xfId="0" applyNumberFormat="1" applyFont="1"/>
    <xf numFmtId="166" fontId="10" fillId="0" borderId="0" xfId="0" applyNumberFormat="1" applyFont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10" fillId="0" borderId="0" xfId="0" applyFont="1" applyAlignment="1">
      <alignment wrapText="1"/>
    </xf>
    <xf numFmtId="167" fontId="10" fillId="0" borderId="0" xfId="0" applyNumberFormat="1" applyFont="1"/>
    <xf numFmtId="0" fontId="10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22" xfId="1" applyFont="1" applyBorder="1" applyAlignment="1">
      <alignment horizontal="center" vertical="center"/>
    </xf>
    <xf numFmtId="0" fontId="23" fillId="0" borderId="25" xfId="1" applyFont="1" applyBorder="1" applyAlignment="1">
      <alignment vertical="center" wrapText="1"/>
    </xf>
    <xf numFmtId="0" fontId="9" fillId="0" borderId="26" xfId="1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27" xfId="0" applyFont="1" applyBorder="1"/>
    <xf numFmtId="0" fontId="20" fillId="0" borderId="29" xfId="0" applyFont="1" applyBorder="1"/>
    <xf numFmtId="2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0" fillId="0" borderId="29" xfId="0" applyNumberFormat="1" applyFont="1" applyBorder="1" applyAlignment="1">
      <alignment horizontal="center" vertical="center"/>
    </xf>
    <xf numFmtId="2" fontId="20" fillId="0" borderId="27" xfId="1" applyNumberFormat="1" applyFont="1" applyBorder="1" applyAlignment="1">
      <alignment horizontal="center" vertical="center"/>
    </xf>
    <xf numFmtId="169" fontId="20" fillId="0" borderId="5" xfId="1" applyNumberFormat="1" applyFont="1" applyBorder="1" applyAlignment="1">
      <alignment horizontal="center" vertical="center"/>
    </xf>
    <xf numFmtId="169" fontId="10" fillId="0" borderId="26" xfId="1" applyNumberFormat="1" applyFont="1" applyBorder="1" applyAlignment="1">
      <alignment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171" fontId="20" fillId="0" borderId="30" xfId="0" applyNumberFormat="1" applyFont="1" applyBorder="1" applyAlignment="1">
      <alignment horizontal="center" vertical="center"/>
    </xf>
    <xf numFmtId="171" fontId="20" fillId="0" borderId="31" xfId="0" applyNumberFormat="1" applyFont="1" applyBorder="1" applyAlignment="1">
      <alignment horizontal="center" vertical="center"/>
    </xf>
    <xf numFmtId="2" fontId="20" fillId="0" borderId="27" xfId="0" applyNumberFormat="1" applyFont="1" applyBorder="1"/>
    <xf numFmtId="2" fontId="20" fillId="0" borderId="30" xfId="1" applyNumberFormat="1" applyFont="1" applyBorder="1" applyAlignment="1">
      <alignment horizontal="center" vertical="center"/>
    </xf>
    <xf numFmtId="169" fontId="20" fillId="0" borderId="32" xfId="1" applyNumberFormat="1" applyFont="1" applyBorder="1" applyAlignment="1">
      <alignment horizontal="center" vertical="center"/>
    </xf>
    <xf numFmtId="169" fontId="20" fillId="0" borderId="1" xfId="0" applyNumberFormat="1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169" fontId="20" fillId="0" borderId="29" xfId="0" applyNumberFormat="1" applyFont="1" applyBorder="1" applyAlignment="1">
      <alignment horizontal="center"/>
    </xf>
    <xf numFmtId="0" fontId="20" fillId="0" borderId="30" xfId="0" applyFont="1" applyBorder="1"/>
    <xf numFmtId="2" fontId="20" fillId="0" borderId="33" xfId="0" applyNumberFormat="1" applyFont="1" applyBorder="1" applyAlignment="1">
      <alignment horizontal="center" vertical="center"/>
    </xf>
    <xf numFmtId="0" fontId="20" fillId="0" borderId="33" xfId="0" applyFont="1" applyBorder="1"/>
    <xf numFmtId="2" fontId="20" fillId="0" borderId="31" xfId="0" applyNumberFormat="1" applyFont="1" applyBorder="1" applyAlignment="1">
      <alignment horizontal="center" vertical="center"/>
    </xf>
    <xf numFmtId="0" fontId="21" fillId="3" borderId="0" xfId="0" applyFont="1" applyFill="1" applyAlignment="1" applyProtection="1">
      <alignment horizontal="left" vertical="top"/>
      <protection hidden="1"/>
    </xf>
    <xf numFmtId="0" fontId="20" fillId="0" borderId="30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2" borderId="0" xfId="0" applyFont="1" applyFill="1" applyAlignment="1" applyProtection="1">
      <alignment vertical="top"/>
      <protection hidden="1"/>
    </xf>
    <xf numFmtId="0" fontId="23" fillId="0" borderId="23" xfId="1" applyFont="1" applyBorder="1" applyAlignment="1">
      <alignment vertical="center" wrapText="1"/>
    </xf>
    <xf numFmtId="0" fontId="19" fillId="0" borderId="27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9" fontId="20" fillId="0" borderId="29" xfId="1" applyNumberFormat="1" applyFont="1" applyBorder="1" applyAlignment="1">
      <alignment horizontal="center" vertical="center"/>
    </xf>
    <xf numFmtId="0" fontId="21" fillId="0" borderId="0" xfId="0" applyFont="1" applyProtection="1">
      <protection locked="0"/>
    </xf>
    <xf numFmtId="0" fontId="20" fillId="0" borderId="27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169" fontId="20" fillId="0" borderId="31" xfId="1" applyNumberFormat="1" applyFont="1" applyBorder="1" applyAlignment="1">
      <alignment horizontal="center" vertical="center"/>
    </xf>
    <xf numFmtId="169" fontId="24" fillId="0" borderId="27" xfId="3" applyNumberFormat="1" applyFont="1" applyBorder="1" applyAlignment="1" applyProtection="1">
      <alignment horizontal="center" vertical="center" wrapText="1"/>
      <protection hidden="1"/>
    </xf>
    <xf numFmtId="169" fontId="24" fillId="0" borderId="1" xfId="3" applyNumberFormat="1" applyFont="1" applyBorder="1" applyAlignment="1" applyProtection="1">
      <alignment horizontal="center" vertical="center"/>
      <protection hidden="1"/>
    </xf>
    <xf numFmtId="169" fontId="24" fillId="0" borderId="1" xfId="3" applyNumberFormat="1" applyFont="1" applyBorder="1" applyAlignment="1" applyProtection="1">
      <alignment horizontal="center" vertical="center" wrapText="1"/>
      <protection hidden="1"/>
    </xf>
    <xf numFmtId="169" fontId="24" fillId="0" borderId="29" xfId="3" applyNumberFormat="1" applyFont="1" applyBorder="1" applyAlignment="1" applyProtection="1">
      <alignment horizontal="center" vertical="center"/>
      <protection hidden="1"/>
    </xf>
    <xf numFmtId="169" fontId="24" fillId="0" borderId="29" xfId="3" applyNumberFormat="1" applyFont="1" applyBorder="1" applyAlignment="1" applyProtection="1">
      <alignment horizontal="center" vertical="center" wrapText="1"/>
      <protection hidden="1"/>
    </xf>
    <xf numFmtId="169" fontId="20" fillId="0" borderId="27" xfId="0" applyNumberFormat="1" applyFont="1" applyBorder="1" applyAlignment="1" applyProtection="1">
      <alignment horizontal="center"/>
      <protection hidden="1"/>
    </xf>
    <xf numFmtId="0" fontId="20" fillId="0" borderId="29" xfId="0" applyFont="1" applyBorder="1" applyAlignment="1" applyProtection="1">
      <alignment horizontal="center"/>
      <protection hidden="1"/>
    </xf>
    <xf numFmtId="169" fontId="20" fillId="0" borderId="30" xfId="0" applyNumberFormat="1" applyFont="1" applyBorder="1" applyAlignment="1" applyProtection="1">
      <alignment horizontal="center"/>
      <protection hidden="1"/>
    </xf>
    <xf numFmtId="0" fontId="20" fillId="0" borderId="33" xfId="0" applyFont="1" applyBorder="1" applyAlignment="1" applyProtection="1">
      <alignment horizontal="center"/>
      <protection hidden="1"/>
    </xf>
    <xf numFmtId="169" fontId="24" fillId="0" borderId="33" xfId="3" applyNumberFormat="1" applyFont="1" applyBorder="1" applyAlignment="1" applyProtection="1">
      <alignment horizontal="center" vertical="center" wrapText="1"/>
      <protection hidden="1"/>
    </xf>
    <xf numFmtId="0" fontId="20" fillId="0" borderId="31" xfId="0" applyFont="1" applyBorder="1" applyAlignment="1" applyProtection="1">
      <alignment horizontal="center"/>
      <protection hidden="1"/>
    </xf>
    <xf numFmtId="0" fontId="20" fillId="0" borderId="0" xfId="1" applyFont="1"/>
    <xf numFmtId="0" fontId="21" fillId="0" borderId="0" xfId="0" applyFont="1" applyAlignment="1">
      <alignment horizontal="center" vertical="center"/>
    </xf>
    <xf numFmtId="0" fontId="21" fillId="0" borderId="0" xfId="1" applyFont="1"/>
    <xf numFmtId="0" fontId="21" fillId="0" borderId="0" xfId="1" applyFont="1" applyAlignment="1">
      <alignment horizontal="center" vertical="center"/>
    </xf>
    <xf numFmtId="0" fontId="20" fillId="0" borderId="0" xfId="1" applyFont="1" applyAlignment="1">
      <alignment horizontal="right"/>
    </xf>
    <xf numFmtId="0" fontId="21" fillId="0" borderId="0" xfId="1" applyFont="1" applyAlignment="1">
      <alignment horizontal="right"/>
    </xf>
    <xf numFmtId="0" fontId="20" fillId="0" borderId="0" xfId="1" applyFont="1" applyAlignment="1">
      <alignment horizontal="center"/>
    </xf>
    <xf numFmtId="0" fontId="21" fillId="0" borderId="0" xfId="1" applyFont="1" applyAlignment="1">
      <alignment horizontal="center"/>
    </xf>
    <xf numFmtId="169" fontId="21" fillId="0" borderId="0" xfId="0" applyNumberFormat="1" applyFont="1" applyAlignment="1">
      <alignment horizontal="left"/>
    </xf>
    <xf numFmtId="0" fontId="20" fillId="0" borderId="1" xfId="0" applyFont="1" applyBorder="1" applyAlignment="1" applyProtection="1">
      <alignment horizontal="center"/>
      <protection hidden="1"/>
    </xf>
    <xf numFmtId="169" fontId="20" fillId="0" borderId="1" xfId="0" applyNumberFormat="1" applyFont="1" applyBorder="1" applyAlignment="1" applyProtection="1">
      <alignment horizontal="center"/>
      <protection hidden="1"/>
    </xf>
    <xf numFmtId="169" fontId="20" fillId="0" borderId="33" xfId="0" applyNumberFormat="1" applyFont="1" applyBorder="1" applyAlignment="1" applyProtection="1">
      <alignment horizontal="center"/>
      <protection hidden="1"/>
    </xf>
    <xf numFmtId="169" fontId="21" fillId="0" borderId="0" xfId="0" applyNumberFormat="1" applyFont="1"/>
    <xf numFmtId="0" fontId="20" fillId="0" borderId="9" xfId="0" applyFont="1" applyBorder="1"/>
    <xf numFmtId="171" fontId="20" fillId="0" borderId="34" xfId="0" applyNumberFormat="1" applyFont="1" applyBorder="1" applyAlignment="1">
      <alignment horizontal="center" vertical="center"/>
    </xf>
    <xf numFmtId="0" fontId="27" fillId="0" borderId="0" xfId="1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21" fillId="0" borderId="1" xfId="0" applyFont="1" applyBorder="1"/>
    <xf numFmtId="171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30" fillId="0" borderId="5" xfId="0" applyFont="1" applyBorder="1" applyAlignment="1" applyProtection="1">
      <alignment horizontal="left" vertical="center"/>
      <protection locked="0"/>
    </xf>
    <xf numFmtId="0" fontId="41" fillId="0" borderId="0" xfId="0" applyFont="1" applyAlignment="1">
      <alignment horizontal="center" vertical="center"/>
    </xf>
    <xf numFmtId="0" fontId="26" fillId="3" borderId="0" xfId="0" applyFont="1" applyFill="1" applyAlignment="1">
      <alignment vertical="center"/>
    </xf>
    <xf numFmtId="0" fontId="0" fillId="3" borderId="0" xfId="0" applyFill="1" applyAlignment="1" applyProtection="1">
      <alignment horizontal="left" vertical="center"/>
      <protection locked="0"/>
    </xf>
    <xf numFmtId="0" fontId="41" fillId="3" borderId="0" xfId="1" applyFont="1" applyFill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43" fillId="3" borderId="0" xfId="1" applyFont="1" applyFill="1" applyAlignment="1" applyProtection="1">
      <alignment vertical="center"/>
      <protection locked="0"/>
    </xf>
    <xf numFmtId="0" fontId="9" fillId="0" borderId="1" xfId="0" applyFont="1" applyBorder="1" applyAlignment="1">
      <alignment horizontal="left"/>
    </xf>
    <xf numFmtId="174" fontId="10" fillId="0" borderId="1" xfId="0" applyNumberFormat="1" applyFont="1" applyBorder="1" applyAlignment="1">
      <alignment horizontal="center"/>
    </xf>
    <xf numFmtId="177" fontId="0" fillId="0" borderId="1" xfId="0" applyNumberFormat="1" applyBorder="1"/>
    <xf numFmtId="0" fontId="6" fillId="0" borderId="1" xfId="0" applyFont="1" applyBorder="1"/>
    <xf numFmtId="0" fontId="6" fillId="8" borderId="1" xfId="0" applyFont="1" applyFill="1" applyBorder="1"/>
    <xf numFmtId="0" fontId="0" fillId="8" borderId="1" xfId="0" applyFill="1" applyBorder="1"/>
    <xf numFmtId="177" fontId="0" fillId="8" borderId="1" xfId="0" applyNumberFormat="1" applyFill="1" applyBorder="1"/>
    <xf numFmtId="0" fontId="0" fillId="5" borderId="1" xfId="0" applyFill="1" applyBorder="1"/>
    <xf numFmtId="177" fontId="0" fillId="5" borderId="1" xfId="0" applyNumberFormat="1" applyFill="1" applyBorder="1"/>
    <xf numFmtId="0" fontId="20" fillId="3" borderId="0" xfId="0" applyFont="1" applyFill="1" applyAlignment="1">
      <alignment vertical="center"/>
    </xf>
    <xf numFmtId="1" fontId="10" fillId="0" borderId="1" xfId="0" applyNumberFormat="1" applyFont="1" applyBorder="1" applyAlignment="1">
      <alignment horizontal="center"/>
    </xf>
    <xf numFmtId="179" fontId="30" fillId="0" borderId="5" xfId="0" applyNumberFormat="1" applyFont="1" applyBorder="1" applyAlignment="1" applyProtection="1">
      <alignment horizontal="left" vertical="center"/>
      <protection locked="0"/>
    </xf>
    <xf numFmtId="0" fontId="46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8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2" fontId="4" fillId="0" borderId="0" xfId="0" applyNumberFormat="1" applyFont="1" applyAlignment="1">
      <alignment vertical="center"/>
    </xf>
    <xf numFmtId="173" fontId="4" fillId="0" borderId="0" xfId="0" applyNumberFormat="1" applyFont="1" applyAlignment="1">
      <alignment vertic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15" fillId="0" borderId="0" xfId="1" applyAlignment="1" applyProtection="1">
      <alignment vertical="center"/>
      <protection locked="0"/>
    </xf>
    <xf numFmtId="0" fontId="49" fillId="0" borderId="0" xfId="1" applyFont="1" applyAlignment="1" applyProtection="1">
      <alignment vertical="center"/>
      <protection locked="0"/>
    </xf>
    <xf numFmtId="0" fontId="41" fillId="0" borderId="0" xfId="1" applyFont="1" applyAlignment="1" applyProtection="1">
      <alignment vertical="center"/>
      <protection locked="0"/>
    </xf>
    <xf numFmtId="0" fontId="4" fillId="8" borderId="1" xfId="0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center" vertical="center"/>
    </xf>
    <xf numFmtId="175" fontId="4" fillId="0" borderId="0" xfId="0" applyNumberFormat="1" applyFont="1" applyAlignment="1">
      <alignment horizontal="left" vertical="center"/>
    </xf>
    <xf numFmtId="169" fontId="4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175" fontId="4" fillId="0" borderId="0" xfId="0" applyNumberFormat="1" applyFont="1" applyAlignment="1" applyProtection="1">
      <alignment vertical="center"/>
      <protection locked="0"/>
    </xf>
    <xf numFmtId="0" fontId="51" fillId="3" borderId="0" xfId="0" applyFont="1" applyFill="1" applyAlignment="1" applyProtection="1">
      <alignment vertical="center"/>
      <protection locked="0"/>
    </xf>
    <xf numFmtId="0" fontId="51" fillId="3" borderId="0" xfId="0" applyFont="1" applyFill="1" applyAlignment="1" applyProtection="1">
      <alignment horizontal="center" vertical="center"/>
      <protection locked="0"/>
    </xf>
    <xf numFmtId="0" fontId="52" fillId="3" borderId="0" xfId="1" applyFont="1" applyFill="1" applyAlignment="1" applyProtection="1">
      <alignment vertical="center"/>
      <protection locked="0"/>
    </xf>
    <xf numFmtId="0" fontId="51" fillId="0" borderId="0" xfId="0" applyFont="1" applyAlignment="1" applyProtection="1">
      <alignment vertical="center"/>
      <protection locked="0"/>
    </xf>
    <xf numFmtId="166" fontId="51" fillId="0" borderId="0" xfId="0" applyNumberFormat="1" applyFont="1" applyAlignment="1" applyProtection="1">
      <alignment vertical="center"/>
      <protection locked="0"/>
    </xf>
    <xf numFmtId="0" fontId="30" fillId="0" borderId="0" xfId="1" applyFont="1" applyAlignment="1" applyProtection="1">
      <alignment horizontal="right"/>
      <protection locked="0"/>
    </xf>
    <xf numFmtId="0" fontId="30" fillId="0" borderId="0" xfId="1" applyFont="1" applyAlignment="1" applyProtection="1">
      <alignment vertical="center"/>
      <protection locked="0"/>
    </xf>
    <xf numFmtId="0" fontId="20" fillId="8" borderId="0" xfId="0" applyFont="1" applyFill="1"/>
    <xf numFmtId="0" fontId="20" fillId="9" borderId="0" xfId="0" applyFont="1" applyFill="1"/>
    <xf numFmtId="0" fontId="4" fillId="9" borderId="14" xfId="0" applyFont="1" applyFill="1" applyBorder="1" applyAlignment="1" applyProtection="1">
      <alignment vertical="center"/>
      <protection locked="0"/>
    </xf>
    <xf numFmtId="0" fontId="20" fillId="7" borderId="0" xfId="0" applyFont="1" applyFill="1"/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4" borderId="0" xfId="0" applyFont="1" applyFill="1" applyAlignment="1" applyProtection="1">
      <alignment vertical="center"/>
      <protection locked="0"/>
    </xf>
    <xf numFmtId="0" fontId="4" fillId="4" borderId="0" xfId="0" quotePrefix="1" applyFont="1" applyFill="1" applyAlignment="1" applyProtection="1">
      <alignment vertical="center"/>
      <protection locked="0"/>
    </xf>
    <xf numFmtId="0" fontId="4" fillId="8" borderId="0" xfId="0" applyFont="1" applyFill="1" applyAlignment="1" applyProtection="1">
      <alignment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169" fontId="4" fillId="4" borderId="1" xfId="0" applyNumberFormat="1" applyFont="1" applyFill="1" applyBorder="1" applyAlignment="1" applyProtection="1">
      <alignment horizontal="center" vertical="center"/>
      <protection locked="0"/>
    </xf>
    <xf numFmtId="169" fontId="4" fillId="0" borderId="1" xfId="0" applyNumberFormat="1" applyFont="1" applyBorder="1" applyAlignment="1" applyProtection="1">
      <alignment horizontal="center" vertical="center"/>
      <protection locked="0"/>
    </xf>
    <xf numFmtId="0" fontId="41" fillId="0" borderId="1" xfId="0" applyFont="1" applyBorder="1" applyAlignment="1" applyProtection="1">
      <alignment horizontal="center" vertical="center"/>
      <protection locked="0"/>
    </xf>
    <xf numFmtId="0" fontId="42" fillId="0" borderId="1" xfId="0" applyFont="1" applyBorder="1" applyAlignment="1" applyProtection="1">
      <alignment vertical="center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164" fontId="42" fillId="0" borderId="1" xfId="0" applyNumberFormat="1" applyFont="1" applyBorder="1" applyAlignment="1" applyProtection="1">
      <alignment horizontal="center" vertical="center"/>
      <protection locked="0"/>
    </xf>
    <xf numFmtId="164" fontId="4" fillId="0" borderId="0" xfId="0" applyNumberFormat="1" applyFont="1" applyAlignment="1" applyProtection="1">
      <alignment vertical="center"/>
      <protection locked="0"/>
    </xf>
    <xf numFmtId="0" fontId="42" fillId="0" borderId="1" xfId="0" applyFont="1" applyBorder="1" applyAlignment="1">
      <alignment horizontal="center" vertical="center" wrapText="1"/>
    </xf>
    <xf numFmtId="165" fontId="4" fillId="10" borderId="1" xfId="0" applyNumberFormat="1" applyFont="1" applyFill="1" applyBorder="1" applyAlignment="1">
      <alignment horizontal="center" vertical="center"/>
    </xf>
    <xf numFmtId="168" fontId="4" fillId="0" borderId="0" xfId="0" applyNumberFormat="1" applyFont="1" applyAlignment="1" applyProtection="1">
      <alignment vertical="center"/>
      <protection locked="0"/>
    </xf>
    <xf numFmtId="166" fontId="4" fillId="0" borderId="0" xfId="0" applyNumberFormat="1" applyFont="1" applyAlignment="1" applyProtection="1">
      <alignment vertical="center"/>
      <protection locked="0"/>
    </xf>
    <xf numFmtId="0" fontId="4" fillId="0" borderId="0" xfId="0" quotePrefix="1" applyFont="1" applyAlignment="1" applyProtection="1">
      <alignment horizontal="right" vertical="center"/>
      <protection locked="0"/>
    </xf>
    <xf numFmtId="1" fontId="4" fillId="0" borderId="1" xfId="0" applyNumberFormat="1" applyFont="1" applyBorder="1" applyAlignment="1">
      <alignment horizontal="center" vertical="center"/>
    </xf>
    <xf numFmtId="0" fontId="17" fillId="0" borderId="0" xfId="5" applyFont="1"/>
    <xf numFmtId="0" fontId="53" fillId="0" borderId="0" xfId="5"/>
    <xf numFmtId="0" fontId="53" fillId="0" borderId="38" xfId="5" applyBorder="1"/>
    <xf numFmtId="0" fontId="13" fillId="6" borderId="1" xfId="5" applyFont="1" applyFill="1" applyBorder="1" applyAlignment="1">
      <alignment horizontal="center" vertical="center"/>
    </xf>
    <xf numFmtId="169" fontId="13" fillId="7" borderId="1" xfId="5" applyNumberFormat="1" applyFont="1" applyFill="1" applyBorder="1" applyAlignment="1">
      <alignment horizontal="center" vertical="center"/>
    </xf>
    <xf numFmtId="0" fontId="33" fillId="7" borderId="1" xfId="5" applyFont="1" applyFill="1" applyBorder="1" applyAlignment="1">
      <alignment horizontal="center" vertical="center"/>
    </xf>
    <xf numFmtId="0" fontId="33" fillId="6" borderId="1" xfId="5" applyFont="1" applyFill="1" applyBorder="1" applyAlignment="1">
      <alignment horizontal="center" vertical="center"/>
    </xf>
    <xf numFmtId="0" fontId="53" fillId="0" borderId="1" xfId="5" applyBorder="1"/>
    <xf numFmtId="169" fontId="53" fillId="7" borderId="1" xfId="5" applyNumberFormat="1" applyFill="1" applyBorder="1" applyAlignment="1">
      <alignment horizontal="center" vertical="center"/>
    </xf>
    <xf numFmtId="169" fontId="15" fillId="7" borderId="1" xfId="5" applyNumberFormat="1" applyFont="1" applyFill="1" applyBorder="1" applyAlignment="1">
      <alignment horizontal="center" vertical="center"/>
    </xf>
    <xf numFmtId="2" fontId="15" fillId="6" borderId="1" xfId="5" applyNumberFormat="1" applyFont="1" applyFill="1" applyBorder="1" applyAlignment="1">
      <alignment horizontal="center"/>
    </xf>
    <xf numFmtId="0" fontId="53" fillId="0" borderId="42" xfId="5" applyBorder="1"/>
    <xf numFmtId="169" fontId="53" fillId="7" borderId="1" xfId="5" applyNumberFormat="1" applyFill="1" applyBorder="1" applyAlignment="1">
      <alignment horizontal="center"/>
    </xf>
    <xf numFmtId="0" fontId="15" fillId="7" borderId="1" xfId="5" quotePrefix="1" applyFont="1" applyFill="1" applyBorder="1" applyAlignment="1">
      <alignment horizontal="center"/>
    </xf>
    <xf numFmtId="169" fontId="15" fillId="7" borderId="1" xfId="5" quotePrefix="1" applyNumberFormat="1" applyFont="1" applyFill="1" applyBorder="1" applyAlignment="1">
      <alignment horizontal="center"/>
    </xf>
    <xf numFmtId="0" fontId="53" fillId="0" borderId="6" xfId="5" applyBorder="1"/>
    <xf numFmtId="0" fontId="53" fillId="0" borderId="44" xfId="5" applyBorder="1"/>
    <xf numFmtId="0" fontId="53" fillId="0" borderId="26" xfId="5" applyBorder="1"/>
    <xf numFmtId="0" fontId="13" fillId="7" borderId="1" xfId="5" applyFont="1" applyFill="1" applyBorder="1" applyAlignment="1">
      <alignment horizontal="center" vertical="center"/>
    </xf>
    <xf numFmtId="0" fontId="53" fillId="7" borderId="0" xfId="5" applyFill="1" applyAlignment="1">
      <alignment horizontal="center"/>
    </xf>
    <xf numFmtId="0" fontId="13" fillId="6" borderId="22" xfId="5" applyFont="1" applyFill="1" applyBorder="1" applyAlignment="1">
      <alignment horizontal="center" vertical="center"/>
    </xf>
    <xf numFmtId="0" fontId="13" fillId="7" borderId="23" xfId="5" applyFont="1" applyFill="1" applyBorder="1" applyAlignment="1">
      <alignment horizontal="center" vertical="center"/>
    </xf>
    <xf numFmtId="0" fontId="33" fillId="7" borderId="49" xfId="5" applyFont="1" applyFill="1" applyBorder="1" applyAlignment="1">
      <alignment horizontal="center" vertical="center"/>
    </xf>
    <xf numFmtId="0" fontId="33" fillId="6" borderId="49" xfId="5" applyFont="1" applyFill="1" applyBorder="1" applyAlignment="1">
      <alignment horizontal="center" vertical="center"/>
    </xf>
    <xf numFmtId="0" fontId="13" fillId="6" borderId="30" xfId="5" applyFont="1" applyFill="1" applyBorder="1" applyAlignment="1">
      <alignment horizontal="center" vertical="center"/>
    </xf>
    <xf numFmtId="0" fontId="13" fillId="7" borderId="31" xfId="5" applyFont="1" applyFill="1" applyBorder="1" applyAlignment="1">
      <alignment horizontal="center" vertical="center"/>
    </xf>
    <xf numFmtId="169" fontId="53" fillId="7" borderId="52" xfId="5" applyNumberFormat="1" applyFill="1" applyBorder="1" applyAlignment="1">
      <alignment horizontal="center" vertical="center"/>
    </xf>
    <xf numFmtId="169" fontId="15" fillId="7" borderId="3" xfId="5" applyNumberFormat="1" applyFont="1" applyFill="1" applyBorder="1" applyAlignment="1">
      <alignment horizontal="center" vertical="center"/>
    </xf>
    <xf numFmtId="169" fontId="53" fillId="7" borderId="3" xfId="5" applyNumberFormat="1" applyFill="1" applyBorder="1" applyAlignment="1">
      <alignment horizontal="center" vertical="center"/>
    </xf>
    <xf numFmtId="2" fontId="15" fillId="6" borderId="53" xfId="5" applyNumberFormat="1" applyFont="1" applyFill="1" applyBorder="1" applyAlignment="1">
      <alignment horizontal="center"/>
    </xf>
    <xf numFmtId="169" fontId="53" fillId="7" borderId="27" xfId="5" applyNumberFormat="1" applyFill="1" applyBorder="1" applyAlignment="1">
      <alignment horizontal="center" vertical="center"/>
    </xf>
    <xf numFmtId="2" fontId="15" fillId="6" borderId="29" xfId="5" applyNumberFormat="1" applyFont="1" applyFill="1" applyBorder="1" applyAlignment="1">
      <alignment horizontal="center"/>
    </xf>
    <xf numFmtId="169" fontId="53" fillId="7" borderId="54" xfId="5" applyNumberFormat="1" applyFill="1" applyBorder="1" applyAlignment="1">
      <alignment horizontal="center"/>
    </xf>
    <xf numFmtId="169" fontId="53" fillId="7" borderId="55" xfId="5" applyNumberFormat="1" applyFill="1" applyBorder="1" applyAlignment="1">
      <alignment horizontal="center"/>
    </xf>
    <xf numFmtId="169" fontId="53" fillId="7" borderId="33" xfId="5" applyNumberFormat="1" applyFill="1" applyBorder="1" applyAlignment="1">
      <alignment horizontal="center"/>
    </xf>
    <xf numFmtId="2" fontId="15" fillId="6" borderId="31" xfId="5" applyNumberFormat="1" applyFont="1" applyFill="1" applyBorder="1" applyAlignment="1">
      <alignment horizontal="center"/>
    </xf>
    <xf numFmtId="0" fontId="53" fillId="0" borderId="43" xfId="5" applyBorder="1"/>
    <xf numFmtId="0" fontId="15" fillId="7" borderId="33" xfId="5" quotePrefix="1" applyFont="1" applyFill="1" applyBorder="1" applyAlignment="1">
      <alignment horizontal="center"/>
    </xf>
    <xf numFmtId="0" fontId="53" fillId="3" borderId="26" xfId="5" applyFill="1" applyBorder="1" applyAlignment="1">
      <alignment horizontal="center" vertical="center"/>
    </xf>
    <xf numFmtId="169" fontId="53" fillId="3" borderId="0" xfId="5" applyNumberFormat="1" applyFill="1" applyAlignment="1">
      <alignment horizontal="center"/>
    </xf>
    <xf numFmtId="0" fontId="15" fillId="3" borderId="0" xfId="5" quotePrefix="1" applyFont="1" applyFill="1" applyAlignment="1">
      <alignment horizontal="center"/>
    </xf>
    <xf numFmtId="166" fontId="15" fillId="3" borderId="0" xfId="5" applyNumberFormat="1" applyFont="1" applyFill="1" applyAlignment="1">
      <alignment horizontal="center"/>
    </xf>
    <xf numFmtId="0" fontId="53" fillId="3" borderId="0" xfId="5" applyFill="1"/>
    <xf numFmtId="169" fontId="13" fillId="7" borderId="31" xfId="5" applyNumberFormat="1" applyFont="1" applyFill="1" applyBorder="1" applyAlignment="1">
      <alignment horizontal="center" vertical="center"/>
    </xf>
    <xf numFmtId="169" fontId="13" fillId="7" borderId="23" xfId="5" applyNumberFormat="1" applyFont="1" applyFill="1" applyBorder="1" applyAlignment="1">
      <alignment horizontal="center" vertical="center"/>
    </xf>
    <xf numFmtId="1" fontId="53" fillId="7" borderId="52" xfId="5" applyNumberFormat="1" applyFill="1" applyBorder="1" applyAlignment="1">
      <alignment horizontal="center" vertical="center"/>
    </xf>
    <xf numFmtId="1" fontId="53" fillId="7" borderId="27" xfId="5" applyNumberFormat="1" applyFill="1" applyBorder="1" applyAlignment="1">
      <alignment horizontal="center" vertical="center"/>
    </xf>
    <xf numFmtId="1" fontId="53" fillId="7" borderId="54" xfId="5" applyNumberFormat="1" applyFill="1" applyBorder="1" applyAlignment="1">
      <alignment horizontal="center"/>
    </xf>
    <xf numFmtId="1" fontId="53" fillId="7" borderId="55" xfId="5" applyNumberFormat="1" applyFill="1" applyBorder="1" applyAlignment="1">
      <alignment horizontal="center"/>
    </xf>
    <xf numFmtId="2" fontId="15" fillId="3" borderId="0" xfId="5" applyNumberFormat="1" applyFont="1" applyFill="1" applyAlignment="1">
      <alignment horizontal="center"/>
    </xf>
    <xf numFmtId="0" fontId="33" fillId="7" borderId="49" xfId="5" quotePrefix="1" applyFont="1" applyFill="1" applyBorder="1" applyAlignment="1">
      <alignment horizontal="center" vertical="center"/>
    </xf>
    <xf numFmtId="166" fontId="15" fillId="7" borderId="3" xfId="5" applyNumberFormat="1" applyFont="1" applyFill="1" applyBorder="1" applyAlignment="1">
      <alignment horizontal="center" vertical="center"/>
    </xf>
    <xf numFmtId="166" fontId="15" fillId="7" borderId="1" xfId="5" applyNumberFormat="1" applyFont="1" applyFill="1" applyBorder="1" applyAlignment="1">
      <alignment horizontal="center" vertical="center"/>
    </xf>
    <xf numFmtId="169" fontId="15" fillId="7" borderId="56" xfId="5" applyNumberFormat="1" applyFont="1" applyFill="1" applyBorder="1" applyAlignment="1">
      <alignment horizontal="center" vertical="center"/>
    </xf>
    <xf numFmtId="1" fontId="15" fillId="7" borderId="52" xfId="5" applyNumberFormat="1" applyFont="1" applyFill="1" applyBorder="1" applyAlignment="1">
      <alignment horizontal="center" vertical="center"/>
    </xf>
    <xf numFmtId="1" fontId="15" fillId="7" borderId="27" xfId="5" applyNumberFormat="1" applyFont="1" applyFill="1" applyBorder="1" applyAlignment="1">
      <alignment horizontal="center" vertical="center"/>
    </xf>
    <xf numFmtId="1" fontId="15" fillId="7" borderId="54" xfId="5" applyNumberFormat="1" applyFont="1" applyFill="1" applyBorder="1" applyAlignment="1">
      <alignment horizontal="center"/>
    </xf>
    <xf numFmtId="1" fontId="15" fillId="7" borderId="55" xfId="5" applyNumberFormat="1" applyFont="1" applyFill="1" applyBorder="1" applyAlignment="1">
      <alignment horizontal="center"/>
    </xf>
    <xf numFmtId="169" fontId="15" fillId="7" borderId="55" xfId="5" applyNumberFormat="1" applyFont="1" applyFill="1" applyBorder="1" applyAlignment="1">
      <alignment horizontal="center" vertical="center"/>
    </xf>
    <xf numFmtId="169" fontId="15" fillId="7" borderId="55" xfId="5" applyNumberFormat="1" applyFont="1" applyFill="1" applyBorder="1" applyAlignment="1">
      <alignment horizontal="center"/>
    </xf>
    <xf numFmtId="169" fontId="15" fillId="7" borderId="33" xfId="5" applyNumberFormat="1" applyFont="1" applyFill="1" applyBorder="1" applyAlignment="1">
      <alignment horizontal="center"/>
    </xf>
    <xf numFmtId="0" fontId="17" fillId="5" borderId="43" xfId="5" applyFont="1" applyFill="1" applyBorder="1"/>
    <xf numFmtId="0" fontId="17" fillId="5" borderId="6" xfId="5" applyFont="1" applyFill="1" applyBorder="1"/>
    <xf numFmtId="0" fontId="17" fillId="5" borderId="44" xfId="5" applyFont="1" applyFill="1" applyBorder="1"/>
    <xf numFmtId="0" fontId="32" fillId="3" borderId="38" xfId="6" applyFont="1" applyFill="1" applyBorder="1" applyAlignment="1">
      <alignment vertical="center"/>
    </xf>
    <xf numFmtId="0" fontId="32" fillId="3" borderId="38" xfId="6" applyFont="1" applyFill="1" applyBorder="1" applyAlignment="1">
      <alignment horizontal="center" vertical="center"/>
    </xf>
    <xf numFmtId="0" fontId="37" fillId="6" borderId="1" xfId="5" applyFont="1" applyFill="1" applyBorder="1" applyAlignment="1">
      <alignment horizontal="center" vertical="center"/>
    </xf>
    <xf numFmtId="0" fontId="34" fillId="6" borderId="1" xfId="6" applyFont="1" applyFill="1" applyBorder="1" applyAlignment="1">
      <alignment horizontal="center" vertical="center"/>
    </xf>
    <xf numFmtId="0" fontId="17" fillId="8" borderId="1" xfId="5" applyFont="1" applyFill="1" applyBorder="1" applyAlignment="1">
      <alignment horizontal="center" vertical="center"/>
    </xf>
    <xf numFmtId="169" fontId="36" fillId="8" borderId="5" xfId="5" applyNumberFormat="1" applyFont="1" applyFill="1" applyBorder="1" applyAlignment="1">
      <alignment horizontal="center" vertical="center"/>
    </xf>
    <xf numFmtId="0" fontId="17" fillId="6" borderId="1" xfId="5" applyFont="1" applyFill="1" applyBorder="1" applyAlignment="1">
      <alignment horizontal="center" vertical="center"/>
    </xf>
    <xf numFmtId="2" fontId="17" fillId="6" borderId="1" xfId="5" applyNumberFormat="1" applyFont="1" applyFill="1" applyBorder="1" applyAlignment="1">
      <alignment horizontal="center" vertical="center"/>
    </xf>
    <xf numFmtId="0" fontId="17" fillId="8" borderId="1" xfId="5" applyFont="1" applyFill="1" applyBorder="1" applyAlignment="1">
      <alignment horizontal="center"/>
    </xf>
    <xf numFmtId="0" fontId="36" fillId="8" borderId="5" xfId="5" applyFont="1" applyFill="1" applyBorder="1" applyAlignment="1">
      <alignment horizontal="center" vertical="center"/>
    </xf>
    <xf numFmtId="0" fontId="36" fillId="8" borderId="5" xfId="5" applyFont="1" applyFill="1" applyBorder="1" applyAlignment="1">
      <alignment horizontal="center"/>
    </xf>
    <xf numFmtId="2" fontId="17" fillId="6" borderId="1" xfId="5" applyNumberFormat="1" applyFont="1" applyFill="1" applyBorder="1" applyAlignment="1">
      <alignment horizontal="center"/>
    </xf>
    <xf numFmtId="0" fontId="17" fillId="3" borderId="58" xfId="5" applyFont="1" applyFill="1" applyBorder="1" applyAlignment="1">
      <alignment horizontal="center" vertical="center"/>
    </xf>
    <xf numFmtId="0" fontId="17" fillId="3" borderId="4" xfId="5" applyFont="1" applyFill="1" applyBorder="1" applyAlignment="1">
      <alignment horizontal="center" vertical="center"/>
    </xf>
    <xf numFmtId="2" fontId="17" fillId="3" borderId="14" xfId="5" applyNumberFormat="1" applyFont="1" applyFill="1" applyBorder="1" applyAlignment="1">
      <alignment horizontal="center"/>
    </xf>
    <xf numFmtId="2" fontId="17" fillId="3" borderId="42" xfId="5" applyNumberFormat="1" applyFont="1" applyFill="1" applyBorder="1" applyAlignment="1">
      <alignment horizontal="center"/>
    </xf>
    <xf numFmtId="0" fontId="17" fillId="3" borderId="0" xfId="5" applyFont="1" applyFill="1"/>
    <xf numFmtId="0" fontId="17" fillId="3" borderId="1" xfId="5" applyFont="1" applyFill="1" applyBorder="1" applyAlignment="1">
      <alignment horizontal="center" vertical="center"/>
    </xf>
    <xf numFmtId="2" fontId="17" fillId="3" borderId="1" xfId="5" applyNumberFormat="1" applyFont="1" applyFill="1" applyBorder="1" applyAlignment="1">
      <alignment horizontal="center"/>
    </xf>
    <xf numFmtId="2" fontId="17" fillId="3" borderId="13" xfId="5" applyNumberFormat="1" applyFont="1" applyFill="1" applyBorder="1" applyAlignment="1">
      <alignment horizontal="center" vertical="center"/>
    </xf>
    <xf numFmtId="2" fontId="17" fillId="3" borderId="59" xfId="5" applyNumberFormat="1" applyFont="1" applyFill="1" applyBorder="1" applyAlignment="1">
      <alignment horizontal="center" vertical="center"/>
    </xf>
    <xf numFmtId="169" fontId="39" fillId="8" borderId="5" xfId="5" applyNumberFormat="1" applyFont="1" applyFill="1" applyBorder="1" applyAlignment="1">
      <alignment horizontal="center" vertical="center"/>
    </xf>
    <xf numFmtId="0" fontId="17" fillId="3" borderId="14" xfId="5" applyFont="1" applyFill="1" applyBorder="1" applyAlignment="1">
      <alignment horizontal="center" vertical="center"/>
    </xf>
    <xf numFmtId="0" fontId="17" fillId="3" borderId="26" xfId="5" applyFont="1" applyFill="1" applyBorder="1" applyAlignment="1">
      <alignment horizontal="center" vertical="center"/>
    </xf>
    <xf numFmtId="0" fontId="17" fillId="0" borderId="26" xfId="5" applyFont="1" applyBorder="1" applyAlignment="1">
      <alignment horizontal="center" vertical="center"/>
    </xf>
    <xf numFmtId="0" fontId="17" fillId="3" borderId="0" xfId="5" applyFont="1" applyFill="1" applyAlignment="1">
      <alignment horizontal="center" vertical="center"/>
    </xf>
    <xf numFmtId="0" fontId="17" fillId="0" borderId="0" xfId="5" applyFont="1" applyAlignment="1">
      <alignment horizontal="center" vertical="center"/>
    </xf>
    <xf numFmtId="0" fontId="32" fillId="3" borderId="22" xfId="6" applyFont="1" applyFill="1" applyBorder="1" applyAlignment="1">
      <alignment horizontal="center" vertical="center"/>
    </xf>
    <xf numFmtId="0" fontId="32" fillId="3" borderId="38" xfId="6" applyFont="1" applyFill="1" applyBorder="1" applyAlignment="1">
      <alignment horizontal="left" vertical="center" wrapText="1"/>
    </xf>
    <xf numFmtId="0" fontId="37" fillId="3" borderId="27" xfId="5" applyFont="1" applyFill="1" applyBorder="1" applyAlignment="1">
      <alignment horizontal="center" vertical="center"/>
    </xf>
    <xf numFmtId="0" fontId="34" fillId="3" borderId="27" xfId="6" applyFont="1" applyFill="1" applyBorder="1" applyAlignment="1">
      <alignment horizontal="center" vertical="center"/>
    </xf>
    <xf numFmtId="0" fontId="37" fillId="3" borderId="1" xfId="5" applyFont="1" applyFill="1" applyBorder="1" applyAlignment="1">
      <alignment horizontal="center" vertical="center"/>
    </xf>
    <xf numFmtId="0" fontId="38" fillId="3" borderId="27" xfId="6" applyFont="1" applyFill="1" applyBorder="1" applyAlignment="1">
      <alignment horizontal="center" vertical="center"/>
    </xf>
    <xf numFmtId="169" fontId="17" fillId="3" borderId="27" xfId="5" applyNumberFormat="1" applyFont="1" applyFill="1" applyBorder="1" applyAlignment="1">
      <alignment horizontal="center" vertical="center"/>
    </xf>
    <xf numFmtId="169" fontId="17" fillId="3" borderId="1" xfId="5" applyNumberFormat="1" applyFont="1" applyFill="1" applyBorder="1" applyAlignment="1">
      <alignment horizontal="center" vertical="center"/>
    </xf>
    <xf numFmtId="169" fontId="17" fillId="3" borderId="29" xfId="5" applyNumberFormat="1" applyFont="1" applyFill="1" applyBorder="1" applyAlignment="1">
      <alignment horizontal="center" vertical="center"/>
    </xf>
    <xf numFmtId="1" fontId="17" fillId="3" borderId="27" xfId="5" applyNumberFormat="1" applyFont="1" applyFill="1" applyBorder="1" applyAlignment="1">
      <alignment horizontal="center"/>
    </xf>
    <xf numFmtId="169" fontId="17" fillId="7" borderId="1" xfId="5" applyNumberFormat="1" applyFont="1" applyFill="1" applyBorder="1" applyAlignment="1">
      <alignment horizontal="center"/>
    </xf>
    <xf numFmtId="169" fontId="17" fillId="3" borderId="1" xfId="5" applyNumberFormat="1" applyFont="1" applyFill="1" applyBorder="1" applyAlignment="1">
      <alignment horizontal="center"/>
    </xf>
    <xf numFmtId="169" fontId="17" fillId="3" borderId="29" xfId="6" applyNumberFormat="1" applyFont="1" applyFill="1" applyBorder="1" applyAlignment="1">
      <alignment horizontal="center"/>
    </xf>
    <xf numFmtId="11" fontId="17" fillId="3" borderId="0" xfId="6" applyNumberFormat="1" applyFont="1" applyFill="1" applyAlignment="1">
      <alignment horizontal="center"/>
    </xf>
    <xf numFmtId="1" fontId="17" fillId="3" borderId="30" xfId="5" applyNumberFormat="1" applyFont="1" applyFill="1" applyBorder="1" applyAlignment="1">
      <alignment horizontal="center"/>
    </xf>
    <xf numFmtId="169" fontId="17" fillId="7" borderId="33" xfId="5" applyNumberFormat="1" applyFont="1" applyFill="1" applyBorder="1" applyAlignment="1">
      <alignment horizontal="center"/>
    </xf>
    <xf numFmtId="169" fontId="17" fillId="3" borderId="33" xfId="5" applyNumberFormat="1" applyFont="1" applyFill="1" applyBorder="1" applyAlignment="1">
      <alignment horizontal="center"/>
    </xf>
    <xf numFmtId="169" fontId="17" fillId="3" borderId="31" xfId="6" applyNumberFormat="1" applyFont="1" applyFill="1" applyBorder="1" applyAlignment="1">
      <alignment horizontal="center"/>
    </xf>
    <xf numFmtId="0" fontId="17" fillId="3" borderId="0" xfId="6" applyFont="1" applyFill="1" applyAlignment="1">
      <alignment horizontal="center"/>
    </xf>
    <xf numFmtId="164" fontId="17" fillId="3" borderId="0" xfId="6" applyNumberFormat="1" applyFont="1" applyFill="1" applyAlignment="1">
      <alignment horizontal="center"/>
    </xf>
    <xf numFmtId="164" fontId="17" fillId="3" borderId="42" xfId="6" applyNumberFormat="1" applyFont="1" applyFill="1" applyBorder="1" applyAlignment="1">
      <alignment horizontal="center"/>
    </xf>
    <xf numFmtId="0" fontId="36" fillId="3" borderId="42" xfId="6" applyFont="1" applyFill="1" applyBorder="1"/>
    <xf numFmtId="0" fontId="53" fillId="0" borderId="40" xfId="5" applyBorder="1"/>
    <xf numFmtId="0" fontId="38" fillId="3" borderId="42" xfId="6" applyFont="1" applyFill="1" applyBorder="1"/>
    <xf numFmtId="167" fontId="16" fillId="3" borderId="0" xfId="6" applyNumberFormat="1" applyFont="1" applyFill="1" applyAlignment="1">
      <alignment horizontal="center"/>
    </xf>
    <xf numFmtId="169" fontId="17" fillId="3" borderId="30" xfId="5" applyNumberFormat="1" applyFont="1" applyFill="1" applyBorder="1" applyAlignment="1">
      <alignment horizontal="center" vertical="center"/>
    </xf>
    <xf numFmtId="169" fontId="17" fillId="3" borderId="33" xfId="5" applyNumberFormat="1" applyFont="1" applyFill="1" applyBorder="1" applyAlignment="1">
      <alignment horizontal="center" vertical="center"/>
    </xf>
    <xf numFmtId="169" fontId="17" fillId="3" borderId="31" xfId="5" applyNumberFormat="1" applyFont="1" applyFill="1" applyBorder="1" applyAlignment="1">
      <alignment horizontal="center" vertical="center"/>
    </xf>
    <xf numFmtId="0" fontId="17" fillId="3" borderId="26" xfId="5" applyFont="1" applyFill="1" applyBorder="1"/>
    <xf numFmtId="166" fontId="40" fillId="3" borderId="0" xfId="6" applyNumberFormat="1" applyFont="1" applyFill="1" applyAlignment="1">
      <alignment horizontal="center"/>
    </xf>
    <xf numFmtId="0" fontId="32" fillId="3" borderId="0" xfId="6" applyFont="1" applyFill="1" applyAlignment="1">
      <alignment vertical="center"/>
    </xf>
    <xf numFmtId="0" fontId="16" fillId="3" borderId="0" xfId="6" applyFont="1" applyFill="1"/>
    <xf numFmtId="0" fontId="38" fillId="3" borderId="0" xfId="6" applyFont="1" applyFill="1"/>
    <xf numFmtId="164" fontId="38" fillId="3" borderId="0" xfId="6" applyNumberFormat="1" applyFont="1" applyFill="1" applyAlignment="1">
      <alignment horizontal="center"/>
    </xf>
    <xf numFmtId="0" fontId="32" fillId="3" borderId="22" xfId="5" applyFont="1" applyFill="1" applyBorder="1" applyAlignment="1">
      <alignment horizontal="center" vertical="center"/>
    </xf>
    <xf numFmtId="169" fontId="32" fillId="3" borderId="24" xfId="5" applyNumberFormat="1" applyFont="1" applyFill="1" applyBorder="1" applyAlignment="1">
      <alignment horizontal="center"/>
    </xf>
    <xf numFmtId="169" fontId="32" fillId="3" borderId="23" xfId="5" applyNumberFormat="1" applyFont="1" applyFill="1" applyBorder="1" applyAlignment="1">
      <alignment horizontal="center"/>
    </xf>
    <xf numFmtId="0" fontId="37" fillId="3" borderId="0" xfId="5" applyFont="1" applyFill="1" applyAlignment="1">
      <alignment vertical="center"/>
    </xf>
    <xf numFmtId="0" fontId="32" fillId="3" borderId="52" xfId="5" applyFont="1" applyFill="1" applyBorder="1" applyAlignment="1">
      <alignment horizontal="center" vertical="center"/>
    </xf>
    <xf numFmtId="0" fontId="17" fillId="3" borderId="42" xfId="5" applyFont="1" applyFill="1" applyBorder="1"/>
    <xf numFmtId="0" fontId="17" fillId="3" borderId="0" xfId="6" applyFont="1" applyFill="1"/>
    <xf numFmtId="169" fontId="32" fillId="3" borderId="27" xfId="5" applyNumberFormat="1" applyFont="1" applyFill="1" applyBorder="1" applyAlignment="1">
      <alignment horizontal="center" vertical="center"/>
    </xf>
    <xf numFmtId="169" fontId="32" fillId="3" borderId="1" xfId="5" applyNumberFormat="1" applyFont="1" applyFill="1" applyBorder="1" applyAlignment="1">
      <alignment horizontal="center"/>
    </xf>
    <xf numFmtId="169" fontId="32" fillId="3" borderId="29" xfId="5" applyNumberFormat="1" applyFont="1" applyFill="1" applyBorder="1" applyAlignment="1">
      <alignment horizontal="center"/>
    </xf>
    <xf numFmtId="2" fontId="34" fillId="3" borderId="0" xfId="6" applyNumberFormat="1" applyFont="1" applyFill="1" applyAlignment="1">
      <alignment horizontal="center"/>
    </xf>
    <xf numFmtId="0" fontId="32" fillId="3" borderId="30" xfId="5" applyFont="1" applyFill="1" applyBorder="1" applyAlignment="1">
      <alignment horizontal="center" vertical="center"/>
    </xf>
    <xf numFmtId="169" fontId="32" fillId="3" borderId="56" xfId="5" applyNumberFormat="1" applyFont="1" applyFill="1" applyBorder="1" applyAlignment="1">
      <alignment horizontal="center"/>
    </xf>
    <xf numFmtId="169" fontId="32" fillId="3" borderId="33" xfId="5" applyNumberFormat="1" applyFont="1" applyFill="1" applyBorder="1" applyAlignment="1">
      <alignment horizontal="center"/>
    </xf>
    <xf numFmtId="169" fontId="32" fillId="3" borderId="61" xfId="5" applyNumberFormat="1" applyFont="1" applyFill="1" applyBorder="1" applyAlignment="1">
      <alignment horizontal="center"/>
    </xf>
    <xf numFmtId="166" fontId="17" fillId="3" borderId="6" xfId="5" applyNumberFormat="1" applyFont="1" applyFill="1" applyBorder="1" applyAlignment="1">
      <alignment horizontal="center"/>
    </xf>
    <xf numFmtId="0" fontId="17" fillId="3" borderId="6" xfId="5" applyFont="1" applyFill="1" applyBorder="1"/>
    <xf numFmtId="0" fontId="17" fillId="3" borderId="44" xfId="5" applyFont="1" applyFill="1" applyBorder="1"/>
    <xf numFmtId="2" fontId="17" fillId="3" borderId="0" xfId="6" applyNumberFormat="1" applyFont="1" applyFill="1" applyAlignment="1">
      <alignment horizontal="center"/>
    </xf>
    <xf numFmtId="0" fontId="53" fillId="0" borderId="0" xfId="5" applyProtection="1">
      <protection locked="0"/>
    </xf>
    <xf numFmtId="0" fontId="17" fillId="6" borderId="7" xfId="5" applyFont="1" applyFill="1" applyBorder="1" applyAlignment="1" applyProtection="1">
      <alignment horizontal="center" vertical="center"/>
      <protection locked="0"/>
    </xf>
    <xf numFmtId="0" fontId="17" fillId="6" borderId="7" xfId="5" applyFont="1" applyFill="1" applyBorder="1" applyAlignment="1" applyProtection="1">
      <alignment vertical="center"/>
      <protection locked="0"/>
    </xf>
    <xf numFmtId="0" fontId="17" fillId="6" borderId="9" xfId="5" applyFont="1" applyFill="1" applyBorder="1" applyAlignment="1" applyProtection="1">
      <alignment vertical="center"/>
      <protection locked="0"/>
    </xf>
    <xf numFmtId="0" fontId="17" fillId="6" borderId="5" xfId="5" applyFont="1" applyFill="1" applyBorder="1" applyAlignment="1" applyProtection="1">
      <alignment vertical="center"/>
      <protection locked="0"/>
    </xf>
    <xf numFmtId="0" fontId="17" fillId="6" borderId="22" xfId="5" applyFont="1" applyFill="1" applyBorder="1" applyAlignment="1" applyProtection="1">
      <alignment horizontal="center" vertical="center"/>
      <protection locked="0"/>
    </xf>
    <xf numFmtId="0" fontId="17" fillId="6" borderId="23" xfId="5" applyFont="1" applyFill="1" applyBorder="1" applyAlignment="1" applyProtection="1">
      <alignment horizontal="center" vertical="center"/>
      <protection locked="0"/>
    </xf>
    <xf numFmtId="0" fontId="17" fillId="6" borderId="28" xfId="5" applyFont="1" applyFill="1" applyBorder="1" applyAlignment="1" applyProtection="1">
      <alignment horizontal="center" vertical="center"/>
      <protection locked="0"/>
    </xf>
    <xf numFmtId="0" fontId="16" fillId="3" borderId="1" xfId="6" applyFont="1" applyFill="1" applyBorder="1" applyAlignment="1">
      <alignment horizontal="center" vertical="center"/>
    </xf>
    <xf numFmtId="0" fontId="26" fillId="0" borderId="1" xfId="5" applyFont="1" applyBorder="1" applyAlignment="1">
      <alignment vertical="center"/>
    </xf>
    <xf numFmtId="0" fontId="17" fillId="6" borderId="27" xfId="5" applyFont="1" applyFill="1" applyBorder="1" applyAlignment="1" applyProtection="1">
      <alignment horizontal="center" vertical="center"/>
      <protection locked="0"/>
    </xf>
    <xf numFmtId="0" fontId="17" fillId="6" borderId="29" xfId="5" applyFont="1" applyFill="1" applyBorder="1" applyAlignment="1" applyProtection="1">
      <alignment horizontal="center" vertical="center"/>
      <protection locked="0"/>
    </xf>
    <xf numFmtId="0" fontId="17" fillId="3" borderId="1" xfId="5" applyFont="1" applyFill="1" applyBorder="1"/>
    <xf numFmtId="2" fontId="26" fillId="0" borderId="1" xfId="5" applyNumberFormat="1" applyFont="1" applyBorder="1" applyAlignment="1">
      <alignment horizontal="center" vertical="center"/>
    </xf>
    <xf numFmtId="0" fontId="17" fillId="6" borderId="30" xfId="5" applyFont="1" applyFill="1" applyBorder="1" applyAlignment="1" applyProtection="1">
      <alignment horizontal="center" vertical="center"/>
      <protection locked="0"/>
    </xf>
    <xf numFmtId="0" fontId="17" fillId="6" borderId="31" xfId="5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right"/>
    </xf>
    <xf numFmtId="174" fontId="0" fillId="0" borderId="1" xfId="0" applyNumberFormat="1" applyBorder="1"/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0" fillId="3" borderId="0" xfId="0" applyFont="1" applyFill="1" applyAlignment="1" applyProtection="1">
      <alignment vertical="center"/>
      <protection locked="0"/>
    </xf>
    <xf numFmtId="0" fontId="0" fillId="15" borderId="1" xfId="0" applyFill="1" applyBorder="1"/>
    <xf numFmtId="0" fontId="20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6" fillId="5" borderId="1" xfId="0" applyFont="1" applyFill="1" applyBorder="1"/>
    <xf numFmtId="174" fontId="0" fillId="5" borderId="1" xfId="0" applyNumberFormat="1" applyFill="1" applyBorder="1"/>
    <xf numFmtId="0" fontId="25" fillId="0" borderId="0" xfId="1" applyFont="1" applyAlignment="1">
      <alignment horizontal="center" vertical="center"/>
    </xf>
    <xf numFmtId="169" fontId="26" fillId="0" borderId="0" xfId="1" applyNumberFormat="1" applyFont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0" xfId="0" applyFill="1"/>
    <xf numFmtId="0" fontId="0" fillId="16" borderId="14" xfId="0" applyFill="1" applyBorder="1"/>
    <xf numFmtId="0" fontId="0" fillId="16" borderId="15" xfId="0" applyFill="1" applyBorder="1"/>
    <xf numFmtId="0" fontId="0" fillId="16" borderId="16" xfId="0" applyFill="1" applyBorder="1"/>
    <xf numFmtId="0" fontId="0" fillId="16" borderId="17" xfId="0" applyFill="1" applyBorder="1"/>
    <xf numFmtId="0" fontId="20" fillId="0" borderId="0" xfId="0" applyFont="1" applyAlignment="1">
      <alignment horizontal="center" vertical="center"/>
    </xf>
    <xf numFmtId="0" fontId="20" fillId="16" borderId="0" xfId="0" applyFont="1" applyFill="1"/>
    <xf numFmtId="0" fontId="17" fillId="8" borderId="0" xfId="5" applyFont="1" applyFill="1" applyAlignment="1">
      <alignment horizontal="center" vertical="center"/>
    </xf>
    <xf numFmtId="169" fontId="36" fillId="8" borderId="0" xfId="5" applyNumberFormat="1" applyFont="1" applyFill="1" applyAlignment="1">
      <alignment horizontal="center" vertical="center"/>
    </xf>
    <xf numFmtId="0" fontId="17" fillId="6" borderId="60" xfId="5" applyFont="1" applyFill="1" applyBorder="1" applyAlignment="1" applyProtection="1">
      <alignment horizontal="center" vertical="center"/>
      <protection locked="0"/>
    </xf>
    <xf numFmtId="169" fontId="36" fillId="8" borderId="1" xfId="5" applyNumberFormat="1" applyFont="1" applyFill="1" applyBorder="1" applyAlignment="1">
      <alignment horizontal="center" vertical="center"/>
    </xf>
    <xf numFmtId="0" fontId="17" fillId="0" borderId="1" xfId="5" applyFont="1" applyBorder="1"/>
    <xf numFmtId="1" fontId="17" fillId="6" borderId="1" xfId="5" applyNumberFormat="1" applyFont="1" applyFill="1" applyBorder="1" applyAlignment="1">
      <alignment horizontal="center" vertical="center"/>
    </xf>
    <xf numFmtId="169" fontId="53" fillId="0" borderId="0" xfId="5" applyNumberFormat="1" applyAlignment="1">
      <alignment horizontal="center" vertical="center"/>
    </xf>
    <xf numFmtId="181" fontId="15" fillId="0" borderId="1" xfId="0" applyNumberFormat="1" applyFont="1" applyBorder="1" applyAlignment="1">
      <alignment horizontal="center" vertical="center"/>
    </xf>
    <xf numFmtId="181" fontId="56" fillId="0" borderId="1" xfId="0" applyNumberFormat="1" applyFont="1" applyBorder="1" applyAlignment="1">
      <alignment horizontal="center" vertical="center"/>
    </xf>
    <xf numFmtId="0" fontId="56" fillId="0" borderId="1" xfId="0" applyFont="1" applyBorder="1" applyAlignment="1">
      <alignment horizontal="left" vertical="center"/>
    </xf>
    <xf numFmtId="0" fontId="4" fillId="0" borderId="0" xfId="0" applyFont="1" applyAlignment="1" applyProtection="1">
      <alignment horizontal="left" vertical="top" wrapText="1"/>
      <protection locked="0"/>
    </xf>
    <xf numFmtId="2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6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4" fillId="8" borderId="0" xfId="0" applyFont="1" applyFill="1" applyAlignment="1">
      <alignment horizontal="right" vertical="center"/>
    </xf>
    <xf numFmtId="176" fontId="4" fillId="8" borderId="0" xfId="4" applyNumberFormat="1" applyFont="1" applyFill="1" applyAlignment="1" applyProtection="1">
      <alignment horizontal="right" vertical="center"/>
    </xf>
    <xf numFmtId="180" fontId="4" fillId="8" borderId="0" xfId="0" applyNumberFormat="1" applyFont="1" applyFill="1" applyAlignment="1">
      <alignment horizontal="right" vertical="center"/>
    </xf>
    <xf numFmtId="176" fontId="4" fillId="0" borderId="0" xfId="0" applyNumberFormat="1" applyFont="1" applyAlignment="1">
      <alignment vertical="center"/>
    </xf>
    <xf numFmtId="0" fontId="4" fillId="0" borderId="0" xfId="0" applyFont="1" applyAlignment="1">
      <alignment vertical="top" wrapText="1"/>
    </xf>
    <xf numFmtId="182" fontId="0" fillId="0" borderId="1" xfId="0" applyNumberFormat="1" applyBorder="1"/>
    <xf numFmtId="0" fontId="56" fillId="0" borderId="1" xfId="0" applyFont="1" applyBorder="1" applyAlignment="1">
      <alignment horizontal="center" vertical="center"/>
    </xf>
    <xf numFmtId="0" fontId="56" fillId="0" borderId="1" xfId="0" applyFont="1" applyBorder="1" applyAlignment="1" applyProtection="1">
      <alignment vertical="center" wrapText="1"/>
      <protection locked="0"/>
    </xf>
    <xf numFmtId="0" fontId="56" fillId="0" borderId="14" xfId="0" applyFont="1" applyBorder="1" applyAlignment="1" applyProtection="1">
      <alignment vertical="center" wrapText="1"/>
      <protection locked="0"/>
    </xf>
    <xf numFmtId="0" fontId="15" fillId="2" borderId="1" xfId="0" applyFont="1" applyFill="1" applyBorder="1" applyAlignment="1" applyProtection="1">
      <alignment vertical="top" wrapText="1"/>
      <protection hidden="1"/>
    </xf>
    <xf numFmtId="0" fontId="56" fillId="0" borderId="0" xfId="0" quotePrefix="1" applyFont="1"/>
    <xf numFmtId="0" fontId="57" fillId="0" borderId="0" xfId="0" applyFont="1"/>
    <xf numFmtId="181" fontId="56" fillId="0" borderId="1" xfId="0" quotePrefix="1" applyNumberFormat="1" applyFont="1" applyBorder="1" applyAlignment="1">
      <alignment horizontal="center" vertical="center"/>
    </xf>
    <xf numFmtId="165" fontId="0" fillId="0" borderId="1" xfId="0" applyNumberFormat="1" applyBorder="1"/>
    <xf numFmtId="169" fontId="15" fillId="7" borderId="1" xfId="5" applyNumberFormat="1" applyFont="1" applyFill="1" applyBorder="1" applyAlignment="1">
      <alignment horizontal="center"/>
    </xf>
    <xf numFmtId="0" fontId="56" fillId="0" borderId="1" xfId="0" applyFont="1" applyBorder="1" applyAlignment="1">
      <alignment horizontal="left" vertical="center" wrapText="1"/>
    </xf>
    <xf numFmtId="0" fontId="0" fillId="8" borderId="1" xfId="0" applyFill="1" applyBorder="1" applyAlignment="1">
      <alignment horizontal="center"/>
    </xf>
    <xf numFmtId="174" fontId="55" fillId="5" borderId="1" xfId="0" applyNumberFormat="1" applyFont="1" applyFill="1" applyBorder="1"/>
    <xf numFmtId="164" fontId="4" fillId="0" borderId="0" xfId="0" applyNumberFormat="1" applyFont="1" applyAlignment="1">
      <alignment vertical="center"/>
    </xf>
    <xf numFmtId="183" fontId="4" fillId="0" borderId="0" xfId="0" applyNumberFormat="1" applyFont="1" applyAlignment="1">
      <alignment vertical="center"/>
    </xf>
    <xf numFmtId="0" fontId="42" fillId="0" borderId="7" xfId="0" applyFont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right" vertical="center"/>
      <protection hidden="1"/>
    </xf>
    <xf numFmtId="0" fontId="42" fillId="0" borderId="5" xfId="0" applyFont="1" applyBorder="1" applyAlignment="1" applyProtection="1">
      <alignment vertical="center"/>
      <protection locked="0"/>
    </xf>
    <xf numFmtId="0" fontId="42" fillId="0" borderId="9" xfId="0" applyFont="1" applyBorder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18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169" fontId="2" fillId="0" borderId="0" xfId="0" applyNumberFormat="1" applyFont="1" applyAlignment="1">
      <alignment horizontal="left" vertical="center"/>
    </xf>
    <xf numFmtId="0" fontId="2" fillId="0" borderId="19" xfId="0" applyFont="1" applyBorder="1" applyAlignment="1">
      <alignment vertical="center"/>
    </xf>
    <xf numFmtId="164" fontId="2" fillId="0" borderId="0" xfId="0" applyNumberFormat="1" applyFont="1" applyAlignment="1">
      <alignment horizontal="lef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8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14" xfId="0" applyBorder="1"/>
    <xf numFmtId="177" fontId="10" fillId="0" borderId="0" xfId="0" applyNumberFormat="1" applyFont="1"/>
    <xf numFmtId="0" fontId="42" fillId="0" borderId="1" xfId="0" applyFont="1" applyBorder="1" applyAlignment="1" applyProtection="1">
      <alignment horizontal="center" vertical="center"/>
      <protection locked="0"/>
    </xf>
    <xf numFmtId="0" fontId="56" fillId="0" borderId="1" xfId="0" quotePrefix="1" applyFont="1" applyBorder="1" applyAlignment="1">
      <alignment horizontal="left" vertical="center"/>
    </xf>
    <xf numFmtId="0" fontId="42" fillId="0" borderId="2" xfId="0" applyFont="1" applyBorder="1" applyAlignment="1" applyProtection="1">
      <alignment vertical="center"/>
      <protection locked="0"/>
    </xf>
    <xf numFmtId="0" fontId="42" fillId="0" borderId="12" xfId="0" applyFont="1" applyBorder="1" applyAlignment="1" applyProtection="1">
      <alignment vertical="center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169" fontId="4" fillId="0" borderId="1" xfId="0" applyNumberFormat="1" applyFont="1" applyBorder="1" applyAlignment="1">
      <alignment horizontal="center" vertical="center"/>
    </xf>
    <xf numFmtId="167" fontId="42" fillId="0" borderId="1" xfId="0" applyNumberFormat="1" applyFont="1" applyBorder="1" applyAlignment="1">
      <alignment horizontal="center" vertical="center"/>
    </xf>
    <xf numFmtId="169" fontId="4" fillId="10" borderId="1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185" fontId="4" fillId="4" borderId="0" xfId="0" applyNumberFormat="1" applyFont="1" applyFill="1" applyAlignment="1" applyProtection="1">
      <alignment horizontal="left" vertical="center"/>
      <protection locked="0"/>
    </xf>
    <xf numFmtId="185" fontId="4" fillId="0" borderId="0" xfId="0" applyNumberFormat="1" applyFont="1" applyAlignment="1">
      <alignment horizontal="left" vertical="center"/>
    </xf>
    <xf numFmtId="0" fontId="61" fillId="0" borderId="0" xfId="0" applyFont="1"/>
    <xf numFmtId="0" fontId="63" fillId="0" borderId="5" xfId="0" applyFont="1" applyBorder="1" applyAlignment="1">
      <alignment horizontal="left" vertical="top"/>
    </xf>
    <xf numFmtId="0" fontId="63" fillId="0" borderId="9" xfId="0" applyFont="1" applyBorder="1" applyAlignment="1">
      <alignment vertical="top"/>
    </xf>
    <xf numFmtId="0" fontId="63" fillId="0" borderId="0" xfId="0" applyFont="1"/>
    <xf numFmtId="0" fontId="61" fillId="0" borderId="5" xfId="0" applyFont="1" applyBorder="1" applyAlignment="1">
      <alignment vertical="top"/>
    </xf>
    <xf numFmtId="0" fontId="61" fillId="0" borderId="7" xfId="0" applyFont="1" applyBorder="1"/>
    <xf numFmtId="0" fontId="61" fillId="0" borderId="9" xfId="0" applyFont="1" applyBorder="1" applyAlignment="1">
      <alignment horizontal="left" vertical="top"/>
    </xf>
    <xf numFmtId="0" fontId="61" fillId="0" borderId="0" xfId="0" applyFont="1" applyAlignment="1">
      <alignment horizontal="left"/>
    </xf>
    <xf numFmtId="0" fontId="38" fillId="0" borderId="5" xfId="7" applyFont="1" applyBorder="1" applyAlignment="1">
      <alignment vertical="top"/>
    </xf>
    <xf numFmtId="0" fontId="61" fillId="0" borderId="9" xfId="0" applyFont="1" applyBorder="1"/>
    <xf numFmtId="0" fontId="38" fillId="0" borderId="9" xfId="7" applyFont="1" applyBorder="1" applyAlignment="1" applyProtection="1">
      <alignment vertical="top"/>
      <protection locked="0"/>
    </xf>
    <xf numFmtId="0" fontId="61" fillId="0" borderId="0" xfId="0" applyFont="1" applyAlignment="1">
      <alignment vertical="top"/>
    </xf>
    <xf numFmtId="181" fontId="61" fillId="0" borderId="0" xfId="0" applyNumberFormat="1" applyFont="1"/>
    <xf numFmtId="0" fontId="63" fillId="0" borderId="0" xfId="0" applyFont="1" applyAlignment="1">
      <alignment vertical="top"/>
    </xf>
    <xf numFmtId="0" fontId="61" fillId="0" borderId="0" xfId="0" applyFont="1" applyAlignment="1">
      <alignment horizontal="left" vertical="top"/>
    </xf>
    <xf numFmtId="0" fontId="38" fillId="0" borderId="0" xfId="7" applyFont="1" applyAlignment="1">
      <alignment vertical="top" wrapText="1"/>
    </xf>
    <xf numFmtId="0" fontId="38" fillId="0" borderId="0" xfId="7" applyFont="1" applyAlignment="1">
      <alignment horizontal="justify" vertical="center" wrapText="1"/>
    </xf>
    <xf numFmtId="0" fontId="13" fillId="0" borderId="0" xfId="7" applyFont="1"/>
    <xf numFmtId="0" fontId="13" fillId="0" borderId="41" xfId="7" applyFont="1" applyBorder="1"/>
    <xf numFmtId="0" fontId="61" fillId="0" borderId="38" xfId="0" applyFont="1" applyBorder="1"/>
    <xf numFmtId="0" fontId="61" fillId="0" borderId="40" xfId="0" applyFont="1" applyBorder="1"/>
    <xf numFmtId="0" fontId="13" fillId="0" borderId="26" xfId="7" applyFont="1" applyBorder="1"/>
    <xf numFmtId="0" fontId="61" fillId="0" borderId="42" xfId="0" applyFont="1" applyBorder="1"/>
    <xf numFmtId="0" fontId="13" fillId="0" borderId="26" xfId="7" applyFont="1" applyBorder="1" applyAlignment="1">
      <alignment wrapText="1"/>
    </xf>
    <xf numFmtId="0" fontId="13" fillId="0" borderId="42" xfId="7" applyFont="1" applyBorder="1"/>
    <xf numFmtId="0" fontId="63" fillId="0" borderId="0" xfId="7" applyFont="1" applyAlignment="1">
      <alignment horizontal="left" vertical="top" wrapText="1"/>
    </xf>
    <xf numFmtId="0" fontId="63" fillId="0" borderId="26" xfId="7" applyFont="1" applyBorder="1" applyAlignment="1">
      <alignment wrapText="1"/>
    </xf>
    <xf numFmtId="181" fontId="61" fillId="0" borderId="0" xfId="0" applyNumberFormat="1" applyFont="1" applyAlignment="1">
      <alignment horizontal="center" vertical="center"/>
    </xf>
    <xf numFmtId="0" fontId="63" fillId="0" borderId="26" xfId="7" applyFont="1" applyBorder="1"/>
    <xf numFmtId="0" fontId="63" fillId="0" borderId="43" xfId="7" applyFont="1" applyBorder="1"/>
    <xf numFmtId="0" fontId="61" fillId="0" borderId="6" xfId="0" applyFont="1" applyBorder="1"/>
    <xf numFmtId="0" fontId="61" fillId="0" borderId="44" xfId="0" applyFont="1" applyBorder="1"/>
    <xf numFmtId="172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right" vertical="center"/>
    </xf>
    <xf numFmtId="166" fontId="4" fillId="0" borderId="9" xfId="0" applyNumberFormat="1" applyFont="1" applyBorder="1" applyAlignment="1">
      <alignment horizontal="left" vertical="center"/>
    </xf>
    <xf numFmtId="2" fontId="9" fillId="0" borderId="11" xfId="0" applyNumberFormat="1" applyFont="1" applyBorder="1"/>
    <xf numFmtId="2" fontId="9" fillId="0" borderId="0" xfId="0" applyNumberFormat="1" applyFont="1"/>
    <xf numFmtId="2" fontId="9" fillId="0" borderId="16" xfId="0" applyNumberFormat="1" applyFont="1" applyBorder="1"/>
    <xf numFmtId="0" fontId="4" fillId="0" borderId="5" xfId="0" applyFont="1" applyBorder="1" applyAlignment="1" applyProtection="1">
      <alignment horizontal="right" vertical="center"/>
      <protection locked="0"/>
    </xf>
    <xf numFmtId="170" fontId="4" fillId="0" borderId="5" xfId="0" applyNumberFormat="1" applyFont="1" applyBorder="1" applyAlignment="1">
      <alignment horizontal="right" vertical="center"/>
    </xf>
    <xf numFmtId="0" fontId="50" fillId="10" borderId="0" xfId="0" applyFont="1" applyFill="1" applyAlignment="1" applyProtection="1">
      <alignment vertical="center"/>
      <protection locked="0"/>
    </xf>
    <xf numFmtId="0" fontId="64" fillId="4" borderId="0" xfId="0" applyFont="1" applyFill="1" applyAlignment="1" applyProtection="1">
      <alignment horizontal="left" vertical="center"/>
      <protection locked="0"/>
    </xf>
    <xf numFmtId="0" fontId="65" fillId="10" borderId="0" xfId="0" applyFont="1" applyFill="1" applyAlignment="1" applyProtection="1">
      <alignment vertical="center"/>
      <protection locked="0"/>
    </xf>
    <xf numFmtId="0" fontId="64" fillId="8" borderId="0" xfId="0" applyFont="1" applyFill="1" applyAlignment="1" applyProtection="1">
      <alignment vertical="center"/>
      <protection locked="0"/>
    </xf>
    <xf numFmtId="169" fontId="64" fillId="4" borderId="1" xfId="0" applyNumberFormat="1" applyFont="1" applyFill="1" applyBorder="1" applyAlignment="1" applyProtection="1">
      <alignment horizontal="center" vertical="center"/>
      <protection locked="0"/>
    </xf>
    <xf numFmtId="0" fontId="64" fillId="4" borderId="0" xfId="0" applyFont="1" applyFill="1" applyAlignment="1" applyProtection="1">
      <alignment vertical="center"/>
      <protection locked="0"/>
    </xf>
    <xf numFmtId="2" fontId="64" fillId="1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3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 applyProtection="1">
      <alignment horizontal="left" vertical="top" wrapText="1"/>
      <protection locked="0"/>
    </xf>
    <xf numFmtId="0" fontId="26" fillId="3" borderId="13" xfId="0" applyFont="1" applyFill="1" applyBorder="1" applyAlignment="1">
      <alignment horizontal="left" vertical="top" wrapText="1"/>
    </xf>
    <xf numFmtId="0" fontId="26" fillId="3" borderId="0" xfId="0" applyFont="1" applyFill="1" applyAlignment="1">
      <alignment horizontal="left" vertical="top" wrapText="1"/>
    </xf>
    <xf numFmtId="0" fontId="5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0" fillId="3" borderId="0" xfId="0" applyFont="1" applyFill="1" applyAlignment="1">
      <alignment horizontal="right" vertical="center"/>
    </xf>
    <xf numFmtId="0" fontId="42" fillId="0" borderId="1" xfId="0" applyFont="1" applyBorder="1" applyAlignment="1" applyProtection="1">
      <alignment horizontal="center" vertical="center"/>
      <protection locked="0"/>
    </xf>
    <xf numFmtId="0" fontId="45" fillId="0" borderId="0" xfId="0" applyFont="1" applyAlignment="1" applyProtection="1">
      <alignment horizontal="center" vertical="center"/>
      <protection locked="0"/>
    </xf>
    <xf numFmtId="2" fontId="4" fillId="0" borderId="2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64" fillId="4" borderId="0" xfId="0" applyFont="1" applyFill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64" fillId="13" borderId="0" xfId="0" applyFont="1" applyFill="1" applyAlignment="1" applyProtection="1">
      <alignment horizontal="left"/>
      <protection locked="0"/>
    </xf>
    <xf numFmtId="0" fontId="41" fillId="0" borderId="0" xfId="0" applyFont="1" applyAlignment="1" applyProtection="1">
      <alignment horizontal="left" vertical="center"/>
      <protection locked="0"/>
    </xf>
    <xf numFmtId="0" fontId="19" fillId="0" borderId="2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0" fillId="14" borderId="0" xfId="0" applyFill="1" applyAlignment="1">
      <alignment horizontal="left"/>
    </xf>
    <xf numFmtId="0" fontId="54" fillId="12" borderId="2" xfId="0" applyFont="1" applyFill="1" applyBorder="1" applyAlignment="1">
      <alignment horizontal="center" vertical="center" textRotation="91" wrapText="1"/>
    </xf>
    <xf numFmtId="0" fontId="54" fillId="12" borderId="4" xfId="0" applyFont="1" applyFill="1" applyBorder="1" applyAlignment="1">
      <alignment horizontal="center" vertical="center" textRotation="91" wrapText="1"/>
    </xf>
    <xf numFmtId="0" fontId="54" fillId="12" borderId="3" xfId="0" applyFont="1" applyFill="1" applyBorder="1" applyAlignment="1">
      <alignment horizontal="center" vertical="center" textRotation="91" wrapText="1"/>
    </xf>
    <xf numFmtId="0" fontId="54" fillId="12" borderId="2" xfId="0" applyFont="1" applyFill="1" applyBorder="1" applyAlignment="1">
      <alignment horizontal="center" vertical="center" wrapText="1"/>
    </xf>
    <xf numFmtId="0" fontId="54" fillId="12" borderId="4" xfId="0" applyFont="1" applyFill="1" applyBorder="1" applyAlignment="1">
      <alignment horizontal="center" vertical="center" wrapText="1"/>
    </xf>
    <xf numFmtId="0" fontId="54" fillId="12" borderId="3" xfId="0" applyFont="1" applyFill="1" applyBorder="1" applyAlignment="1">
      <alignment horizontal="center" vertical="center" wrapText="1"/>
    </xf>
    <xf numFmtId="0" fontId="54" fillId="12" borderId="2" xfId="0" applyFont="1" applyFill="1" applyBorder="1" applyAlignment="1">
      <alignment horizontal="center" vertical="center" textRotation="90" wrapText="1"/>
    </xf>
    <xf numFmtId="0" fontId="54" fillId="12" borderId="4" xfId="0" applyFont="1" applyFill="1" applyBorder="1" applyAlignment="1">
      <alignment horizontal="center" vertical="center" textRotation="90" wrapText="1"/>
    </xf>
    <xf numFmtId="0" fontId="54" fillId="12" borderId="3" xfId="0" applyFont="1" applyFill="1" applyBorder="1" applyAlignment="1">
      <alignment horizontal="center" vertical="center" textRotation="90" wrapText="1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84" fontId="4" fillId="0" borderId="5" xfId="0" applyNumberFormat="1" applyFont="1" applyBorder="1" applyAlignment="1">
      <alignment horizontal="center" vertical="center"/>
    </xf>
    <xf numFmtId="184" fontId="4" fillId="0" borderId="7" xfId="0" applyNumberFormat="1" applyFont="1" applyBorder="1" applyAlignment="1">
      <alignment horizontal="center" vertical="center"/>
    </xf>
    <xf numFmtId="184" fontId="4" fillId="0" borderId="9" xfId="0" applyNumberFormat="1" applyFont="1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5" fillId="0" borderId="0" xfId="0" applyFont="1" applyAlignment="1">
      <alignment horizontal="center" vertical="center"/>
    </xf>
    <xf numFmtId="176" fontId="14" fillId="8" borderId="1" xfId="0" applyNumberFormat="1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70" fontId="4" fillId="0" borderId="5" xfId="0" applyNumberFormat="1" applyFont="1" applyBorder="1" applyAlignment="1">
      <alignment horizontal="center" vertical="center"/>
    </xf>
    <xf numFmtId="170" fontId="4" fillId="0" borderId="7" xfId="0" applyNumberFormat="1" applyFont="1" applyBorder="1" applyAlignment="1">
      <alignment horizontal="center" vertical="center"/>
    </xf>
    <xf numFmtId="170" fontId="4" fillId="0" borderId="9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30" fillId="0" borderId="5" xfId="0" applyFont="1" applyBorder="1" applyAlignment="1" applyProtection="1">
      <alignment vertical="center"/>
      <protection locked="0"/>
    </xf>
    <xf numFmtId="0" fontId="30" fillId="0" borderId="7" xfId="0" applyFont="1" applyBorder="1" applyAlignment="1" applyProtection="1">
      <alignment vertical="center"/>
      <protection locked="0"/>
    </xf>
    <xf numFmtId="0" fontId="30" fillId="0" borderId="9" xfId="0" applyFont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14" fontId="30" fillId="0" borderId="1" xfId="0" applyNumberFormat="1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left" vertical="top"/>
      <protection locked="0"/>
    </xf>
    <xf numFmtId="0" fontId="14" fillId="0" borderId="7" xfId="0" applyFont="1" applyBorder="1" applyAlignment="1" applyProtection="1">
      <alignment horizontal="left" vertical="top"/>
      <protection locked="0"/>
    </xf>
    <xf numFmtId="0" fontId="14" fillId="0" borderId="9" xfId="0" applyFont="1" applyBorder="1" applyAlignment="1" applyProtection="1">
      <alignment horizontal="left" vertical="top"/>
      <protection locked="0"/>
    </xf>
    <xf numFmtId="2" fontId="4" fillId="0" borderId="1" xfId="0" applyNumberFormat="1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169" fontId="41" fillId="0" borderId="5" xfId="0" applyNumberFormat="1" applyFont="1" applyBorder="1" applyAlignment="1">
      <alignment horizontal="center" vertical="center"/>
    </xf>
    <xf numFmtId="169" fontId="41" fillId="0" borderId="9" xfId="0" applyNumberFormat="1" applyFont="1" applyBorder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0" fontId="41" fillId="8" borderId="16" xfId="0" applyFont="1" applyFill="1" applyBorder="1" applyAlignment="1">
      <alignment horizontal="center" vertical="center"/>
    </xf>
    <xf numFmtId="176" fontId="41" fillId="8" borderId="11" xfId="0" applyNumberFormat="1" applyFont="1" applyFill="1" applyBorder="1" applyAlignment="1">
      <alignment horizontal="center" vertical="center"/>
    </xf>
    <xf numFmtId="176" fontId="41" fillId="8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175" fontId="4" fillId="0" borderId="0" xfId="0" applyNumberFormat="1" applyFont="1" applyAlignment="1" applyProtection="1">
      <alignment horizontal="right"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70" fontId="4" fillId="0" borderId="5" xfId="0" applyNumberFormat="1" applyFont="1" applyBorder="1" applyAlignment="1">
      <alignment horizontal="center" vertical="center" wrapText="1"/>
    </xf>
    <xf numFmtId="170" fontId="4" fillId="0" borderId="9" xfId="0" applyNumberFormat="1" applyFont="1" applyBorder="1" applyAlignment="1">
      <alignment horizontal="center" vertical="center" wrapText="1"/>
    </xf>
    <xf numFmtId="0" fontId="38" fillId="0" borderId="0" xfId="7" applyFont="1" applyAlignment="1">
      <alignment horizontal="left" vertical="center" wrapText="1"/>
    </xf>
    <xf numFmtId="0" fontId="61" fillId="0" borderId="0" xfId="0" applyFont="1" applyAlignment="1">
      <alignment horizontal="left" vertical="top"/>
    </xf>
    <xf numFmtId="181" fontId="38" fillId="0" borderId="0" xfId="7" applyNumberFormat="1" applyFont="1" applyAlignment="1">
      <alignment horizontal="left" vertical="top" wrapText="1"/>
    </xf>
    <xf numFmtId="0" fontId="60" fillId="0" borderId="0" xfId="7" applyFont="1" applyAlignment="1" applyProtection="1">
      <alignment horizontal="center" vertical="center"/>
      <protection locked="0"/>
    </xf>
    <xf numFmtId="0" fontId="38" fillId="0" borderId="0" xfId="7" applyFont="1" applyAlignment="1">
      <alignment horizontal="center"/>
    </xf>
    <xf numFmtId="0" fontId="62" fillId="0" borderId="0" xfId="0" applyFont="1" applyAlignment="1">
      <alignment horizontal="right"/>
    </xf>
    <xf numFmtId="0" fontId="38" fillId="0" borderId="0" xfId="7" applyFont="1" applyAlignment="1" applyProtection="1">
      <alignment horizontal="left" vertical="center" wrapText="1"/>
      <protection locked="0"/>
    </xf>
    <xf numFmtId="0" fontId="38" fillId="0" borderId="5" xfId="7" applyFont="1" applyBorder="1" applyAlignment="1">
      <alignment horizontal="left" vertical="top" wrapText="1"/>
    </xf>
    <xf numFmtId="0" fontId="38" fillId="0" borderId="7" xfId="7" applyFont="1" applyBorder="1" applyAlignment="1">
      <alignment horizontal="left" vertical="top" wrapText="1"/>
    </xf>
    <xf numFmtId="0" fontId="17" fillId="3" borderId="45" xfId="5" applyFont="1" applyFill="1" applyBorder="1" applyAlignment="1">
      <alignment horizontal="center" vertical="center"/>
    </xf>
    <xf numFmtId="0" fontId="17" fillId="3" borderId="50" xfId="5" applyFont="1" applyFill="1" applyBorder="1" applyAlignment="1">
      <alignment horizontal="center" vertical="center"/>
    </xf>
    <xf numFmtId="0" fontId="32" fillId="3" borderId="37" xfId="5" applyFont="1" applyFill="1" applyBorder="1" applyAlignment="1">
      <alignment horizontal="center" vertical="center"/>
    </xf>
    <xf numFmtId="0" fontId="32" fillId="3" borderId="39" xfId="5" applyFont="1" applyFill="1" applyBorder="1" applyAlignment="1">
      <alignment horizontal="center" vertical="center"/>
    </xf>
    <xf numFmtId="0" fontId="32" fillId="3" borderId="57" xfId="5" applyFont="1" applyFill="1" applyBorder="1" applyAlignment="1">
      <alignment horizontal="center" vertical="center"/>
    </xf>
    <xf numFmtId="0" fontId="36" fillId="6" borderId="20" xfId="5" applyFont="1" applyFill="1" applyBorder="1" applyAlignment="1" applyProtection="1">
      <alignment horizontal="center" vertical="center"/>
      <protection locked="0"/>
    </xf>
    <xf numFmtId="0" fontId="36" fillId="6" borderId="8" xfId="5" applyFont="1" applyFill="1" applyBorder="1" applyAlignment="1" applyProtection="1">
      <alignment horizontal="center" vertical="center"/>
      <protection locked="0"/>
    </xf>
    <xf numFmtId="0" fontId="36" fillId="6" borderId="38" xfId="5" applyFont="1" applyFill="1" applyBorder="1" applyAlignment="1" applyProtection="1">
      <alignment horizontal="center" vertical="center"/>
      <protection locked="0"/>
    </xf>
    <xf numFmtId="0" fontId="36" fillId="6" borderId="21" xfId="5" applyFont="1" applyFill="1" applyBorder="1" applyAlignment="1" applyProtection="1">
      <alignment horizontal="center" vertical="center"/>
      <protection locked="0"/>
    </xf>
    <xf numFmtId="0" fontId="36" fillId="3" borderId="1" xfId="6" applyFont="1" applyFill="1" applyBorder="1" applyAlignment="1">
      <alignment horizontal="center" vertical="center"/>
    </xf>
    <xf numFmtId="0" fontId="36" fillId="6" borderId="30" xfId="5" applyFont="1" applyFill="1" applyBorder="1" applyAlignment="1" applyProtection="1">
      <alignment horizontal="center" vertical="center"/>
      <protection locked="0"/>
    </xf>
    <xf numFmtId="0" fontId="36" fillId="6" borderId="33" xfId="5" applyFont="1" applyFill="1" applyBorder="1" applyAlignment="1" applyProtection="1">
      <alignment horizontal="center" vertical="center"/>
      <protection locked="0"/>
    </xf>
    <xf numFmtId="0" fontId="36" fillId="6" borderId="56" xfId="5" applyFont="1" applyFill="1" applyBorder="1" applyAlignment="1" applyProtection="1">
      <alignment horizontal="center" vertical="center"/>
      <protection locked="0"/>
    </xf>
    <xf numFmtId="0" fontId="36" fillId="6" borderId="31" xfId="5" applyFont="1" applyFill="1" applyBorder="1" applyAlignment="1" applyProtection="1">
      <alignment horizontal="center" vertical="center"/>
      <protection locked="0"/>
    </xf>
    <xf numFmtId="0" fontId="32" fillId="3" borderId="25" xfId="6" applyFont="1" applyFill="1" applyBorder="1" applyAlignment="1">
      <alignment horizontal="left" vertical="center" wrapText="1"/>
    </xf>
    <xf numFmtId="0" fontId="32" fillId="3" borderId="8" xfId="6" applyFont="1" applyFill="1" applyBorder="1" applyAlignment="1">
      <alignment horizontal="left" vertical="center" wrapText="1"/>
    </xf>
    <xf numFmtId="0" fontId="32" fillId="3" borderId="21" xfId="6" applyFont="1" applyFill="1" applyBorder="1" applyAlignment="1">
      <alignment horizontal="left" vertical="center" wrapText="1"/>
    </xf>
    <xf numFmtId="0" fontId="37" fillId="3" borderId="1" xfId="5" applyFont="1" applyFill="1" applyBorder="1" applyAlignment="1">
      <alignment horizontal="center" vertical="center"/>
    </xf>
    <xf numFmtId="0" fontId="37" fillId="3" borderId="29" xfId="5" applyFont="1" applyFill="1" applyBorder="1" applyAlignment="1">
      <alignment horizontal="center" vertical="center"/>
    </xf>
    <xf numFmtId="0" fontId="32" fillId="3" borderId="60" xfId="5" applyFont="1" applyFill="1" applyBorder="1" applyAlignment="1">
      <alignment horizontal="center" vertical="center" wrapText="1"/>
    </xf>
    <xf numFmtId="0" fontId="32" fillId="3" borderId="58" xfId="5" applyFont="1" applyFill="1" applyBorder="1" applyAlignment="1">
      <alignment horizontal="center" vertical="center" wrapText="1"/>
    </xf>
    <xf numFmtId="0" fontId="32" fillId="3" borderId="52" xfId="5" applyFont="1" applyFill="1" applyBorder="1" applyAlignment="1">
      <alignment horizontal="center" vertical="center" wrapText="1"/>
    </xf>
    <xf numFmtId="0" fontId="32" fillId="3" borderId="1" xfId="5" applyFont="1" applyFill="1" applyBorder="1" applyAlignment="1">
      <alignment horizontal="center" vertical="center" wrapText="1"/>
    </xf>
    <xf numFmtId="0" fontId="36" fillId="3" borderId="29" xfId="6" applyFont="1" applyFill="1" applyBorder="1" applyAlignment="1">
      <alignment horizontal="center" vertical="center" wrapText="1"/>
    </xf>
    <xf numFmtId="0" fontId="17" fillId="6" borderId="27" xfId="5" applyFont="1" applyFill="1" applyBorder="1" applyAlignment="1">
      <alignment horizontal="center" vertical="center"/>
    </xf>
    <xf numFmtId="0" fontId="17" fillId="6" borderId="1" xfId="5" applyFont="1" applyFill="1" applyBorder="1" applyAlignment="1">
      <alignment horizontal="center" vertical="center"/>
    </xf>
    <xf numFmtId="0" fontId="32" fillId="3" borderId="24" xfId="6" applyFont="1" applyFill="1" applyBorder="1" applyAlignment="1">
      <alignment horizontal="left" vertical="center" wrapText="1"/>
    </xf>
    <xf numFmtId="0" fontId="32" fillId="3" borderId="23" xfId="6" applyFont="1" applyFill="1" applyBorder="1" applyAlignment="1">
      <alignment horizontal="left" vertical="center" wrapText="1"/>
    </xf>
    <xf numFmtId="1" fontId="32" fillId="8" borderId="1" xfId="5" applyNumberFormat="1" applyFont="1" applyFill="1" applyBorder="1" applyAlignment="1">
      <alignment horizontal="center" vertical="center"/>
    </xf>
    <xf numFmtId="1" fontId="32" fillId="8" borderId="5" xfId="5" applyNumberFormat="1" applyFont="1" applyFill="1" applyBorder="1" applyAlignment="1">
      <alignment horizontal="center" vertical="center"/>
    </xf>
    <xf numFmtId="0" fontId="36" fillId="8" borderId="1" xfId="5" applyFont="1" applyFill="1" applyBorder="1" applyAlignment="1">
      <alignment horizontal="center" vertical="center"/>
    </xf>
    <xf numFmtId="0" fontId="36" fillId="8" borderId="5" xfId="5" applyFont="1" applyFill="1" applyBorder="1" applyAlignment="1">
      <alignment horizontal="center" vertical="center"/>
    </xf>
    <xf numFmtId="0" fontId="32" fillId="6" borderId="24" xfId="6" applyFont="1" applyFill="1" applyBorder="1" applyAlignment="1">
      <alignment horizontal="center" vertical="center"/>
    </xf>
    <xf numFmtId="1" fontId="32" fillId="8" borderId="24" xfId="5" applyNumberFormat="1" applyFont="1" applyFill="1" applyBorder="1" applyAlignment="1">
      <alignment horizontal="center" vertical="center"/>
    </xf>
    <xf numFmtId="1" fontId="32" fillId="8" borderId="25" xfId="5" applyNumberFormat="1" applyFont="1" applyFill="1" applyBorder="1" applyAlignment="1">
      <alignment horizontal="center" vertical="center"/>
    </xf>
    <xf numFmtId="0" fontId="37" fillId="6" borderId="1" xfId="5" applyFont="1" applyFill="1" applyBorder="1" applyAlignment="1">
      <alignment horizontal="center" vertical="center"/>
    </xf>
    <xf numFmtId="0" fontId="36" fillId="6" borderId="22" xfId="5" applyFont="1" applyFill="1" applyBorder="1" applyAlignment="1">
      <alignment horizontal="center" vertical="center"/>
    </xf>
    <xf numFmtId="0" fontId="36" fillId="6" borderId="27" xfId="5" applyFont="1" applyFill="1" applyBorder="1" applyAlignment="1">
      <alignment horizontal="center" vertical="center"/>
    </xf>
    <xf numFmtId="0" fontId="36" fillId="6" borderId="24" xfId="5" applyFont="1" applyFill="1" applyBorder="1" applyAlignment="1">
      <alignment horizontal="center" vertical="center" wrapText="1"/>
    </xf>
    <xf numFmtId="0" fontId="36" fillId="6" borderId="1" xfId="5" applyFont="1" applyFill="1" applyBorder="1" applyAlignment="1">
      <alignment horizontal="center" vertical="center" wrapText="1"/>
    </xf>
    <xf numFmtId="0" fontId="36" fillId="6" borderId="24" xfId="5" applyFont="1" applyFill="1" applyBorder="1" applyAlignment="1">
      <alignment horizontal="center" vertical="center"/>
    </xf>
    <xf numFmtId="0" fontId="36" fillId="6" borderId="1" xfId="5" applyFont="1" applyFill="1" applyBorder="1" applyAlignment="1">
      <alignment horizontal="center" vertical="center"/>
    </xf>
    <xf numFmtId="0" fontId="53" fillId="0" borderId="45" xfId="5" applyBorder="1" applyAlignment="1">
      <alignment horizontal="center" vertical="center"/>
    </xf>
    <xf numFmtId="0" fontId="53" fillId="0" borderId="46" xfId="5" applyBorder="1" applyAlignment="1">
      <alignment horizontal="center" vertical="center"/>
    </xf>
    <xf numFmtId="0" fontId="53" fillId="0" borderId="50" xfId="5" applyBorder="1" applyAlignment="1">
      <alignment horizontal="center" vertical="center"/>
    </xf>
    <xf numFmtId="0" fontId="32" fillId="6" borderId="41" xfId="6" applyFont="1" applyFill="1" applyBorder="1" applyAlignment="1">
      <alignment horizontal="center" vertical="center"/>
    </xf>
    <xf numFmtId="0" fontId="32" fillId="6" borderId="38" xfId="6" applyFont="1" applyFill="1" applyBorder="1" applyAlignment="1">
      <alignment horizontal="center" vertical="center"/>
    </xf>
    <xf numFmtId="0" fontId="32" fillId="6" borderId="40" xfId="6" applyFont="1" applyFill="1" applyBorder="1" applyAlignment="1">
      <alignment horizontal="center" vertical="center"/>
    </xf>
    <xf numFmtId="0" fontId="33" fillId="6" borderId="37" xfId="5" applyFont="1" applyFill="1" applyBorder="1" applyAlignment="1">
      <alignment horizontal="center" vertical="center"/>
    </xf>
    <xf numFmtId="0" fontId="33" fillId="6" borderId="47" xfId="5" applyFont="1" applyFill="1" applyBorder="1" applyAlignment="1">
      <alignment horizontal="center" vertical="center"/>
    </xf>
    <xf numFmtId="0" fontId="33" fillId="6" borderId="48" xfId="5" applyFont="1" applyFill="1" applyBorder="1" applyAlignment="1">
      <alignment horizontal="center" vertical="center"/>
    </xf>
    <xf numFmtId="0" fontId="33" fillId="6" borderId="39" xfId="5" applyFont="1" applyFill="1" applyBorder="1" applyAlignment="1">
      <alignment horizontal="center" vertical="center"/>
    </xf>
    <xf numFmtId="0" fontId="33" fillId="6" borderId="45" xfId="5" applyFont="1" applyFill="1" applyBorder="1" applyAlignment="1">
      <alignment horizontal="center" vertical="center"/>
    </xf>
    <xf numFmtId="0" fontId="33" fillId="6" borderId="50" xfId="5" applyFont="1" applyFill="1" applyBorder="1" applyAlignment="1">
      <alignment horizontal="center" vertical="center"/>
    </xf>
    <xf numFmtId="0" fontId="34" fillId="6" borderId="37" xfId="6" applyFont="1" applyFill="1" applyBorder="1" applyAlignment="1">
      <alignment horizontal="center" vertical="center"/>
    </xf>
    <xf numFmtId="0" fontId="34" fillId="6" borderId="47" xfId="6" applyFont="1" applyFill="1" applyBorder="1" applyAlignment="1">
      <alignment horizontal="center" vertical="center"/>
    </xf>
    <xf numFmtId="0" fontId="35" fillId="6" borderId="43" xfId="6" applyFont="1" applyFill="1" applyBorder="1" applyAlignment="1">
      <alignment horizontal="center" vertical="center"/>
    </xf>
    <xf numFmtId="0" fontId="34" fillId="6" borderId="51" xfId="6" applyFont="1" applyFill="1" applyBorder="1" applyAlignment="1">
      <alignment horizontal="center" vertical="center"/>
    </xf>
    <xf numFmtId="1" fontId="14" fillId="6" borderId="41" xfId="5" applyNumberFormat="1" applyFont="1" applyFill="1" applyBorder="1" applyAlignment="1">
      <alignment horizontal="center" vertical="center"/>
    </xf>
    <xf numFmtId="1" fontId="14" fillId="6" borderId="40" xfId="5" applyNumberFormat="1" applyFont="1" applyFill="1" applyBorder="1" applyAlignment="1">
      <alignment horizontal="center" vertical="center"/>
    </xf>
    <xf numFmtId="0" fontId="32" fillId="6" borderId="37" xfId="6" applyFont="1" applyFill="1" applyBorder="1" applyAlignment="1">
      <alignment horizontal="center" vertical="center"/>
    </xf>
    <xf numFmtId="0" fontId="32" fillId="6" borderId="39" xfId="6" applyFont="1" applyFill="1" applyBorder="1" applyAlignment="1">
      <alignment horizontal="center" vertical="center"/>
    </xf>
    <xf numFmtId="0" fontId="32" fillId="6" borderId="57" xfId="6" applyFont="1" applyFill="1" applyBorder="1" applyAlignment="1">
      <alignment horizontal="center" vertical="center"/>
    </xf>
    <xf numFmtId="0" fontId="34" fillId="6" borderId="1" xfId="6" applyFont="1" applyFill="1" applyBorder="1" applyAlignment="1">
      <alignment horizontal="center" vertical="center"/>
    </xf>
    <xf numFmtId="0" fontId="35" fillId="6" borderId="1" xfId="6" applyFont="1" applyFill="1" applyBorder="1" applyAlignment="1">
      <alignment horizontal="center" vertical="center"/>
    </xf>
    <xf numFmtId="0" fontId="53" fillId="0" borderId="41" xfId="5" applyBorder="1" applyAlignment="1">
      <alignment horizontal="center" vertical="center"/>
    </xf>
    <xf numFmtId="0" fontId="53" fillId="0" borderId="26" xfId="5" applyBorder="1" applyAlignment="1">
      <alignment horizontal="center" vertical="center"/>
    </xf>
    <xf numFmtId="0" fontId="53" fillId="0" borderId="43" xfId="5" applyBorder="1" applyAlignment="1">
      <alignment horizontal="center" vertical="center"/>
    </xf>
    <xf numFmtId="0" fontId="32" fillId="6" borderId="1" xfId="6" applyFont="1" applyFill="1" applyBorder="1" applyAlignment="1">
      <alignment horizontal="center" vertical="center"/>
    </xf>
    <xf numFmtId="1" fontId="14" fillId="6" borderId="1" xfId="5" applyNumberFormat="1" applyFont="1" applyFill="1" applyBorder="1" applyAlignment="1">
      <alignment horizontal="center" vertical="center"/>
    </xf>
    <xf numFmtId="0" fontId="33" fillId="6" borderId="1" xfId="5" applyFont="1" applyFill="1" applyBorder="1" applyAlignment="1">
      <alignment horizontal="center" vertical="center"/>
    </xf>
    <xf numFmtId="0" fontId="31" fillId="5" borderId="37" xfId="5" applyFont="1" applyFill="1" applyBorder="1" applyAlignment="1">
      <alignment horizontal="center" vertical="center"/>
    </xf>
    <xf numFmtId="0" fontId="31" fillId="5" borderId="38" xfId="5" applyFont="1" applyFill="1" applyBorder="1" applyAlignment="1">
      <alignment horizontal="center" vertical="center"/>
    </xf>
    <xf numFmtId="0" fontId="31" fillId="5" borderId="39" xfId="5" applyFont="1" applyFill="1" applyBorder="1" applyAlignment="1">
      <alignment horizontal="center" vertical="center"/>
    </xf>
    <xf numFmtId="0" fontId="31" fillId="5" borderId="40" xfId="5" applyFont="1" applyFill="1" applyBorder="1" applyAlignment="1">
      <alignment horizontal="center" vertical="center"/>
    </xf>
    <xf numFmtId="166" fontId="64" fillId="4" borderId="1" xfId="0" applyNumberFormat="1" applyFont="1" applyFill="1" applyBorder="1" applyAlignment="1" applyProtection="1">
      <alignment horizontal="center" vertical="center"/>
      <protection locked="0"/>
    </xf>
  </cellXfs>
  <cellStyles count="8">
    <cellStyle name="Normal" xfId="0" builtinId="0"/>
    <cellStyle name="Normal 2" xfId="2" xr:uid="{00000000-0005-0000-0000-000001000000}"/>
    <cellStyle name="Normal 2 2" xfId="6" xr:uid="{B4966968-0DB6-4CB2-8ABD-0E018F797221}"/>
    <cellStyle name="Normal 2 3" xfId="7" xr:uid="{8A46F599-79FA-4DAD-A716-1DCD6DC65B45}"/>
    <cellStyle name="Normal 3" xfId="5" xr:uid="{14C197B9-F812-4804-9C45-1208D39FFD37}"/>
    <cellStyle name="Normal_Daftar kelistrikan (ecg)" xfId="1" xr:uid="{00000000-0005-0000-0000-000002000000}"/>
    <cellStyle name="Normal_THERMOHYGRO 2010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391948</xdr:colOff>
      <xdr:row>44</xdr:row>
      <xdr:rowOff>5471</xdr:rowOff>
    </xdr:from>
    <xdr:to>
      <xdr:col>8</xdr:col>
      <xdr:colOff>639598</xdr:colOff>
      <xdr:row>47</xdr:row>
      <xdr:rowOff>71158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5625224" y="7630945"/>
          <a:ext cx="1096141" cy="624049"/>
          <a:chOff x="5525535" y="8920968"/>
          <a:chExt cx="1057275" cy="634468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5525535" y="8920968"/>
            <a:ext cx="1057275" cy="63446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5935110" y="9129020"/>
            <a:ext cx="247650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0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5947751" y="8943228"/>
            <a:ext cx="208223" cy="19797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2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5956427" y="9321688"/>
            <a:ext cx="141465" cy="1859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5547503" y="9116506"/>
            <a:ext cx="161925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3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6352430" y="9144335"/>
            <a:ext cx="171451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7</xdr:col>
      <xdr:colOff>361291</xdr:colOff>
      <xdr:row>48</xdr:row>
      <xdr:rowOff>5475</xdr:rowOff>
    </xdr:from>
    <xdr:to>
      <xdr:col>8</xdr:col>
      <xdr:colOff>695215</xdr:colOff>
      <xdr:row>52</xdr:row>
      <xdr:rowOff>5474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600041" y="8315216"/>
          <a:ext cx="1182415" cy="711637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7</xdr:col>
      <xdr:colOff>610912</xdr:colOff>
      <xdr:row>50</xdr:row>
      <xdr:rowOff>60213</xdr:rowOff>
    </xdr:from>
    <xdr:to>
      <xdr:col>7</xdr:col>
      <xdr:colOff>757577</xdr:colOff>
      <xdr:row>51</xdr:row>
      <xdr:rowOff>57015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849662" y="8709351"/>
          <a:ext cx="146665" cy="1829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3284</xdr:colOff>
      <xdr:row>49</xdr:row>
      <xdr:rowOff>82109</xdr:rowOff>
    </xdr:from>
    <xdr:to>
      <xdr:col>8</xdr:col>
      <xdr:colOff>260038</xdr:colOff>
      <xdr:row>50</xdr:row>
      <xdr:rowOff>172416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6090525" y="8577971"/>
          <a:ext cx="256754" cy="243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7</xdr:col>
      <xdr:colOff>589013</xdr:colOff>
      <xdr:row>48</xdr:row>
      <xdr:rowOff>87578</xdr:rowOff>
    </xdr:from>
    <xdr:to>
      <xdr:col>7</xdr:col>
      <xdr:colOff>804890</xdr:colOff>
      <xdr:row>49</xdr:row>
      <xdr:rowOff>96180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827763" y="8397319"/>
          <a:ext cx="215877" cy="1947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287939</xdr:colOff>
      <xdr:row>50</xdr:row>
      <xdr:rowOff>60211</xdr:rowOff>
    </xdr:from>
    <xdr:to>
      <xdr:col>8</xdr:col>
      <xdr:colOff>465693</xdr:colOff>
      <xdr:row>51</xdr:row>
      <xdr:rowOff>117673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6375180" y="8709349"/>
          <a:ext cx="177754" cy="243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8</xdr:col>
      <xdr:colOff>307982</xdr:colOff>
      <xdr:row>48</xdr:row>
      <xdr:rowOff>103250</xdr:rowOff>
    </xdr:from>
    <xdr:to>
      <xdr:col>8</xdr:col>
      <xdr:colOff>446723</xdr:colOff>
      <xdr:row>49</xdr:row>
      <xdr:rowOff>118437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6395223" y="8412991"/>
          <a:ext cx="138741" cy="201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\Data%202023\Massa\TIMBANGAN-DEWA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K"/>
      <sheetName val="Riwayat Revisi"/>
      <sheetName val="ID"/>
      <sheetName val="LH"/>
      <sheetName val="BUDGETING"/>
      <sheetName val="PENYELIA"/>
      <sheetName val="DB Thermohygro"/>
      <sheetName val="SERTIFIKAT"/>
      <sheetName val="SURAT KETERANGAN"/>
      <sheetName val="DB SERTIFIKAT"/>
      <sheetName val="Setifikat "/>
      <sheetName val="Cetik Cetik"/>
    </sheetNames>
    <sheetDataSet>
      <sheetData sheetId="0"/>
      <sheetData sheetId="1"/>
      <sheetData sheetId="2"/>
      <sheetData sheetId="3">
        <row r="1">
          <cell r="A1" t="str">
            <v>INPUT DATA TIMBANGAN DEWASA</v>
          </cell>
        </row>
        <row r="2">
          <cell r="I2" t="str">
            <v>3 / I - 17 / E - 015.36 DL</v>
          </cell>
        </row>
        <row r="4">
          <cell r="D4" t="str">
            <v>-</v>
          </cell>
        </row>
        <row r="5">
          <cell r="D5" t="str">
            <v>-</v>
          </cell>
        </row>
        <row r="6">
          <cell r="D6" t="str">
            <v>-</v>
          </cell>
        </row>
        <row r="7">
          <cell r="D7">
            <v>0.1</v>
          </cell>
        </row>
        <row r="8">
          <cell r="D8">
            <v>44741</v>
          </cell>
        </row>
        <row r="9">
          <cell r="D9">
            <v>44742</v>
          </cell>
        </row>
        <row r="10">
          <cell r="D10" t="str">
            <v>laboratorium kalibrasi lpfk banjarbaru</v>
          </cell>
        </row>
        <row r="11">
          <cell r="D11" t="str">
            <v>laboratorium kalibrasi lpfk banjarbaru</v>
          </cell>
        </row>
        <row r="64">
          <cell r="B64" t="str">
            <v>Siti Fathul Jannah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C24" sqref="C24"/>
    </sheetView>
  </sheetViews>
  <sheetFormatPr defaultRowHeight="14.4" x14ac:dyDescent="0.3"/>
  <cols>
    <col min="3" max="3" width="15" bestFit="1" customWidth="1"/>
    <col min="6" max="6" width="10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C2" t="s">
        <v>2</v>
      </c>
    </row>
    <row r="3" spans="1:10" x14ac:dyDescent="0.3">
      <c r="A3" t="s">
        <v>3</v>
      </c>
      <c r="C3" t="s">
        <v>4</v>
      </c>
    </row>
    <row r="4" spans="1:10" x14ac:dyDescent="0.3">
      <c r="A4" t="s">
        <v>5</v>
      </c>
      <c r="C4" t="s">
        <v>6</v>
      </c>
    </row>
    <row r="6" spans="1:10" x14ac:dyDescent="0.3">
      <c r="A6" t="s">
        <v>7</v>
      </c>
      <c r="C6" s="4" t="s">
        <v>8</v>
      </c>
    </row>
    <row r="7" spans="1:10" x14ac:dyDescent="0.3">
      <c r="A7" s="3" t="s">
        <v>9</v>
      </c>
      <c r="C7">
        <v>100.00004</v>
      </c>
      <c r="D7" t="s">
        <v>10</v>
      </c>
    </row>
    <row r="8" spans="1:10" x14ac:dyDescent="0.3">
      <c r="A8" t="s">
        <v>11</v>
      </c>
      <c r="C8">
        <v>0.15</v>
      </c>
      <c r="D8" t="s">
        <v>12</v>
      </c>
    </row>
    <row r="10" spans="1:10" x14ac:dyDescent="0.3">
      <c r="A10" s="501" t="s">
        <v>13</v>
      </c>
      <c r="B10" s="501" t="s">
        <v>14</v>
      </c>
      <c r="C10" s="501" t="s">
        <v>15</v>
      </c>
      <c r="D10" s="501" t="s">
        <v>16</v>
      </c>
      <c r="E10" s="500" t="s">
        <v>17</v>
      </c>
      <c r="F10" s="500"/>
      <c r="G10" s="500" t="s">
        <v>18</v>
      </c>
      <c r="H10" s="500" t="s">
        <v>19</v>
      </c>
      <c r="I10" s="500" t="s">
        <v>20</v>
      </c>
      <c r="J10" s="500" t="s">
        <v>21</v>
      </c>
    </row>
    <row r="11" spans="1:10" x14ac:dyDescent="0.3">
      <c r="A11" s="501"/>
      <c r="B11" s="501"/>
      <c r="C11" s="501"/>
      <c r="D11" s="501"/>
      <c r="E11" s="1" t="s">
        <v>22</v>
      </c>
      <c r="F11" s="1" t="s">
        <v>23</v>
      </c>
      <c r="G11" s="500"/>
      <c r="H11" s="500"/>
      <c r="I11" s="500"/>
      <c r="J11" s="500"/>
    </row>
    <row r="12" spans="1:10" x14ac:dyDescent="0.3">
      <c r="A12" s="500" t="s">
        <v>24</v>
      </c>
      <c r="B12" s="500" t="s">
        <v>25</v>
      </c>
      <c r="C12" s="500" t="s">
        <v>26</v>
      </c>
      <c r="D12" s="500" t="s">
        <v>27</v>
      </c>
      <c r="E12" s="500" t="s">
        <v>28</v>
      </c>
      <c r="F12" s="500" t="s">
        <v>29</v>
      </c>
      <c r="G12" s="2">
        <v>100.0001</v>
      </c>
      <c r="H12" s="2">
        <v>100.0421</v>
      </c>
      <c r="I12" s="2">
        <v>100.042</v>
      </c>
      <c r="J12" s="2">
        <v>100</v>
      </c>
    </row>
    <row r="13" spans="1:10" x14ac:dyDescent="0.3">
      <c r="A13" s="500"/>
      <c r="B13" s="500"/>
      <c r="C13" s="500"/>
      <c r="D13" s="500"/>
      <c r="E13" s="500"/>
      <c r="F13" s="500"/>
      <c r="G13" s="2">
        <v>99.999899999999997</v>
      </c>
      <c r="H13" s="2">
        <v>100.0421</v>
      </c>
      <c r="I13" s="2">
        <v>100.042</v>
      </c>
      <c r="J13" s="2">
        <v>100</v>
      </c>
    </row>
  </sheetData>
  <mergeCells count="15">
    <mergeCell ref="H10:H11"/>
    <mergeCell ref="I10:I11"/>
    <mergeCell ref="J10:J11"/>
    <mergeCell ref="A12:A13"/>
    <mergeCell ref="B12:B13"/>
    <mergeCell ref="C12:C13"/>
    <mergeCell ref="D12:D13"/>
    <mergeCell ref="E12:E13"/>
    <mergeCell ref="F12:F13"/>
    <mergeCell ref="A10:A11"/>
    <mergeCell ref="B10:B11"/>
    <mergeCell ref="C10:C11"/>
    <mergeCell ref="D10:D11"/>
    <mergeCell ref="E10:F10"/>
    <mergeCell ref="G10:G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96DB-C7C4-4F64-A809-E2DC681325CE}">
  <dimension ref="A2:F61"/>
  <sheetViews>
    <sheetView topLeftCell="A25" workbookViewId="0">
      <selection activeCell="D1" sqref="D1"/>
    </sheetView>
  </sheetViews>
  <sheetFormatPr defaultColWidth="9.21875" defaultRowHeight="14.4" x14ac:dyDescent="0.3"/>
  <cols>
    <col min="1" max="1" width="18.21875" style="452" customWidth="1"/>
    <col min="2" max="2" width="25" style="452" customWidth="1"/>
    <col min="3" max="3" width="2.44140625" style="452" customWidth="1"/>
    <col min="4" max="4" width="15.5546875" style="452" customWidth="1"/>
    <col min="5" max="5" width="9.21875" style="452"/>
    <col min="6" max="6" width="22" style="452" customWidth="1"/>
    <col min="7" max="16384" width="9.21875" style="452"/>
  </cols>
  <sheetData>
    <row r="2" spans="1:6" ht="32.25" customHeight="1" x14ac:dyDescent="0.3">
      <c r="A2" s="624" t="s">
        <v>348</v>
      </c>
      <c r="B2" s="624"/>
      <c r="C2" s="624"/>
      <c r="D2" s="624"/>
      <c r="E2" s="624"/>
      <c r="F2" s="624"/>
    </row>
    <row r="3" spans="1:6" x14ac:dyDescent="0.3">
      <c r="A3" s="625" t="str">
        <f>"Nomor : 78 /"&amp;" "&amp;[1]ID!I2</f>
        <v>Nomor : 78 / 3 / I - 17 / E - 015.36 DL</v>
      </c>
      <c r="B3" s="625"/>
      <c r="C3" s="625"/>
      <c r="D3" s="625"/>
      <c r="E3" s="625"/>
      <c r="F3" s="625"/>
    </row>
    <row r="4" spans="1:6" x14ac:dyDescent="0.3">
      <c r="D4" s="626" t="s">
        <v>349</v>
      </c>
      <c r="E4" s="626"/>
      <c r="F4" s="626"/>
    </row>
    <row r="6" spans="1:6" ht="28.5" customHeight="1" x14ac:dyDescent="0.3">
      <c r="A6" s="453" t="s">
        <v>350</v>
      </c>
      <c r="B6" s="454" t="s">
        <v>351</v>
      </c>
      <c r="C6" s="455"/>
      <c r="D6" s="456" t="s">
        <v>352</v>
      </c>
      <c r="E6" s="457"/>
      <c r="F6" s="458" t="str">
        <f>MID(A3,SEARCH("E - ",A3),LEN(A3))</f>
        <v>E - 015.36 DL</v>
      </c>
    </row>
    <row r="7" spans="1:6" x14ac:dyDescent="0.3">
      <c r="A7" s="452" t="s">
        <v>181</v>
      </c>
    </row>
    <row r="8" spans="1:6" x14ac:dyDescent="0.3">
      <c r="A8" s="621" t="s">
        <v>32</v>
      </c>
      <c r="B8" s="621"/>
      <c r="C8" s="452" t="s">
        <v>33</v>
      </c>
      <c r="D8" s="452" t="str">
        <f>[1]ID!D4</f>
        <v>-</v>
      </c>
    </row>
    <row r="9" spans="1:6" x14ac:dyDescent="0.3">
      <c r="A9" s="621" t="s">
        <v>353</v>
      </c>
      <c r="B9" s="621"/>
      <c r="C9" s="452" t="s">
        <v>33</v>
      </c>
      <c r="D9" s="452" t="str">
        <f>[1]ID!D5</f>
        <v>-</v>
      </c>
    </row>
    <row r="10" spans="1:6" x14ac:dyDescent="0.3">
      <c r="A10" s="621" t="s">
        <v>354</v>
      </c>
      <c r="B10" s="621"/>
      <c r="C10" s="452" t="s">
        <v>33</v>
      </c>
      <c r="D10" s="452" t="str">
        <f>[1]ID!D6</f>
        <v>-</v>
      </c>
    </row>
    <row r="11" spans="1:6" hidden="1" x14ac:dyDescent="0.3">
      <c r="A11" s="627" t="s">
        <v>355</v>
      </c>
      <c r="B11" s="627"/>
    </row>
    <row r="12" spans="1:6" x14ac:dyDescent="0.3">
      <c r="A12" s="627" t="s">
        <v>119</v>
      </c>
      <c r="B12" s="627"/>
      <c r="C12" s="452" t="s">
        <v>33</v>
      </c>
      <c r="D12" s="459">
        <f>[1]ID!D7</f>
        <v>0.1</v>
      </c>
    </row>
    <row r="14" spans="1:6" ht="27.75" customHeight="1" x14ac:dyDescent="0.3">
      <c r="A14" s="460" t="s">
        <v>356</v>
      </c>
      <c r="B14" s="461"/>
      <c r="D14" s="628" t="s">
        <v>357</v>
      </c>
      <c r="E14" s="629"/>
      <c r="F14" s="462"/>
    </row>
    <row r="16" spans="1:6" ht="36.75" customHeight="1" x14ac:dyDescent="0.3">
      <c r="A16" s="463" t="s">
        <v>358</v>
      </c>
      <c r="C16" s="463" t="s">
        <v>33</v>
      </c>
      <c r="D16" s="463" t="s">
        <v>359</v>
      </c>
    </row>
    <row r="17" spans="1:6" x14ac:dyDescent="0.3">
      <c r="A17" s="621" t="s">
        <v>360</v>
      </c>
      <c r="B17" s="621"/>
      <c r="C17" s="452" t="s">
        <v>33</v>
      </c>
      <c r="D17" s="452" t="str">
        <f>[1]ID!D11</f>
        <v>laboratorium kalibrasi lpfk banjarbaru</v>
      </c>
    </row>
    <row r="18" spans="1:6" x14ac:dyDescent="0.3">
      <c r="A18" s="621" t="s">
        <v>361</v>
      </c>
      <c r="B18" s="621"/>
      <c r="C18" s="452" t="s">
        <v>33</v>
      </c>
      <c r="D18" s="464">
        <f>[1]ID!D8</f>
        <v>44741</v>
      </c>
    </row>
    <row r="19" spans="1:6" x14ac:dyDescent="0.3">
      <c r="A19" s="621" t="s">
        <v>39</v>
      </c>
      <c r="B19" s="621"/>
      <c r="C19" s="452" t="s">
        <v>33</v>
      </c>
      <c r="D19" s="464">
        <f>[1]ID!D9</f>
        <v>44742</v>
      </c>
    </row>
    <row r="20" spans="1:6" x14ac:dyDescent="0.3">
      <c r="A20" s="621" t="s">
        <v>362</v>
      </c>
      <c r="B20" s="621"/>
      <c r="C20" s="452" t="s">
        <v>33</v>
      </c>
      <c r="D20" s="452" t="str">
        <f>[1]ID!B64</f>
        <v>Siti Fathul Jannah</v>
      </c>
    </row>
    <row r="21" spans="1:6" x14ac:dyDescent="0.3">
      <c r="A21" s="621" t="s">
        <v>363</v>
      </c>
      <c r="B21" s="621"/>
      <c r="C21" s="452" t="s">
        <v>33</v>
      </c>
      <c r="D21" s="452" t="str">
        <f>[1]ID!D10</f>
        <v>laboratorium kalibrasi lpfk banjarbaru</v>
      </c>
    </row>
    <row r="22" spans="1:6" ht="35.25" customHeight="1" x14ac:dyDescent="0.3">
      <c r="A22" s="465" t="s">
        <v>364</v>
      </c>
      <c r="C22" s="463" t="s">
        <v>33</v>
      </c>
      <c r="D22" s="622" t="s">
        <v>365</v>
      </c>
      <c r="E22" s="622"/>
      <c r="F22" s="622"/>
    </row>
    <row r="23" spans="1:6" x14ac:dyDescent="0.3">
      <c r="A23" s="455" t="s">
        <v>42</v>
      </c>
      <c r="C23" s="452" t="s">
        <v>33</v>
      </c>
      <c r="D23" s="452" t="str">
        <f>D4</f>
        <v>GM.141-19</v>
      </c>
    </row>
    <row r="26" spans="1:6" ht="21.75" customHeight="1" x14ac:dyDescent="0.3">
      <c r="D26" s="467" t="s">
        <v>366</v>
      </c>
      <c r="E26" s="623">
        <f ca="1">TODAY()</f>
        <v>45302</v>
      </c>
      <c r="F26" s="623"/>
    </row>
    <row r="27" spans="1:6" x14ac:dyDescent="0.3">
      <c r="D27" s="621" t="s">
        <v>367</v>
      </c>
      <c r="E27" s="621"/>
      <c r="F27" s="621"/>
    </row>
    <row r="28" spans="1:6" x14ac:dyDescent="0.3">
      <c r="D28" s="621" t="s">
        <v>368</v>
      </c>
      <c r="E28" s="621"/>
      <c r="F28" s="621"/>
    </row>
    <row r="29" spans="1:6" x14ac:dyDescent="0.3">
      <c r="D29" s="468"/>
      <c r="E29" s="468"/>
      <c r="F29" s="469"/>
    </row>
    <row r="30" spans="1:6" x14ac:dyDescent="0.3">
      <c r="D30" s="468"/>
      <c r="E30" s="468"/>
      <c r="F30" s="469"/>
    </row>
    <row r="31" spans="1:6" x14ac:dyDescent="0.3">
      <c r="D31" s="468"/>
      <c r="E31" s="468"/>
      <c r="F31" s="469"/>
    </row>
    <row r="32" spans="1:6" x14ac:dyDescent="0.3">
      <c r="D32" s="621" t="s">
        <v>369</v>
      </c>
      <c r="E32" s="621"/>
      <c r="F32" s="621"/>
    </row>
    <row r="33" spans="1:6" x14ac:dyDescent="0.3">
      <c r="D33" s="621" t="s">
        <v>370</v>
      </c>
      <c r="E33" s="621"/>
      <c r="F33" s="621"/>
    </row>
    <row r="42" spans="1:6" ht="15" thickBot="1" x14ac:dyDescent="0.35"/>
    <row r="43" spans="1:6" x14ac:dyDescent="0.3">
      <c r="A43" s="470" t="s">
        <v>371</v>
      </c>
      <c r="B43" s="471" t="str">
        <f>MID([1]ID!I2,SEARCH("E - ",[1]ID!I2),LEN([1]ID!I2))</f>
        <v>E - 015.36 DL</v>
      </c>
      <c r="C43" s="471"/>
      <c r="D43" s="471"/>
      <c r="E43" s="472"/>
    </row>
    <row r="44" spans="1:6" x14ac:dyDescent="0.3">
      <c r="A44" s="473"/>
      <c r="E44" s="474"/>
    </row>
    <row r="45" spans="1:6" ht="27" x14ac:dyDescent="0.3">
      <c r="A45" s="475" t="s">
        <v>372</v>
      </c>
      <c r="B45" s="463" t="str">
        <f>[1]ID!A1</f>
        <v>INPUT DATA TIMBANGAN DEWASA</v>
      </c>
      <c r="E45" s="474"/>
    </row>
    <row r="46" spans="1:6" ht="27" x14ac:dyDescent="0.3">
      <c r="A46" s="475" t="s">
        <v>373</v>
      </c>
      <c r="B46" s="452" t="str">
        <f>IF(B45="INPUT DATA KALIBRASI TIMBANGAN DEWASA",B47,B48)</f>
        <v>SERTIFIKAT PENGUJIAN</v>
      </c>
      <c r="E46" s="474"/>
    </row>
    <row r="47" spans="1:6" x14ac:dyDescent="0.3">
      <c r="A47" s="475" t="s">
        <v>374</v>
      </c>
      <c r="B47" s="476" t="s">
        <v>348</v>
      </c>
      <c r="E47" s="474"/>
    </row>
    <row r="48" spans="1:6" x14ac:dyDescent="0.3">
      <c r="A48" s="473"/>
      <c r="B48" s="476" t="s">
        <v>375</v>
      </c>
      <c r="E48" s="474"/>
    </row>
    <row r="49" spans="1:5" x14ac:dyDescent="0.3">
      <c r="A49" s="473"/>
      <c r="E49" s="474"/>
    </row>
    <row r="50" spans="1:5" ht="40.200000000000003" x14ac:dyDescent="0.3">
      <c r="A50" s="475" t="s">
        <v>376</v>
      </c>
      <c r="B50" s="452" t="str">
        <f>IF(RIGHT(A2,10)=" KALIBRASI","Kalibrasi","Pengujian")</f>
        <v>Kalibrasi</v>
      </c>
      <c r="E50" s="474"/>
    </row>
    <row r="51" spans="1:5" x14ac:dyDescent="0.3">
      <c r="A51" s="473"/>
      <c r="E51" s="474"/>
    </row>
    <row r="52" spans="1:5" ht="27.6" x14ac:dyDescent="0.3">
      <c r="A52" s="475" t="s">
        <v>377</v>
      </c>
      <c r="B52" s="477" t="s">
        <v>378</v>
      </c>
      <c r="E52" s="474"/>
    </row>
    <row r="53" spans="1:5" x14ac:dyDescent="0.3">
      <c r="A53" s="473"/>
      <c r="E53" s="474"/>
    </row>
    <row r="54" spans="1:5" ht="48.75" customHeight="1" x14ac:dyDescent="0.3">
      <c r="A54" s="478" t="s">
        <v>379</v>
      </c>
      <c r="B54" s="479">
        <f>DATE(YEAR(D19)+1,MONTH(D19),DAY(D19))</f>
        <v>45107</v>
      </c>
      <c r="E54" s="474"/>
    </row>
    <row r="55" spans="1:5" ht="27" x14ac:dyDescent="0.3">
      <c r="A55" s="475" t="s">
        <v>380</v>
      </c>
      <c r="B55" s="479" t="str">
        <f>TEXT(B54,"d mmmm yyyy")</f>
        <v>30 June 2023</v>
      </c>
      <c r="E55" s="474"/>
    </row>
    <row r="56" spans="1:5" x14ac:dyDescent="0.3">
      <c r="A56" s="473"/>
      <c r="E56" s="474"/>
    </row>
    <row r="57" spans="1:5" ht="28.2" x14ac:dyDescent="0.3">
      <c r="A57" s="478" t="s">
        <v>381</v>
      </c>
      <c r="B57" s="452" t="str">
        <f>IF(B46=B47,B58,B59)</f>
        <v>Laik Pakai, disarankan untuk diuji ulang pada tanggal 30 June 2023</v>
      </c>
      <c r="E57" s="474"/>
    </row>
    <row r="58" spans="1:5" ht="24.75" customHeight="1" x14ac:dyDescent="0.3">
      <c r="A58" s="473" t="s">
        <v>382</v>
      </c>
      <c r="B58" s="452" t="str">
        <f>CONCATENATE(B60,B55)</f>
        <v>Laik Pakai, disarankan untuk dikalibrasi ulang pada tanggal 30 June 2023</v>
      </c>
      <c r="E58" s="474"/>
    </row>
    <row r="59" spans="1:5" ht="24" customHeight="1" x14ac:dyDescent="0.3">
      <c r="A59" s="473"/>
      <c r="B59" s="452" t="str">
        <f>CONCATENATE(B61,B55)</f>
        <v>Laik Pakai, disarankan untuk diuji ulang pada tanggal 30 June 2023</v>
      </c>
      <c r="E59" s="474"/>
    </row>
    <row r="60" spans="1:5" ht="30" customHeight="1" x14ac:dyDescent="0.3">
      <c r="A60" s="480" t="s">
        <v>374</v>
      </c>
      <c r="B60" s="466" t="s">
        <v>383</v>
      </c>
      <c r="E60" s="474"/>
    </row>
    <row r="61" spans="1:5" ht="29.25" customHeight="1" thickBot="1" x14ac:dyDescent="0.35">
      <c r="A61" s="481"/>
      <c r="B61" s="482" t="s">
        <v>384</v>
      </c>
      <c r="C61" s="482"/>
      <c r="D61" s="482"/>
      <c r="E61" s="483"/>
    </row>
  </sheetData>
  <mergeCells count="20">
    <mergeCell ref="A19:B19"/>
    <mergeCell ref="A2:F2"/>
    <mergeCell ref="A3:F3"/>
    <mergeCell ref="D4:F4"/>
    <mergeCell ref="A8:B8"/>
    <mergeCell ref="A9:B9"/>
    <mergeCell ref="A10:B10"/>
    <mergeCell ref="A11:B11"/>
    <mergeCell ref="A12:B12"/>
    <mergeCell ref="D14:E14"/>
    <mergeCell ref="A17:B17"/>
    <mergeCell ref="A18:B18"/>
    <mergeCell ref="D32:F32"/>
    <mergeCell ref="D33:F33"/>
    <mergeCell ref="A20:B20"/>
    <mergeCell ref="A21:B21"/>
    <mergeCell ref="D22:F22"/>
    <mergeCell ref="E26:F26"/>
    <mergeCell ref="D27:F27"/>
    <mergeCell ref="D28:F28"/>
  </mergeCells>
  <dataValidations count="1">
    <dataValidation type="list" allowBlank="1" showInputMessage="1" showErrorMessage="1" sqref="A2:F2" xr:uid="{E1925F1F-9A74-4B3E-A03D-FC3096F5EE88}">
      <formula1>"SERTIFIKAT KALIBRASI,SERTIFIKAT PENGUJIAN"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1B2B-9E0E-4303-ADD7-EBDD87CF1B19}">
  <sheetPr>
    <tabColor rgb="FF00B0F0"/>
  </sheetPr>
  <dimension ref="A1:P375"/>
  <sheetViews>
    <sheetView view="pageBreakPreview" topLeftCell="A360" zoomScaleNormal="100" zoomScaleSheetLayoutView="100" workbookViewId="0">
      <selection activeCell="G372" sqref="G372"/>
    </sheetView>
  </sheetViews>
  <sheetFormatPr defaultColWidth="8.77734375" defaultRowHeight="13.2" x14ac:dyDescent="0.25"/>
  <cols>
    <col min="1" max="5" width="8.77734375" style="187"/>
    <col min="6" max="6" width="11.5546875" style="187" customWidth="1"/>
    <col min="7" max="16384" width="8.77734375" style="187"/>
  </cols>
  <sheetData>
    <row r="1" spans="1:16" ht="18" thickBot="1" x14ac:dyDescent="0.3">
      <c r="A1" s="701" t="s">
        <v>272</v>
      </c>
      <c r="B1" s="702"/>
      <c r="C1" s="702"/>
      <c r="D1" s="702"/>
      <c r="E1" s="702"/>
      <c r="F1" s="702"/>
      <c r="G1" s="703"/>
      <c r="H1" s="702"/>
      <c r="I1" s="702"/>
      <c r="J1" s="702"/>
      <c r="K1" s="702"/>
      <c r="L1" s="702"/>
      <c r="M1" s="703"/>
      <c r="N1" s="702"/>
      <c r="O1" s="704"/>
      <c r="P1" s="186"/>
    </row>
    <row r="2" spans="1:16" x14ac:dyDescent="0.25">
      <c r="A2" s="695">
        <v>1</v>
      </c>
      <c r="B2" s="698" t="s">
        <v>273</v>
      </c>
      <c r="C2" s="698"/>
      <c r="D2" s="698"/>
      <c r="E2" s="698"/>
      <c r="F2" s="698"/>
      <c r="G2" s="188"/>
      <c r="H2" s="698" t="str">
        <f>B2</f>
        <v>KOREKSI KIMO THERMOHYGROMETER 15062873</v>
      </c>
      <c r="I2" s="698"/>
      <c r="J2" s="698"/>
      <c r="K2" s="698"/>
      <c r="L2" s="698"/>
      <c r="M2" s="188"/>
      <c r="N2" s="699" t="s">
        <v>219</v>
      </c>
      <c r="O2" s="699"/>
      <c r="P2" s="186"/>
    </row>
    <row r="3" spans="1:16" x14ac:dyDescent="0.25">
      <c r="A3" s="696"/>
      <c r="B3" s="700" t="s">
        <v>274</v>
      </c>
      <c r="C3" s="700"/>
      <c r="D3" s="700" t="s">
        <v>217</v>
      </c>
      <c r="E3" s="700"/>
      <c r="F3" s="700" t="s">
        <v>275</v>
      </c>
      <c r="H3" s="700" t="s">
        <v>276</v>
      </c>
      <c r="I3" s="700"/>
      <c r="J3" s="700" t="s">
        <v>217</v>
      </c>
      <c r="K3" s="700"/>
      <c r="L3" s="700" t="s">
        <v>275</v>
      </c>
      <c r="N3" s="189" t="s">
        <v>274</v>
      </c>
      <c r="O3" s="190">
        <v>0.5</v>
      </c>
      <c r="P3" s="186"/>
    </row>
    <row r="4" spans="1:16" ht="14.4" x14ac:dyDescent="0.25">
      <c r="A4" s="696"/>
      <c r="B4" s="693" t="s">
        <v>277</v>
      </c>
      <c r="C4" s="693"/>
      <c r="D4" s="191">
        <v>2020</v>
      </c>
      <c r="E4" s="191">
        <v>2017</v>
      </c>
      <c r="F4" s="700"/>
      <c r="H4" s="694" t="s">
        <v>278</v>
      </c>
      <c r="I4" s="693"/>
      <c r="J4" s="192">
        <f>D4</f>
        <v>2020</v>
      </c>
      <c r="K4" s="192">
        <f>E4</f>
        <v>2017</v>
      </c>
      <c r="L4" s="700"/>
      <c r="N4" s="189" t="s">
        <v>278</v>
      </c>
      <c r="O4" s="190">
        <v>2.6</v>
      </c>
      <c r="P4" s="186"/>
    </row>
    <row r="5" spans="1:16" x14ac:dyDescent="0.25">
      <c r="A5" s="696"/>
      <c r="B5" s="193"/>
      <c r="C5" s="194">
        <v>15</v>
      </c>
      <c r="D5" s="195">
        <v>0.3</v>
      </c>
      <c r="E5" s="195">
        <v>-0.5</v>
      </c>
      <c r="F5" s="196">
        <f t="shared" ref="F5:F11" si="0">0.5*(MAX(D5:E5)-MIN(D5:E5))</f>
        <v>0.4</v>
      </c>
      <c r="H5" s="193"/>
      <c r="I5" s="194">
        <v>35</v>
      </c>
      <c r="J5" s="195">
        <v>-5</v>
      </c>
      <c r="K5" s="195">
        <v>-6</v>
      </c>
      <c r="L5" s="196">
        <f t="shared" ref="L5:L11" si="1">0.5*(MAX(J5:K5)-MIN(J5:K5))</f>
        <v>0.5</v>
      </c>
      <c r="O5" s="197"/>
      <c r="P5" s="186"/>
    </row>
    <row r="6" spans="1:16" x14ac:dyDescent="0.25">
      <c r="A6" s="696"/>
      <c r="B6" s="193"/>
      <c r="C6" s="194">
        <v>20</v>
      </c>
      <c r="D6" s="195">
        <v>0</v>
      </c>
      <c r="E6" s="195">
        <v>-0.2</v>
      </c>
      <c r="F6" s="196">
        <f>0.5*(MAX(D6:E6)-MIN(D6:E6))</f>
        <v>0.1</v>
      </c>
      <c r="H6" s="193"/>
      <c r="I6" s="194">
        <v>40</v>
      </c>
      <c r="J6" s="195">
        <v>-5.9</v>
      </c>
      <c r="K6" s="195">
        <v>-5.8</v>
      </c>
      <c r="L6" s="196">
        <f t="shared" si="1"/>
        <v>5.0000000000000266E-2</v>
      </c>
      <c r="O6" s="197"/>
      <c r="P6" s="186"/>
    </row>
    <row r="7" spans="1:16" x14ac:dyDescent="0.25">
      <c r="A7" s="696"/>
      <c r="B7" s="193"/>
      <c r="C7" s="194">
        <v>25</v>
      </c>
      <c r="D7" s="195">
        <v>-0.1</v>
      </c>
      <c r="E7" s="195">
        <v>0</v>
      </c>
      <c r="F7" s="196">
        <f t="shared" si="0"/>
        <v>0.05</v>
      </c>
      <c r="H7" s="193"/>
      <c r="I7" s="194">
        <v>50</v>
      </c>
      <c r="J7" s="195">
        <v>-6.6</v>
      </c>
      <c r="K7" s="195">
        <v>-5.3</v>
      </c>
      <c r="L7" s="196">
        <f t="shared" si="1"/>
        <v>0.64999999999999991</v>
      </c>
      <c r="O7" s="197"/>
      <c r="P7" s="186"/>
    </row>
    <row r="8" spans="1:16" x14ac:dyDescent="0.25">
      <c r="A8" s="696"/>
      <c r="B8" s="193"/>
      <c r="C8" s="198">
        <v>30</v>
      </c>
      <c r="D8" s="199">
        <v>-0.1</v>
      </c>
      <c r="E8" s="199">
        <v>0</v>
      </c>
      <c r="F8" s="196">
        <f t="shared" si="0"/>
        <v>0.05</v>
      </c>
      <c r="H8" s="193"/>
      <c r="I8" s="198">
        <v>60</v>
      </c>
      <c r="J8" s="199">
        <v>-6</v>
      </c>
      <c r="K8" s="199">
        <v>-4.4000000000000004</v>
      </c>
      <c r="L8" s="196">
        <f t="shared" si="1"/>
        <v>0.79999999999999982</v>
      </c>
      <c r="O8" s="197"/>
      <c r="P8" s="186"/>
    </row>
    <row r="9" spans="1:16" x14ac:dyDescent="0.25">
      <c r="A9" s="696"/>
      <c r="B9" s="193"/>
      <c r="C9" s="198">
        <v>35</v>
      </c>
      <c r="D9" s="199">
        <v>0</v>
      </c>
      <c r="E9" s="199">
        <v>-0.1</v>
      </c>
      <c r="F9" s="196">
        <f t="shared" si="0"/>
        <v>0.05</v>
      </c>
      <c r="H9" s="193"/>
      <c r="I9" s="198">
        <v>70</v>
      </c>
      <c r="J9" s="199">
        <v>-4</v>
      </c>
      <c r="K9" s="199">
        <v>-3.2</v>
      </c>
      <c r="L9" s="196">
        <f t="shared" si="1"/>
        <v>0.39999999999999991</v>
      </c>
      <c r="O9" s="197"/>
      <c r="P9" s="186"/>
    </row>
    <row r="10" spans="1:16" x14ac:dyDescent="0.25">
      <c r="A10" s="696"/>
      <c r="B10" s="193"/>
      <c r="C10" s="198">
        <v>37</v>
      </c>
      <c r="D10" s="199">
        <v>0.1</v>
      </c>
      <c r="E10" s="199">
        <v>-0.2</v>
      </c>
      <c r="F10" s="196">
        <f t="shared" si="0"/>
        <v>0.15000000000000002</v>
      </c>
      <c r="H10" s="193"/>
      <c r="I10" s="198">
        <v>80</v>
      </c>
      <c r="J10" s="199">
        <v>-0.7</v>
      </c>
      <c r="K10" s="199">
        <v>-1.6</v>
      </c>
      <c r="L10" s="196">
        <f t="shared" si="1"/>
        <v>0.45000000000000007</v>
      </c>
      <c r="O10" s="197"/>
      <c r="P10" s="186"/>
    </row>
    <row r="11" spans="1:16" ht="13.8" thickBot="1" x14ac:dyDescent="0.3">
      <c r="A11" s="697"/>
      <c r="B11" s="193"/>
      <c r="C11" s="198">
        <v>40</v>
      </c>
      <c r="D11" s="199">
        <v>0.3</v>
      </c>
      <c r="E11" s="199">
        <v>-0.3</v>
      </c>
      <c r="F11" s="196">
        <f t="shared" si="0"/>
        <v>0.3</v>
      </c>
      <c r="G11" s="201"/>
      <c r="H11" s="193"/>
      <c r="I11" s="198">
        <v>90</v>
      </c>
      <c r="J11" s="199">
        <v>4</v>
      </c>
      <c r="K11" s="199">
        <v>0.3</v>
      </c>
      <c r="L11" s="196">
        <f t="shared" si="1"/>
        <v>1.85</v>
      </c>
      <c r="M11" s="201"/>
      <c r="N11" s="201"/>
      <c r="O11" s="202"/>
      <c r="P11" s="186"/>
    </row>
    <row r="12" spans="1:16" ht="13.8" thickBot="1" x14ac:dyDescent="0.3">
      <c r="A12" s="203"/>
      <c r="B12" s="203"/>
      <c r="O12" s="197"/>
      <c r="P12" s="186"/>
    </row>
    <row r="13" spans="1:16" x14ac:dyDescent="0.25">
      <c r="A13" s="695">
        <v>2</v>
      </c>
      <c r="B13" s="698" t="s">
        <v>279</v>
      </c>
      <c r="C13" s="698"/>
      <c r="D13" s="698"/>
      <c r="E13" s="698"/>
      <c r="F13" s="698"/>
      <c r="G13" s="188"/>
      <c r="H13" s="698" t="str">
        <f>B13</f>
        <v>KOREKSI KIMO THERMOHYGROMETER 15062874</v>
      </c>
      <c r="I13" s="698"/>
      <c r="J13" s="698"/>
      <c r="K13" s="698"/>
      <c r="L13" s="698"/>
      <c r="M13" s="188"/>
      <c r="N13" s="699" t="s">
        <v>219</v>
      </c>
      <c r="O13" s="699"/>
      <c r="P13" s="186"/>
    </row>
    <row r="14" spans="1:16" x14ac:dyDescent="0.25">
      <c r="A14" s="696"/>
      <c r="B14" s="700" t="s">
        <v>274</v>
      </c>
      <c r="C14" s="700"/>
      <c r="D14" s="700" t="s">
        <v>217</v>
      </c>
      <c r="E14" s="700"/>
      <c r="F14" s="700" t="s">
        <v>275</v>
      </c>
      <c r="H14" s="700" t="s">
        <v>276</v>
      </c>
      <c r="I14" s="700"/>
      <c r="J14" s="700" t="s">
        <v>217</v>
      </c>
      <c r="K14" s="700"/>
      <c r="L14" s="700" t="s">
        <v>275</v>
      </c>
      <c r="N14" s="189" t="s">
        <v>274</v>
      </c>
      <c r="O14" s="204">
        <v>0.3</v>
      </c>
      <c r="P14" s="186"/>
    </row>
    <row r="15" spans="1:16" ht="14.4" x14ac:dyDescent="0.25">
      <c r="A15" s="696"/>
      <c r="B15" s="693" t="s">
        <v>277</v>
      </c>
      <c r="C15" s="693"/>
      <c r="D15" s="191">
        <v>2018</v>
      </c>
      <c r="E15" s="191">
        <v>2017</v>
      </c>
      <c r="F15" s="700"/>
      <c r="H15" s="694" t="s">
        <v>278</v>
      </c>
      <c r="I15" s="693"/>
      <c r="J15" s="192">
        <f>D15</f>
        <v>2018</v>
      </c>
      <c r="K15" s="192">
        <f>E15</f>
        <v>2017</v>
      </c>
      <c r="L15" s="700"/>
      <c r="N15" s="189" t="s">
        <v>278</v>
      </c>
      <c r="O15" s="204">
        <v>3.3</v>
      </c>
      <c r="P15" s="186"/>
    </row>
    <row r="16" spans="1:16" x14ac:dyDescent="0.25">
      <c r="A16" s="696"/>
      <c r="B16" s="193"/>
      <c r="C16" s="194">
        <v>15</v>
      </c>
      <c r="D16" s="195">
        <v>0</v>
      </c>
      <c r="E16" s="194">
        <v>0.5</v>
      </c>
      <c r="F16" s="196">
        <f t="shared" ref="F16:F22" si="2">0.5*(MAX(D16:E16)-MIN(D16:E16))</f>
        <v>0.25</v>
      </c>
      <c r="H16" s="193"/>
      <c r="I16" s="194">
        <v>35</v>
      </c>
      <c r="J16" s="195">
        <v>-1.6</v>
      </c>
      <c r="K16" s="194">
        <v>-0.9</v>
      </c>
      <c r="L16" s="196">
        <f t="shared" ref="L16:L22" si="3">0.5*(MAX(J16:K16)-MIN(J16:K16))</f>
        <v>0.35000000000000003</v>
      </c>
      <c r="O16" s="197"/>
      <c r="P16" s="186"/>
    </row>
    <row r="17" spans="1:16" x14ac:dyDescent="0.25">
      <c r="A17" s="696"/>
      <c r="B17" s="193"/>
      <c r="C17" s="194">
        <v>20</v>
      </c>
      <c r="D17" s="195">
        <v>-0.1</v>
      </c>
      <c r="E17" s="194">
        <v>0</v>
      </c>
      <c r="F17" s="196">
        <f t="shared" si="2"/>
        <v>0.05</v>
      </c>
      <c r="H17" s="193"/>
      <c r="I17" s="194">
        <v>40</v>
      </c>
      <c r="J17" s="195">
        <v>-1.6</v>
      </c>
      <c r="K17" s="194">
        <v>-1.1000000000000001</v>
      </c>
      <c r="L17" s="196">
        <f t="shared" si="3"/>
        <v>0.25</v>
      </c>
      <c r="O17" s="197"/>
      <c r="P17" s="186"/>
    </row>
    <row r="18" spans="1:16" x14ac:dyDescent="0.25">
      <c r="A18" s="696"/>
      <c r="B18" s="193"/>
      <c r="C18" s="194">
        <v>25</v>
      </c>
      <c r="D18" s="195">
        <v>-0.2</v>
      </c>
      <c r="E18" s="194">
        <v>-0.5</v>
      </c>
      <c r="F18" s="196">
        <f t="shared" si="2"/>
        <v>0.15</v>
      </c>
      <c r="H18" s="193"/>
      <c r="I18" s="194">
        <v>50</v>
      </c>
      <c r="J18" s="195">
        <v>-1.5</v>
      </c>
      <c r="K18" s="194">
        <v>-1.4</v>
      </c>
      <c r="L18" s="196">
        <f t="shared" si="3"/>
        <v>5.0000000000000044E-2</v>
      </c>
      <c r="O18" s="197"/>
      <c r="P18" s="186"/>
    </row>
    <row r="19" spans="1:16" x14ac:dyDescent="0.25">
      <c r="A19" s="696"/>
      <c r="B19" s="193"/>
      <c r="C19" s="198">
        <v>30</v>
      </c>
      <c r="D19" s="200">
        <v>-0.3</v>
      </c>
      <c r="E19" s="198">
        <v>-1</v>
      </c>
      <c r="F19" s="196">
        <f t="shared" si="2"/>
        <v>0.35</v>
      </c>
      <c r="H19" s="193"/>
      <c r="I19" s="198">
        <v>60</v>
      </c>
      <c r="J19" s="200">
        <v>-1.3</v>
      </c>
      <c r="K19" s="198">
        <v>-1.3</v>
      </c>
      <c r="L19" s="196">
        <f t="shared" si="3"/>
        <v>0</v>
      </c>
      <c r="O19" s="197"/>
      <c r="P19" s="186"/>
    </row>
    <row r="20" spans="1:16" x14ac:dyDescent="0.25">
      <c r="A20" s="696"/>
      <c r="B20" s="193"/>
      <c r="C20" s="198">
        <v>35</v>
      </c>
      <c r="D20" s="200">
        <v>-0.3</v>
      </c>
      <c r="E20" s="198">
        <v>-1.6</v>
      </c>
      <c r="F20" s="196">
        <f t="shared" si="2"/>
        <v>0.65</v>
      </c>
      <c r="H20" s="193"/>
      <c r="I20" s="198">
        <v>70</v>
      </c>
      <c r="J20" s="200">
        <v>-1.1000000000000001</v>
      </c>
      <c r="K20" s="198">
        <v>-1</v>
      </c>
      <c r="L20" s="196">
        <f t="shared" si="3"/>
        <v>5.0000000000000044E-2</v>
      </c>
      <c r="O20" s="197"/>
      <c r="P20" s="186"/>
    </row>
    <row r="21" spans="1:16" x14ac:dyDescent="0.25">
      <c r="A21" s="696"/>
      <c r="B21" s="193"/>
      <c r="C21" s="198">
        <v>37</v>
      </c>
      <c r="D21" s="200">
        <v>-0.3</v>
      </c>
      <c r="E21" s="198">
        <v>-1.8</v>
      </c>
      <c r="F21" s="196">
        <f t="shared" si="2"/>
        <v>0.75</v>
      </c>
      <c r="H21" s="193"/>
      <c r="I21" s="198">
        <v>80</v>
      </c>
      <c r="J21" s="200">
        <v>-0.7</v>
      </c>
      <c r="K21" s="198">
        <v>-0.4</v>
      </c>
      <c r="L21" s="196">
        <f t="shared" si="3"/>
        <v>0.14999999999999997</v>
      </c>
      <c r="O21" s="197"/>
      <c r="P21" s="186"/>
    </row>
    <row r="22" spans="1:16" ht="13.8" thickBot="1" x14ac:dyDescent="0.3">
      <c r="A22" s="697"/>
      <c r="B22" s="193"/>
      <c r="C22" s="198">
        <v>40</v>
      </c>
      <c r="D22" s="200">
        <v>-0.3</v>
      </c>
      <c r="E22" s="198">
        <v>-2.1</v>
      </c>
      <c r="F22" s="196">
        <f t="shared" si="2"/>
        <v>0.9</v>
      </c>
      <c r="G22" s="201"/>
      <c r="H22" s="193"/>
      <c r="I22" s="198">
        <v>90</v>
      </c>
      <c r="J22" s="200">
        <v>-0.3</v>
      </c>
      <c r="K22" s="198">
        <v>0.6</v>
      </c>
      <c r="L22" s="196">
        <f t="shared" si="3"/>
        <v>0.44999999999999996</v>
      </c>
      <c r="M22" s="201"/>
      <c r="N22" s="201"/>
      <c r="O22" s="202"/>
      <c r="P22" s="186"/>
    </row>
    <row r="23" spans="1:16" ht="13.8" thickBot="1" x14ac:dyDescent="0.3">
      <c r="A23" s="203"/>
      <c r="B23" s="203"/>
      <c r="O23" s="197"/>
      <c r="P23" s="186"/>
    </row>
    <row r="24" spans="1:16" x14ac:dyDescent="0.25">
      <c r="A24" s="695">
        <v>3</v>
      </c>
      <c r="B24" s="698" t="s">
        <v>280</v>
      </c>
      <c r="C24" s="698"/>
      <c r="D24" s="698"/>
      <c r="E24" s="698"/>
      <c r="F24" s="698"/>
      <c r="G24" s="188"/>
      <c r="H24" s="698" t="str">
        <f>B24</f>
        <v>KOREKSI KIMO THERMOHYGROMETER 14082463</v>
      </c>
      <c r="I24" s="698"/>
      <c r="J24" s="698"/>
      <c r="K24" s="698"/>
      <c r="L24" s="698"/>
      <c r="M24" s="188"/>
      <c r="N24" s="699" t="s">
        <v>219</v>
      </c>
      <c r="O24" s="699"/>
      <c r="P24" s="186"/>
    </row>
    <row r="25" spans="1:16" x14ac:dyDescent="0.25">
      <c r="A25" s="696"/>
      <c r="B25" s="700" t="s">
        <v>274</v>
      </c>
      <c r="C25" s="700"/>
      <c r="D25" s="700" t="s">
        <v>217</v>
      </c>
      <c r="E25" s="700"/>
      <c r="F25" s="700" t="s">
        <v>275</v>
      </c>
      <c r="H25" s="700" t="s">
        <v>276</v>
      </c>
      <c r="I25" s="700"/>
      <c r="J25" s="700" t="s">
        <v>217</v>
      </c>
      <c r="K25" s="700"/>
      <c r="L25" s="700" t="s">
        <v>275</v>
      </c>
      <c r="N25" s="189" t="s">
        <v>274</v>
      </c>
      <c r="O25" s="204">
        <v>0.3</v>
      </c>
      <c r="P25" s="186"/>
    </row>
    <row r="26" spans="1:16" ht="14.4" x14ac:dyDescent="0.25">
      <c r="A26" s="696"/>
      <c r="B26" s="693" t="s">
        <v>277</v>
      </c>
      <c r="C26" s="693"/>
      <c r="D26" s="191">
        <v>2018</v>
      </c>
      <c r="E26" s="191">
        <v>2017</v>
      </c>
      <c r="F26" s="700"/>
      <c r="H26" s="694" t="s">
        <v>278</v>
      </c>
      <c r="I26" s="693"/>
      <c r="J26" s="192">
        <f>D26</f>
        <v>2018</v>
      </c>
      <c r="K26" s="192">
        <f>E26</f>
        <v>2017</v>
      </c>
      <c r="L26" s="700"/>
      <c r="N26" s="189" t="s">
        <v>278</v>
      </c>
      <c r="O26" s="204">
        <v>3.1</v>
      </c>
      <c r="P26" s="186"/>
    </row>
    <row r="27" spans="1:16" x14ac:dyDescent="0.25">
      <c r="A27" s="696"/>
      <c r="B27" s="193"/>
      <c r="C27" s="194">
        <v>15</v>
      </c>
      <c r="D27" s="195">
        <v>0</v>
      </c>
      <c r="E27" s="194">
        <v>0.2</v>
      </c>
      <c r="F27" s="196">
        <f t="shared" ref="F27:F33" si="4">0.5*(MAX(D27:E27)-MIN(D27:E27))</f>
        <v>0.1</v>
      </c>
      <c r="H27" s="193"/>
      <c r="I27" s="194">
        <v>30</v>
      </c>
      <c r="J27" s="195">
        <v>-5.7</v>
      </c>
      <c r="K27" s="194">
        <v>-1.1000000000000001</v>
      </c>
      <c r="L27" s="196">
        <f t="shared" ref="L27:L33" si="5">0.5*(MAX(J27:K27)-MIN(J27:K27))</f>
        <v>2.2999999999999998</v>
      </c>
      <c r="O27" s="197"/>
      <c r="P27" s="186"/>
    </row>
    <row r="28" spans="1:16" x14ac:dyDescent="0.25">
      <c r="A28" s="696"/>
      <c r="B28" s="193"/>
      <c r="C28" s="194">
        <v>20</v>
      </c>
      <c r="D28" s="195">
        <v>0</v>
      </c>
      <c r="E28" s="194">
        <v>0</v>
      </c>
      <c r="F28" s="196">
        <f t="shared" si="4"/>
        <v>0</v>
      </c>
      <c r="H28" s="193"/>
      <c r="I28" s="194">
        <v>40</v>
      </c>
      <c r="J28" s="195">
        <v>-5.3</v>
      </c>
      <c r="K28" s="194">
        <v>-1.9</v>
      </c>
      <c r="L28" s="196">
        <f t="shared" si="5"/>
        <v>1.7</v>
      </c>
      <c r="O28" s="197"/>
      <c r="P28" s="186"/>
    </row>
    <row r="29" spans="1:16" x14ac:dyDescent="0.25">
      <c r="A29" s="696"/>
      <c r="B29" s="193"/>
      <c r="C29" s="194">
        <v>25</v>
      </c>
      <c r="D29" s="195">
        <v>-0.1</v>
      </c>
      <c r="E29" s="194">
        <v>-0.2</v>
      </c>
      <c r="F29" s="196">
        <f t="shared" si="4"/>
        <v>0.05</v>
      </c>
      <c r="H29" s="193"/>
      <c r="I29" s="194">
        <v>50</v>
      </c>
      <c r="J29" s="195">
        <v>-4.9000000000000004</v>
      </c>
      <c r="K29" s="194">
        <v>-2.2999999999999998</v>
      </c>
      <c r="L29" s="196">
        <f t="shared" si="5"/>
        <v>1.3000000000000003</v>
      </c>
      <c r="O29" s="197"/>
      <c r="P29" s="186"/>
    </row>
    <row r="30" spans="1:16" x14ac:dyDescent="0.25">
      <c r="A30" s="696"/>
      <c r="B30" s="193"/>
      <c r="C30" s="198">
        <v>30</v>
      </c>
      <c r="D30" s="200">
        <v>-0.3</v>
      </c>
      <c r="E30" s="198">
        <v>-0.3</v>
      </c>
      <c r="F30" s="196">
        <f t="shared" si="4"/>
        <v>0</v>
      </c>
      <c r="H30" s="193"/>
      <c r="I30" s="198">
        <v>60</v>
      </c>
      <c r="J30" s="200">
        <v>-4.3</v>
      </c>
      <c r="K30" s="198">
        <v>-2.2000000000000002</v>
      </c>
      <c r="L30" s="196">
        <f t="shared" si="5"/>
        <v>1.0499999999999998</v>
      </c>
      <c r="O30" s="197"/>
      <c r="P30" s="186"/>
    </row>
    <row r="31" spans="1:16" x14ac:dyDescent="0.25">
      <c r="A31" s="696"/>
      <c r="B31" s="193"/>
      <c r="C31" s="198">
        <v>35</v>
      </c>
      <c r="D31" s="200">
        <v>-0.5</v>
      </c>
      <c r="E31" s="198">
        <v>-0.4</v>
      </c>
      <c r="F31" s="196">
        <f t="shared" si="4"/>
        <v>4.9999999999999989E-2</v>
      </c>
      <c r="H31" s="193"/>
      <c r="I31" s="198">
        <v>70</v>
      </c>
      <c r="J31" s="200">
        <v>-3.6</v>
      </c>
      <c r="K31" s="198">
        <v>-1.6</v>
      </c>
      <c r="L31" s="196">
        <f t="shared" si="5"/>
        <v>1</v>
      </c>
      <c r="O31" s="197"/>
      <c r="P31" s="186"/>
    </row>
    <row r="32" spans="1:16" x14ac:dyDescent="0.25">
      <c r="A32" s="696"/>
      <c r="B32" s="193"/>
      <c r="C32" s="198">
        <v>37</v>
      </c>
      <c r="D32" s="200">
        <v>-0.6</v>
      </c>
      <c r="E32" s="198">
        <v>-0.5</v>
      </c>
      <c r="F32" s="196">
        <f t="shared" si="4"/>
        <v>4.9999999999999989E-2</v>
      </c>
      <c r="H32" s="193"/>
      <c r="I32" s="198">
        <v>80</v>
      </c>
      <c r="J32" s="200">
        <v>-2.9</v>
      </c>
      <c r="K32" s="198">
        <v>-0.6</v>
      </c>
      <c r="L32" s="196">
        <f t="shared" si="5"/>
        <v>1.1499999999999999</v>
      </c>
      <c r="O32" s="197"/>
      <c r="P32" s="186"/>
    </row>
    <row r="33" spans="1:16" ht="13.8" thickBot="1" x14ac:dyDescent="0.3">
      <c r="A33" s="697"/>
      <c r="B33" s="193"/>
      <c r="C33" s="198">
        <v>40</v>
      </c>
      <c r="D33" s="200">
        <v>-0.7</v>
      </c>
      <c r="E33" s="198">
        <v>-0.5</v>
      </c>
      <c r="F33" s="196">
        <f t="shared" si="4"/>
        <v>9.9999999999999978E-2</v>
      </c>
      <c r="G33" s="201"/>
      <c r="H33" s="193"/>
      <c r="I33" s="198">
        <v>90</v>
      </c>
      <c r="J33" s="200">
        <v>-2</v>
      </c>
      <c r="K33" s="198">
        <v>0.9</v>
      </c>
      <c r="L33" s="196">
        <f t="shared" si="5"/>
        <v>1.45</v>
      </c>
      <c r="M33" s="201"/>
      <c r="N33" s="201"/>
      <c r="O33" s="202"/>
      <c r="P33" s="186"/>
    </row>
    <row r="34" spans="1:16" ht="13.8" thickBot="1" x14ac:dyDescent="0.3">
      <c r="A34" s="203"/>
      <c r="B34" s="203"/>
      <c r="H34" s="205"/>
      <c r="O34" s="197"/>
      <c r="P34" s="186"/>
    </row>
    <row r="35" spans="1:16" ht="13.8" thickBot="1" x14ac:dyDescent="0.3">
      <c r="A35" s="672">
        <v>4</v>
      </c>
      <c r="B35" s="675" t="s">
        <v>281</v>
      </c>
      <c r="C35" s="676"/>
      <c r="D35" s="676"/>
      <c r="E35" s="676"/>
      <c r="F35" s="677"/>
      <c r="G35" s="188"/>
      <c r="H35" s="675" t="str">
        <f>B35</f>
        <v>KOREKSI KIMO THERMOHYGROMETER 15062872</v>
      </c>
      <c r="I35" s="676"/>
      <c r="J35" s="676"/>
      <c r="K35" s="676"/>
      <c r="L35" s="677"/>
      <c r="M35" s="188"/>
      <c r="N35" s="688" t="s">
        <v>219</v>
      </c>
      <c r="O35" s="689"/>
      <c r="P35" s="186"/>
    </row>
    <row r="36" spans="1:16" ht="13.8" thickBot="1" x14ac:dyDescent="0.3">
      <c r="A36" s="673"/>
      <c r="B36" s="678" t="s">
        <v>274</v>
      </c>
      <c r="C36" s="679"/>
      <c r="D36" s="680" t="s">
        <v>217</v>
      </c>
      <c r="E36" s="681"/>
      <c r="F36" s="682" t="s">
        <v>275</v>
      </c>
      <c r="H36" s="678" t="s">
        <v>276</v>
      </c>
      <c r="I36" s="679"/>
      <c r="J36" s="680" t="s">
        <v>217</v>
      </c>
      <c r="K36" s="681"/>
      <c r="L36" s="682" t="s">
        <v>275</v>
      </c>
      <c r="N36" s="206" t="s">
        <v>274</v>
      </c>
      <c r="O36" s="207">
        <v>0.6</v>
      </c>
      <c r="P36" s="186"/>
    </row>
    <row r="37" spans="1:16" ht="15" thickBot="1" x14ac:dyDescent="0.3">
      <c r="A37" s="673"/>
      <c r="B37" s="684" t="s">
        <v>277</v>
      </c>
      <c r="C37" s="685"/>
      <c r="D37" s="208">
        <v>2017</v>
      </c>
      <c r="E37" s="208">
        <v>2015</v>
      </c>
      <c r="F37" s="683"/>
      <c r="H37" s="686" t="s">
        <v>278</v>
      </c>
      <c r="I37" s="687"/>
      <c r="J37" s="209">
        <f>D37</f>
        <v>2017</v>
      </c>
      <c r="K37" s="209">
        <f>E37</f>
        <v>2015</v>
      </c>
      <c r="L37" s="683"/>
      <c r="N37" s="210" t="s">
        <v>278</v>
      </c>
      <c r="O37" s="211">
        <v>2.6</v>
      </c>
      <c r="P37" s="186"/>
    </row>
    <row r="38" spans="1:16" x14ac:dyDescent="0.25">
      <c r="A38" s="673"/>
      <c r="C38" s="212">
        <v>15</v>
      </c>
      <c r="D38" s="213">
        <v>-0.1</v>
      </c>
      <c r="E38" s="214">
        <v>0.4</v>
      </c>
      <c r="F38" s="215">
        <f t="shared" ref="F38:F44" si="6">0.5*(MAX(D38:E38)-MIN(D38:E38))</f>
        <v>0.25</v>
      </c>
      <c r="H38" s="203"/>
      <c r="I38" s="212">
        <v>35</v>
      </c>
      <c r="J38" s="213">
        <v>-1.7</v>
      </c>
      <c r="K38" s="214">
        <v>-0.8</v>
      </c>
      <c r="L38" s="215">
        <f t="shared" ref="L38:L44" si="7">0.5*(MAX(J38:K38)-MIN(J38:K38))</f>
        <v>0.44999999999999996</v>
      </c>
      <c r="O38" s="197"/>
      <c r="P38" s="186"/>
    </row>
    <row r="39" spans="1:16" x14ac:dyDescent="0.25">
      <c r="A39" s="673"/>
      <c r="C39" s="216">
        <v>20</v>
      </c>
      <c r="D39" s="195">
        <v>-0.3</v>
      </c>
      <c r="E39" s="194">
        <v>0</v>
      </c>
      <c r="F39" s="217">
        <f>0.5*(MAX(D39:E39)-MIN(D39:E39))</f>
        <v>0.15</v>
      </c>
      <c r="H39" s="203"/>
      <c r="I39" s="216">
        <v>40</v>
      </c>
      <c r="J39" s="195">
        <v>-1.5</v>
      </c>
      <c r="K39" s="194">
        <v>-0.9</v>
      </c>
      <c r="L39" s="217">
        <f t="shared" si="7"/>
        <v>0.3</v>
      </c>
      <c r="O39" s="197"/>
      <c r="P39" s="186"/>
    </row>
    <row r="40" spans="1:16" x14ac:dyDescent="0.25">
      <c r="A40" s="673"/>
      <c r="C40" s="216">
        <v>25</v>
      </c>
      <c r="D40" s="195">
        <v>-0.5</v>
      </c>
      <c r="E40" s="194">
        <v>-0.5</v>
      </c>
      <c r="F40" s="217">
        <f t="shared" si="6"/>
        <v>0</v>
      </c>
      <c r="H40" s="203"/>
      <c r="I40" s="216">
        <v>50</v>
      </c>
      <c r="J40" s="195">
        <v>-1</v>
      </c>
      <c r="K40" s="194">
        <v>-1</v>
      </c>
      <c r="L40" s="217">
        <f t="shared" si="7"/>
        <v>0</v>
      </c>
      <c r="O40" s="197"/>
      <c r="P40" s="186"/>
    </row>
    <row r="41" spans="1:16" x14ac:dyDescent="0.25">
      <c r="A41" s="673"/>
      <c r="C41" s="218">
        <v>30</v>
      </c>
      <c r="D41" s="199">
        <v>-0.6</v>
      </c>
      <c r="E41" s="198">
        <v>-1</v>
      </c>
      <c r="F41" s="217">
        <f t="shared" si="6"/>
        <v>0.2</v>
      </c>
      <c r="H41" s="203"/>
      <c r="I41" s="218">
        <v>60</v>
      </c>
      <c r="J41" s="199">
        <v>-0.3</v>
      </c>
      <c r="K41" s="198">
        <v>-0.9</v>
      </c>
      <c r="L41" s="217">
        <f t="shared" si="7"/>
        <v>0.30000000000000004</v>
      </c>
      <c r="O41" s="197"/>
      <c r="P41" s="186"/>
    </row>
    <row r="42" spans="1:16" x14ac:dyDescent="0.25">
      <c r="A42" s="673"/>
      <c r="C42" s="218">
        <v>35</v>
      </c>
      <c r="D42" s="199">
        <v>-0.6</v>
      </c>
      <c r="E42" s="198">
        <v>-1.5</v>
      </c>
      <c r="F42" s="217">
        <f t="shared" si="6"/>
        <v>0.45</v>
      </c>
      <c r="H42" s="203"/>
      <c r="I42" s="218">
        <v>70</v>
      </c>
      <c r="J42" s="199">
        <v>0.7</v>
      </c>
      <c r="K42" s="198">
        <v>-0.7</v>
      </c>
      <c r="L42" s="217">
        <f t="shared" si="7"/>
        <v>0.7</v>
      </c>
      <c r="O42" s="197"/>
      <c r="P42" s="186"/>
    </row>
    <row r="43" spans="1:16" x14ac:dyDescent="0.25">
      <c r="A43" s="673"/>
      <c r="C43" s="218">
        <v>37</v>
      </c>
      <c r="D43" s="199">
        <v>-0.6</v>
      </c>
      <c r="E43" s="198">
        <v>-1.8</v>
      </c>
      <c r="F43" s="217">
        <f t="shared" si="6"/>
        <v>0.60000000000000009</v>
      </c>
      <c r="H43" s="203"/>
      <c r="I43" s="218">
        <v>80</v>
      </c>
      <c r="J43" s="199">
        <v>1.9</v>
      </c>
      <c r="K43" s="198">
        <v>-0.4</v>
      </c>
      <c r="L43" s="217">
        <f t="shared" si="7"/>
        <v>1.1499999999999999</v>
      </c>
      <c r="O43" s="197"/>
      <c r="P43" s="186"/>
    </row>
    <row r="44" spans="1:16" ht="13.8" thickBot="1" x14ac:dyDescent="0.3">
      <c r="A44" s="674"/>
      <c r="B44" s="201"/>
      <c r="C44" s="219">
        <v>40</v>
      </c>
      <c r="D44" s="199">
        <v>-0.6</v>
      </c>
      <c r="E44" s="220">
        <v>-2.1</v>
      </c>
      <c r="F44" s="221">
        <f t="shared" si="6"/>
        <v>0.75</v>
      </c>
      <c r="G44" s="201"/>
      <c r="H44" s="222"/>
      <c r="I44" s="219">
        <v>90</v>
      </c>
      <c r="J44" s="223">
        <v>3.3</v>
      </c>
      <c r="K44" s="220">
        <v>0.2</v>
      </c>
      <c r="L44" s="221">
        <f t="shared" si="7"/>
        <v>1.5499999999999998</v>
      </c>
      <c r="M44" s="201"/>
      <c r="N44" s="201"/>
      <c r="O44" s="202"/>
      <c r="P44" s="186"/>
    </row>
    <row r="45" spans="1:16" ht="13.8" thickBot="1" x14ac:dyDescent="0.3">
      <c r="A45" s="203"/>
      <c r="B45" s="203"/>
      <c r="O45" s="197"/>
      <c r="P45" s="186"/>
    </row>
    <row r="46" spans="1:16" ht="13.8" thickBot="1" x14ac:dyDescent="0.3">
      <c r="A46" s="672">
        <v>5</v>
      </c>
      <c r="B46" s="675" t="s">
        <v>282</v>
      </c>
      <c r="C46" s="676"/>
      <c r="D46" s="676"/>
      <c r="E46" s="676"/>
      <c r="F46" s="677"/>
      <c r="G46" s="188"/>
      <c r="H46" s="675" t="str">
        <f>B46</f>
        <v>KOREKSI KIMO THERMOHYGROMETER 15062875</v>
      </c>
      <c r="I46" s="676"/>
      <c r="J46" s="676"/>
      <c r="K46" s="676"/>
      <c r="L46" s="677"/>
      <c r="M46" s="188"/>
      <c r="N46" s="688" t="s">
        <v>219</v>
      </c>
      <c r="O46" s="689"/>
      <c r="P46" s="186"/>
    </row>
    <row r="47" spans="1:16" ht="13.8" thickBot="1" x14ac:dyDescent="0.3">
      <c r="A47" s="673"/>
      <c r="B47" s="678" t="s">
        <v>274</v>
      </c>
      <c r="C47" s="679"/>
      <c r="D47" s="680" t="s">
        <v>217</v>
      </c>
      <c r="E47" s="681"/>
      <c r="F47" s="682" t="s">
        <v>275</v>
      </c>
      <c r="H47" s="678" t="s">
        <v>276</v>
      </c>
      <c r="I47" s="679"/>
      <c r="J47" s="680" t="s">
        <v>217</v>
      </c>
      <c r="K47" s="681"/>
      <c r="L47" s="682" t="s">
        <v>275</v>
      </c>
      <c r="N47" s="206" t="s">
        <v>274</v>
      </c>
      <c r="O47" s="207">
        <v>0.4</v>
      </c>
      <c r="P47" s="186"/>
    </row>
    <row r="48" spans="1:16" ht="15" thickBot="1" x14ac:dyDescent="0.3">
      <c r="A48" s="673"/>
      <c r="B48" s="684" t="s">
        <v>277</v>
      </c>
      <c r="C48" s="685"/>
      <c r="D48" s="208">
        <v>2020</v>
      </c>
      <c r="E48" s="208">
        <v>2017</v>
      </c>
      <c r="F48" s="683"/>
      <c r="H48" s="686" t="s">
        <v>278</v>
      </c>
      <c r="I48" s="687"/>
      <c r="J48" s="209">
        <f>D48</f>
        <v>2020</v>
      </c>
      <c r="K48" s="209">
        <f>E48</f>
        <v>2017</v>
      </c>
      <c r="L48" s="683"/>
      <c r="N48" s="210" t="s">
        <v>278</v>
      </c>
      <c r="O48" s="211">
        <v>2.8</v>
      </c>
      <c r="P48" s="186"/>
    </row>
    <row r="49" spans="1:16" x14ac:dyDescent="0.25">
      <c r="A49" s="673"/>
      <c r="C49" s="212">
        <v>15</v>
      </c>
      <c r="D49" s="213">
        <v>-0.3</v>
      </c>
      <c r="E49" s="213">
        <v>0.3</v>
      </c>
      <c r="F49" s="215">
        <f t="shared" ref="F49:F55" si="8">0.5*(MAX(D49:E49)-MIN(D49:E49))</f>
        <v>0.3</v>
      </c>
      <c r="H49" s="203"/>
      <c r="I49" s="212">
        <v>35</v>
      </c>
      <c r="J49" s="213">
        <v>-7.7</v>
      </c>
      <c r="K49" s="213">
        <v>-9.6</v>
      </c>
      <c r="L49" s="215">
        <f t="shared" ref="L49:L55" si="9">0.5*(MAX(J49:K49)-MIN(J49:K49))</f>
        <v>0.94999999999999973</v>
      </c>
      <c r="O49" s="197"/>
      <c r="P49" s="186"/>
    </row>
    <row r="50" spans="1:16" x14ac:dyDescent="0.25">
      <c r="A50" s="673"/>
      <c r="C50" s="216">
        <v>20</v>
      </c>
      <c r="D50" s="195">
        <v>0.1</v>
      </c>
      <c r="E50" s="195">
        <v>0.3</v>
      </c>
      <c r="F50" s="217">
        <f t="shared" si="8"/>
        <v>9.9999999999999992E-2</v>
      </c>
      <c r="H50" s="203"/>
      <c r="I50" s="216">
        <v>40</v>
      </c>
      <c r="J50" s="195">
        <v>-7.2</v>
      </c>
      <c r="K50" s="195">
        <v>-8</v>
      </c>
      <c r="L50" s="217">
        <f t="shared" si="9"/>
        <v>0.39999999999999991</v>
      </c>
      <c r="O50" s="197"/>
      <c r="P50" s="186"/>
    </row>
    <row r="51" spans="1:16" x14ac:dyDescent="0.25">
      <c r="A51" s="673"/>
      <c r="C51" s="216">
        <v>25</v>
      </c>
      <c r="D51" s="195">
        <v>0.4</v>
      </c>
      <c r="E51" s="195">
        <v>0.2</v>
      </c>
      <c r="F51" s="217">
        <f t="shared" si="8"/>
        <v>0.1</v>
      </c>
      <c r="H51" s="203"/>
      <c r="I51" s="216">
        <v>50</v>
      </c>
      <c r="J51" s="195">
        <v>-6.2</v>
      </c>
      <c r="K51" s="195">
        <v>-6.2</v>
      </c>
      <c r="L51" s="217">
        <f t="shared" si="9"/>
        <v>0</v>
      </c>
      <c r="O51" s="197"/>
      <c r="P51" s="186"/>
    </row>
    <row r="52" spans="1:16" x14ac:dyDescent="0.25">
      <c r="A52" s="673"/>
      <c r="C52" s="218">
        <v>30</v>
      </c>
      <c r="D52" s="199">
        <v>0.6</v>
      </c>
      <c r="E52" s="199">
        <v>0.1</v>
      </c>
      <c r="F52" s="217">
        <f t="shared" si="8"/>
        <v>0.25</v>
      </c>
      <c r="H52" s="203"/>
      <c r="I52" s="218">
        <v>60</v>
      </c>
      <c r="J52" s="199">
        <v>-5.2</v>
      </c>
      <c r="K52" s="199">
        <v>-4.2</v>
      </c>
      <c r="L52" s="217">
        <f t="shared" si="9"/>
        <v>0.5</v>
      </c>
      <c r="O52" s="197"/>
      <c r="P52" s="186"/>
    </row>
    <row r="53" spans="1:16" x14ac:dyDescent="0.25">
      <c r="A53" s="673"/>
      <c r="C53" s="218">
        <v>35</v>
      </c>
      <c r="D53" s="199">
        <v>0.7</v>
      </c>
      <c r="E53" s="199">
        <v>0</v>
      </c>
      <c r="F53" s="217">
        <f t="shared" si="8"/>
        <v>0.35</v>
      </c>
      <c r="H53" s="203"/>
      <c r="I53" s="218">
        <v>70</v>
      </c>
      <c r="J53" s="199">
        <v>-4.0999999999999996</v>
      </c>
      <c r="K53" s="199">
        <v>-2.1</v>
      </c>
      <c r="L53" s="217">
        <f t="shared" si="9"/>
        <v>0.99999999999999978</v>
      </c>
      <c r="O53" s="197"/>
      <c r="P53" s="186"/>
    </row>
    <row r="54" spans="1:16" x14ac:dyDescent="0.25">
      <c r="A54" s="673"/>
      <c r="C54" s="218">
        <v>37</v>
      </c>
      <c r="D54" s="199">
        <v>0.7</v>
      </c>
      <c r="E54" s="199">
        <v>0</v>
      </c>
      <c r="F54" s="217">
        <f t="shared" si="8"/>
        <v>0.35</v>
      </c>
      <c r="H54" s="203"/>
      <c r="I54" s="218">
        <v>80</v>
      </c>
      <c r="J54" s="199">
        <v>-3</v>
      </c>
      <c r="K54" s="199">
        <v>0.2</v>
      </c>
      <c r="L54" s="217">
        <f t="shared" si="9"/>
        <v>1.6</v>
      </c>
      <c r="O54" s="197"/>
      <c r="P54" s="186"/>
    </row>
    <row r="55" spans="1:16" ht="13.8" thickBot="1" x14ac:dyDescent="0.3">
      <c r="A55" s="674"/>
      <c r="B55" s="201"/>
      <c r="C55" s="219">
        <v>40</v>
      </c>
      <c r="D55" s="223">
        <v>0.7</v>
      </c>
      <c r="E55" s="223">
        <v>-0.1</v>
      </c>
      <c r="F55" s="221">
        <f t="shared" si="8"/>
        <v>0.39999999999999997</v>
      </c>
      <c r="G55" s="201"/>
      <c r="H55" s="222"/>
      <c r="I55" s="219">
        <v>90</v>
      </c>
      <c r="J55" s="223">
        <v>-1.8</v>
      </c>
      <c r="K55" s="223">
        <v>2.7</v>
      </c>
      <c r="L55" s="221">
        <f t="shared" si="9"/>
        <v>2.25</v>
      </c>
      <c r="M55" s="201"/>
      <c r="N55" s="201"/>
      <c r="O55" s="202"/>
      <c r="P55" s="186"/>
    </row>
    <row r="56" spans="1:16" ht="13.8" thickBot="1" x14ac:dyDescent="0.3">
      <c r="A56" s="224"/>
      <c r="B56" s="225"/>
      <c r="C56" s="225"/>
      <c r="D56" s="225"/>
      <c r="E56" s="226"/>
      <c r="F56" s="227"/>
      <c r="G56" s="228"/>
      <c r="H56" s="225"/>
      <c r="I56" s="225"/>
      <c r="J56" s="225"/>
      <c r="K56" s="226"/>
      <c r="L56" s="227"/>
      <c r="O56" s="197"/>
      <c r="P56" s="186"/>
    </row>
    <row r="57" spans="1:16" ht="13.8" thickBot="1" x14ac:dyDescent="0.3">
      <c r="A57" s="672">
        <v>6</v>
      </c>
      <c r="B57" s="675" t="s">
        <v>283</v>
      </c>
      <c r="C57" s="676"/>
      <c r="D57" s="676"/>
      <c r="E57" s="676"/>
      <c r="F57" s="677"/>
      <c r="G57" s="188"/>
      <c r="H57" s="675" t="str">
        <f>B57</f>
        <v>KOREKSI GREISINGER 34903046</v>
      </c>
      <c r="I57" s="676"/>
      <c r="J57" s="676"/>
      <c r="K57" s="676"/>
      <c r="L57" s="677"/>
      <c r="M57" s="188"/>
      <c r="N57" s="688" t="s">
        <v>219</v>
      </c>
      <c r="O57" s="689"/>
      <c r="P57" s="186"/>
    </row>
    <row r="58" spans="1:16" ht="13.8" thickBot="1" x14ac:dyDescent="0.3">
      <c r="A58" s="673"/>
      <c r="B58" s="678" t="s">
        <v>274</v>
      </c>
      <c r="C58" s="679"/>
      <c r="D58" s="680" t="s">
        <v>217</v>
      </c>
      <c r="E58" s="681"/>
      <c r="F58" s="682" t="s">
        <v>275</v>
      </c>
      <c r="H58" s="678" t="s">
        <v>276</v>
      </c>
      <c r="I58" s="679"/>
      <c r="J58" s="680" t="s">
        <v>217</v>
      </c>
      <c r="K58" s="681"/>
      <c r="L58" s="682" t="s">
        <v>275</v>
      </c>
      <c r="N58" s="206" t="s">
        <v>274</v>
      </c>
      <c r="O58" s="207">
        <v>0.8</v>
      </c>
      <c r="P58" s="186"/>
    </row>
    <row r="59" spans="1:16" ht="15" thickBot="1" x14ac:dyDescent="0.3">
      <c r="A59" s="673"/>
      <c r="B59" s="684" t="s">
        <v>277</v>
      </c>
      <c r="C59" s="685"/>
      <c r="D59" s="208">
        <v>2019</v>
      </c>
      <c r="E59" s="208">
        <v>2018</v>
      </c>
      <c r="F59" s="683"/>
      <c r="H59" s="686" t="s">
        <v>278</v>
      </c>
      <c r="I59" s="687"/>
      <c r="J59" s="209">
        <f>D59</f>
        <v>2019</v>
      </c>
      <c r="K59" s="209">
        <f>E59</f>
        <v>2018</v>
      </c>
      <c r="L59" s="683"/>
      <c r="N59" s="210" t="s">
        <v>278</v>
      </c>
      <c r="O59" s="229">
        <v>2.6</v>
      </c>
      <c r="P59" s="186"/>
    </row>
    <row r="60" spans="1:16" x14ac:dyDescent="0.25">
      <c r="A60" s="673"/>
      <c r="C60" s="212">
        <v>15</v>
      </c>
      <c r="D60" s="214">
        <v>0.4</v>
      </c>
      <c r="E60" s="214">
        <v>0.4</v>
      </c>
      <c r="F60" s="215">
        <f t="shared" ref="F60:F66" si="10">0.5*(MAX(D60:E60)-MIN(D60:E60))</f>
        <v>0</v>
      </c>
      <c r="H60" s="203"/>
      <c r="I60" s="212">
        <v>30</v>
      </c>
      <c r="J60" s="214">
        <v>-1.5</v>
      </c>
      <c r="K60" s="214">
        <v>-4.9000000000000004</v>
      </c>
      <c r="L60" s="215">
        <f t="shared" ref="L60:L66" si="11">0.5*(MAX(J60:K60)-MIN(J60:K60))</f>
        <v>1.7000000000000002</v>
      </c>
      <c r="O60" s="197"/>
      <c r="P60" s="186"/>
    </row>
    <row r="61" spans="1:16" x14ac:dyDescent="0.25">
      <c r="A61" s="673"/>
      <c r="C61" s="216">
        <v>20</v>
      </c>
      <c r="D61" s="194">
        <v>0.3</v>
      </c>
      <c r="E61" s="194">
        <v>0.2</v>
      </c>
      <c r="F61" s="217">
        <f t="shared" si="10"/>
        <v>4.9999999999999989E-2</v>
      </c>
      <c r="H61" s="203"/>
      <c r="I61" s="216">
        <v>40</v>
      </c>
      <c r="J61" s="194">
        <v>-3.8</v>
      </c>
      <c r="K61" s="194">
        <v>-3.4</v>
      </c>
      <c r="L61" s="217">
        <f t="shared" si="11"/>
        <v>0.19999999999999996</v>
      </c>
      <c r="O61" s="197"/>
      <c r="P61" s="186"/>
    </row>
    <row r="62" spans="1:16" x14ac:dyDescent="0.25">
      <c r="A62" s="673"/>
      <c r="C62" s="216">
        <v>25</v>
      </c>
      <c r="D62" s="194">
        <v>0.2</v>
      </c>
      <c r="E62" s="194">
        <v>-0.1</v>
      </c>
      <c r="F62" s="217">
        <f t="shared" si="10"/>
        <v>0.15000000000000002</v>
      </c>
      <c r="H62" s="203"/>
      <c r="I62" s="216">
        <v>50</v>
      </c>
      <c r="J62" s="194">
        <v>-5.4</v>
      </c>
      <c r="K62" s="194">
        <v>-2.5</v>
      </c>
      <c r="L62" s="217">
        <f t="shared" si="11"/>
        <v>1.4500000000000002</v>
      </c>
      <c r="O62" s="197"/>
      <c r="P62" s="186"/>
    </row>
    <row r="63" spans="1:16" x14ac:dyDescent="0.25">
      <c r="A63" s="673"/>
      <c r="C63" s="218">
        <v>30</v>
      </c>
      <c r="D63" s="198">
        <v>0.1</v>
      </c>
      <c r="E63" s="198">
        <v>-0.5</v>
      </c>
      <c r="F63" s="217">
        <f t="shared" si="10"/>
        <v>0.3</v>
      </c>
      <c r="H63" s="203"/>
      <c r="I63" s="218">
        <v>60</v>
      </c>
      <c r="J63" s="198">
        <v>-6.4</v>
      </c>
      <c r="K63" s="198">
        <v>-2</v>
      </c>
      <c r="L63" s="217">
        <f t="shared" si="11"/>
        <v>2.2000000000000002</v>
      </c>
      <c r="O63" s="197"/>
      <c r="P63" s="186"/>
    </row>
    <row r="64" spans="1:16" x14ac:dyDescent="0.25">
      <c r="A64" s="673"/>
      <c r="C64" s="218">
        <v>35</v>
      </c>
      <c r="D64" s="198">
        <v>0.1</v>
      </c>
      <c r="E64" s="198">
        <v>-0.9</v>
      </c>
      <c r="F64" s="217">
        <f t="shared" si="10"/>
        <v>0.5</v>
      </c>
      <c r="H64" s="203"/>
      <c r="I64" s="218">
        <v>70</v>
      </c>
      <c r="J64" s="198">
        <v>-6.7</v>
      </c>
      <c r="K64" s="198">
        <v>-2.1</v>
      </c>
      <c r="L64" s="217">
        <f t="shared" si="11"/>
        <v>2.2999999999999998</v>
      </c>
      <c r="O64" s="197"/>
      <c r="P64" s="186"/>
    </row>
    <row r="65" spans="1:16" x14ac:dyDescent="0.25">
      <c r="A65" s="673"/>
      <c r="C65" s="218">
        <v>37</v>
      </c>
      <c r="D65" s="198">
        <v>0.1</v>
      </c>
      <c r="E65" s="198">
        <v>-1.1000000000000001</v>
      </c>
      <c r="F65" s="217">
        <f t="shared" si="10"/>
        <v>0.60000000000000009</v>
      </c>
      <c r="H65" s="203"/>
      <c r="I65" s="218">
        <v>80</v>
      </c>
      <c r="J65" s="198">
        <v>-6.3</v>
      </c>
      <c r="K65" s="198">
        <v>-2.6</v>
      </c>
      <c r="L65" s="217">
        <f t="shared" si="11"/>
        <v>1.8499999999999999</v>
      </c>
      <c r="O65" s="197"/>
      <c r="P65" s="186"/>
    </row>
    <row r="66" spans="1:16" ht="13.8" thickBot="1" x14ac:dyDescent="0.3">
      <c r="A66" s="674"/>
      <c r="B66" s="201"/>
      <c r="C66" s="219">
        <v>40</v>
      </c>
      <c r="D66" s="220">
        <v>0.1</v>
      </c>
      <c r="E66" s="220">
        <v>-1.4</v>
      </c>
      <c r="F66" s="221">
        <f t="shared" si="10"/>
        <v>0.75</v>
      </c>
      <c r="G66" s="201"/>
      <c r="H66" s="222"/>
      <c r="I66" s="219">
        <v>90</v>
      </c>
      <c r="J66" s="220">
        <v>-5.2</v>
      </c>
      <c r="K66" s="220">
        <v>-2.6</v>
      </c>
      <c r="L66" s="221">
        <f t="shared" si="11"/>
        <v>1.3</v>
      </c>
      <c r="M66" s="201"/>
      <c r="N66" s="201"/>
      <c r="O66" s="202"/>
      <c r="P66" s="186"/>
    </row>
    <row r="67" spans="1:16" ht="13.8" thickBot="1" x14ac:dyDescent="0.3">
      <c r="A67" s="224"/>
      <c r="B67" s="225"/>
      <c r="C67" s="225"/>
      <c r="D67" s="225"/>
      <c r="E67" s="226"/>
      <c r="F67" s="227"/>
      <c r="G67" s="228"/>
      <c r="H67" s="225"/>
      <c r="I67" s="225"/>
      <c r="J67" s="225"/>
      <c r="K67" s="226"/>
      <c r="L67" s="227"/>
      <c r="O67" s="197"/>
      <c r="P67" s="186"/>
    </row>
    <row r="68" spans="1:16" ht="13.8" thickBot="1" x14ac:dyDescent="0.3">
      <c r="A68" s="672">
        <v>7</v>
      </c>
      <c r="B68" s="675" t="s">
        <v>284</v>
      </c>
      <c r="C68" s="676"/>
      <c r="D68" s="676"/>
      <c r="E68" s="676"/>
      <c r="F68" s="677"/>
      <c r="G68" s="188"/>
      <c r="H68" s="675" t="str">
        <f>B68</f>
        <v>KOREKSI GREISINGER 34903053</v>
      </c>
      <c r="I68" s="676"/>
      <c r="J68" s="676"/>
      <c r="K68" s="676"/>
      <c r="L68" s="677"/>
      <c r="M68" s="188"/>
      <c r="N68" s="688" t="s">
        <v>219</v>
      </c>
      <c r="O68" s="689"/>
      <c r="P68" s="186"/>
    </row>
    <row r="69" spans="1:16" ht="13.8" thickBot="1" x14ac:dyDescent="0.3">
      <c r="A69" s="673"/>
      <c r="B69" s="678" t="s">
        <v>274</v>
      </c>
      <c r="C69" s="679"/>
      <c r="D69" s="680" t="s">
        <v>217</v>
      </c>
      <c r="E69" s="681"/>
      <c r="F69" s="682" t="s">
        <v>275</v>
      </c>
      <c r="H69" s="678" t="s">
        <v>276</v>
      </c>
      <c r="I69" s="679"/>
      <c r="J69" s="680" t="s">
        <v>217</v>
      </c>
      <c r="K69" s="681"/>
      <c r="L69" s="682" t="s">
        <v>275</v>
      </c>
      <c r="N69" s="206" t="s">
        <v>274</v>
      </c>
      <c r="O69" s="207">
        <v>0.3</v>
      </c>
      <c r="P69" s="186"/>
    </row>
    <row r="70" spans="1:16" ht="15" thickBot="1" x14ac:dyDescent="0.3">
      <c r="A70" s="673"/>
      <c r="B70" s="684" t="s">
        <v>277</v>
      </c>
      <c r="C70" s="685"/>
      <c r="D70" s="208">
        <v>2018</v>
      </c>
      <c r="E70" s="208">
        <v>2017</v>
      </c>
      <c r="F70" s="683"/>
      <c r="H70" s="686" t="s">
        <v>278</v>
      </c>
      <c r="I70" s="687"/>
      <c r="J70" s="209">
        <f>D70</f>
        <v>2018</v>
      </c>
      <c r="K70" s="209">
        <f>E70</f>
        <v>2017</v>
      </c>
      <c r="L70" s="683"/>
      <c r="N70" s="210" t="s">
        <v>278</v>
      </c>
      <c r="O70" s="211">
        <v>2.2999999999999998</v>
      </c>
      <c r="P70" s="186"/>
    </row>
    <row r="71" spans="1:16" x14ac:dyDescent="0.25">
      <c r="A71" s="673"/>
      <c r="C71" s="212">
        <v>15</v>
      </c>
      <c r="D71" s="214">
        <v>0.3</v>
      </c>
      <c r="E71" s="214">
        <v>0.2</v>
      </c>
      <c r="F71" s="215">
        <f t="shared" ref="F71:F77" si="12">0.5*(MAX(D71:E71)-MIN(D71:E71))</f>
        <v>4.9999999999999989E-2</v>
      </c>
      <c r="H71" s="203"/>
      <c r="I71" s="212">
        <v>30</v>
      </c>
      <c r="J71" s="214">
        <v>1.8</v>
      </c>
      <c r="K71" s="214">
        <v>-0.1</v>
      </c>
      <c r="L71" s="215">
        <f t="shared" ref="L71:L77" si="13">0.5*(MAX(J71:K71)-MIN(J71:K71))</f>
        <v>0.95000000000000007</v>
      </c>
      <c r="O71" s="197"/>
      <c r="P71" s="186"/>
    </row>
    <row r="72" spans="1:16" x14ac:dyDescent="0.25">
      <c r="A72" s="673"/>
      <c r="C72" s="216">
        <v>20</v>
      </c>
      <c r="D72" s="194">
        <v>0.1</v>
      </c>
      <c r="E72" s="194">
        <v>0.1</v>
      </c>
      <c r="F72" s="217">
        <f t="shared" si="12"/>
        <v>0</v>
      </c>
      <c r="H72" s="203"/>
      <c r="I72" s="216">
        <v>40</v>
      </c>
      <c r="J72" s="194">
        <v>1.2</v>
      </c>
      <c r="K72" s="194">
        <v>0</v>
      </c>
      <c r="L72" s="217">
        <f t="shared" si="13"/>
        <v>0.6</v>
      </c>
      <c r="O72" s="197"/>
      <c r="P72" s="186"/>
    </row>
    <row r="73" spans="1:16" x14ac:dyDescent="0.25">
      <c r="A73" s="673"/>
      <c r="C73" s="216">
        <v>25</v>
      </c>
      <c r="D73" s="194">
        <v>-0.2</v>
      </c>
      <c r="E73" s="194">
        <v>0</v>
      </c>
      <c r="F73" s="217">
        <f t="shared" si="12"/>
        <v>0.1</v>
      </c>
      <c r="H73" s="203"/>
      <c r="I73" s="216">
        <v>50</v>
      </c>
      <c r="J73" s="194">
        <v>0.8</v>
      </c>
      <c r="K73" s="194">
        <v>0.6</v>
      </c>
      <c r="L73" s="217">
        <f t="shared" si="13"/>
        <v>0.10000000000000003</v>
      </c>
      <c r="O73" s="197"/>
      <c r="P73" s="186"/>
    </row>
    <row r="74" spans="1:16" x14ac:dyDescent="0.25">
      <c r="A74" s="673"/>
      <c r="C74" s="218">
        <v>30</v>
      </c>
      <c r="D74" s="198">
        <v>-0.6</v>
      </c>
      <c r="E74" s="198">
        <v>-0.1</v>
      </c>
      <c r="F74" s="217">
        <f t="shared" si="12"/>
        <v>0.25</v>
      </c>
      <c r="H74" s="203"/>
      <c r="I74" s="218">
        <v>60</v>
      </c>
      <c r="J74" s="198">
        <v>0.7</v>
      </c>
      <c r="K74" s="198">
        <v>1.5</v>
      </c>
      <c r="L74" s="217">
        <f t="shared" si="13"/>
        <v>0.4</v>
      </c>
      <c r="O74" s="197"/>
      <c r="P74" s="186"/>
    </row>
    <row r="75" spans="1:16" x14ac:dyDescent="0.25">
      <c r="A75" s="673"/>
      <c r="C75" s="218">
        <v>35</v>
      </c>
      <c r="D75" s="198">
        <v>-1.1000000000000001</v>
      </c>
      <c r="E75" s="198">
        <v>-0.1</v>
      </c>
      <c r="F75" s="217">
        <f t="shared" si="12"/>
        <v>0.5</v>
      </c>
      <c r="H75" s="203"/>
      <c r="I75" s="218">
        <v>70</v>
      </c>
      <c r="J75" s="198">
        <v>0.9</v>
      </c>
      <c r="K75" s="198">
        <v>2.8</v>
      </c>
      <c r="L75" s="217">
        <f t="shared" si="13"/>
        <v>0.95</v>
      </c>
      <c r="O75" s="197"/>
      <c r="P75" s="186"/>
    </row>
    <row r="76" spans="1:16" x14ac:dyDescent="0.25">
      <c r="A76" s="673"/>
      <c r="C76" s="218">
        <v>37</v>
      </c>
      <c r="D76" s="198">
        <v>-1.4</v>
      </c>
      <c r="E76" s="198">
        <v>-0.1</v>
      </c>
      <c r="F76" s="217">
        <f t="shared" si="12"/>
        <v>0.64999999999999991</v>
      </c>
      <c r="H76" s="203"/>
      <c r="I76" s="218">
        <v>80</v>
      </c>
      <c r="J76" s="198">
        <v>1.2</v>
      </c>
      <c r="K76" s="198">
        <v>4.4000000000000004</v>
      </c>
      <c r="L76" s="217">
        <f t="shared" si="13"/>
        <v>1.6</v>
      </c>
      <c r="O76" s="197"/>
      <c r="P76" s="186"/>
    </row>
    <row r="77" spans="1:16" ht="13.8" thickBot="1" x14ac:dyDescent="0.3">
      <c r="A77" s="674"/>
      <c r="B77" s="201"/>
      <c r="C77" s="219">
        <v>40</v>
      </c>
      <c r="D77" s="220">
        <v>-1.7</v>
      </c>
      <c r="E77" s="220">
        <v>-0.1</v>
      </c>
      <c r="F77" s="221">
        <f t="shared" si="12"/>
        <v>0.79999999999999993</v>
      </c>
      <c r="G77" s="201"/>
      <c r="H77" s="222"/>
      <c r="I77" s="219">
        <v>90</v>
      </c>
      <c r="J77" s="220">
        <v>1.8</v>
      </c>
      <c r="K77" s="220">
        <v>4.4000000000000004</v>
      </c>
      <c r="L77" s="221">
        <f t="shared" si="13"/>
        <v>1.3000000000000003</v>
      </c>
      <c r="M77" s="201"/>
      <c r="N77" s="201"/>
      <c r="O77" s="202"/>
      <c r="P77" s="186"/>
    </row>
    <row r="78" spans="1:16" ht="13.8" thickBot="1" x14ac:dyDescent="0.3">
      <c r="A78" s="224"/>
      <c r="B78" s="225"/>
      <c r="C78" s="225"/>
      <c r="D78" s="225"/>
      <c r="E78" s="226"/>
      <c r="F78" s="227"/>
      <c r="G78" s="228"/>
      <c r="H78" s="225"/>
      <c r="I78" s="225"/>
      <c r="J78" s="225"/>
      <c r="K78" s="226"/>
      <c r="L78" s="227"/>
      <c r="O78" s="197"/>
      <c r="P78" s="186"/>
    </row>
    <row r="79" spans="1:16" ht="13.8" thickBot="1" x14ac:dyDescent="0.3">
      <c r="A79" s="672">
        <v>8</v>
      </c>
      <c r="B79" s="675" t="s">
        <v>285</v>
      </c>
      <c r="C79" s="676"/>
      <c r="D79" s="676"/>
      <c r="E79" s="676"/>
      <c r="F79" s="677"/>
      <c r="G79" s="188"/>
      <c r="H79" s="675" t="str">
        <f>B79</f>
        <v>KOREKSI GREISINGER 34903051</v>
      </c>
      <c r="I79" s="676"/>
      <c r="J79" s="676"/>
      <c r="K79" s="676"/>
      <c r="L79" s="677"/>
      <c r="M79" s="188"/>
      <c r="N79" s="688" t="s">
        <v>219</v>
      </c>
      <c r="O79" s="689"/>
      <c r="P79" s="186"/>
    </row>
    <row r="80" spans="1:16" ht="13.8" thickBot="1" x14ac:dyDescent="0.3">
      <c r="A80" s="673"/>
      <c r="B80" s="678" t="s">
        <v>274</v>
      </c>
      <c r="C80" s="679"/>
      <c r="D80" s="680" t="s">
        <v>217</v>
      </c>
      <c r="E80" s="681"/>
      <c r="F80" s="682" t="s">
        <v>275</v>
      </c>
      <c r="H80" s="678" t="s">
        <v>276</v>
      </c>
      <c r="I80" s="679"/>
      <c r="J80" s="680" t="s">
        <v>217</v>
      </c>
      <c r="K80" s="681"/>
      <c r="L80" s="682" t="s">
        <v>275</v>
      </c>
      <c r="N80" s="206" t="s">
        <v>274</v>
      </c>
      <c r="O80" s="230">
        <v>0.8</v>
      </c>
      <c r="P80" s="186"/>
    </row>
    <row r="81" spans="1:16" ht="15" thickBot="1" x14ac:dyDescent="0.3">
      <c r="A81" s="673"/>
      <c r="B81" s="684" t="s">
        <v>277</v>
      </c>
      <c r="C81" s="685"/>
      <c r="D81" s="208">
        <v>2019</v>
      </c>
      <c r="E81" s="208">
        <v>2017</v>
      </c>
      <c r="F81" s="683"/>
      <c r="H81" s="686" t="s">
        <v>278</v>
      </c>
      <c r="I81" s="687"/>
      <c r="J81" s="209">
        <f>D81</f>
        <v>2019</v>
      </c>
      <c r="K81" s="209">
        <f>E81</f>
        <v>2017</v>
      </c>
      <c r="L81" s="683"/>
      <c r="N81" s="210" t="s">
        <v>278</v>
      </c>
      <c r="O81" s="229">
        <v>2.2999999999999998</v>
      </c>
      <c r="P81" s="186"/>
    </row>
    <row r="82" spans="1:16" x14ac:dyDescent="0.25">
      <c r="A82" s="673"/>
      <c r="C82" s="231">
        <v>15</v>
      </c>
      <c r="D82" s="214">
        <v>0.4</v>
      </c>
      <c r="E82" s="214">
        <v>0</v>
      </c>
      <c r="F82" s="215">
        <f t="shared" ref="F82:F88" si="14">0.5*(MAX(D82:E82)-MIN(D82:E82))</f>
        <v>0.2</v>
      </c>
      <c r="H82" s="203"/>
      <c r="I82" s="231">
        <v>30</v>
      </c>
      <c r="J82" s="214">
        <v>-4.5999999999999996</v>
      </c>
      <c r="K82" s="214">
        <v>-1.4</v>
      </c>
      <c r="L82" s="215">
        <f t="shared" ref="L82:L88" si="15">0.5*(MAX(J82:K82)-MIN(J82:K82))</f>
        <v>1.5999999999999999</v>
      </c>
      <c r="O82" s="197"/>
      <c r="P82" s="186"/>
    </row>
    <row r="83" spans="1:16" x14ac:dyDescent="0.25">
      <c r="A83" s="673"/>
      <c r="C83" s="232">
        <v>20</v>
      </c>
      <c r="D83" s="214">
        <v>0.2</v>
      </c>
      <c r="E83" s="214">
        <v>-0.2</v>
      </c>
      <c r="F83" s="217">
        <f>0.5*(MAX(D83:E83)-MIN(D83:E83))</f>
        <v>0.2</v>
      </c>
      <c r="H83" s="203"/>
      <c r="I83" s="232">
        <v>40</v>
      </c>
      <c r="J83" s="194">
        <v>-4.5999999999999996</v>
      </c>
      <c r="K83" s="194">
        <v>-1.2</v>
      </c>
      <c r="L83" s="217">
        <f t="shared" si="15"/>
        <v>1.6999999999999997</v>
      </c>
      <c r="O83" s="197"/>
      <c r="P83" s="186"/>
    </row>
    <row r="84" spans="1:16" x14ac:dyDescent="0.25">
      <c r="A84" s="673"/>
      <c r="C84" s="232">
        <v>25</v>
      </c>
      <c r="D84" s="214">
        <v>0</v>
      </c>
      <c r="E84" s="214">
        <v>-0.4</v>
      </c>
      <c r="F84" s="217">
        <f t="shared" si="14"/>
        <v>0.2</v>
      </c>
      <c r="H84" s="203"/>
      <c r="I84" s="232">
        <v>50</v>
      </c>
      <c r="J84" s="194">
        <v>-5</v>
      </c>
      <c r="K84" s="194">
        <v>-1.2</v>
      </c>
      <c r="L84" s="217">
        <f t="shared" si="15"/>
        <v>1.9</v>
      </c>
      <c r="O84" s="197"/>
      <c r="P84" s="186"/>
    </row>
    <row r="85" spans="1:16" x14ac:dyDescent="0.25">
      <c r="A85" s="673"/>
      <c r="C85" s="233">
        <v>30</v>
      </c>
      <c r="D85" s="214">
        <v>-0.1</v>
      </c>
      <c r="E85" s="214">
        <v>-0.4</v>
      </c>
      <c r="F85" s="217">
        <f t="shared" si="14"/>
        <v>0.15000000000000002</v>
      </c>
      <c r="H85" s="203"/>
      <c r="I85" s="233">
        <v>60</v>
      </c>
      <c r="J85" s="198">
        <v>-5.6</v>
      </c>
      <c r="K85" s="198">
        <v>-1.1000000000000001</v>
      </c>
      <c r="L85" s="217">
        <f t="shared" si="15"/>
        <v>2.25</v>
      </c>
      <c r="O85" s="197"/>
      <c r="P85" s="186"/>
    </row>
    <row r="86" spans="1:16" x14ac:dyDescent="0.25">
      <c r="A86" s="673"/>
      <c r="C86" s="233">
        <v>35</v>
      </c>
      <c r="D86" s="198">
        <v>-0.1</v>
      </c>
      <c r="E86" s="198">
        <v>-0.5</v>
      </c>
      <c r="F86" s="217">
        <f t="shared" si="14"/>
        <v>0.2</v>
      </c>
      <c r="H86" s="203"/>
      <c r="I86" s="233">
        <v>70</v>
      </c>
      <c r="J86" s="198">
        <v>-6.5</v>
      </c>
      <c r="K86" s="198">
        <v>-1.2</v>
      </c>
      <c r="L86" s="217">
        <f t="shared" si="15"/>
        <v>2.65</v>
      </c>
      <c r="O86" s="197"/>
      <c r="P86" s="186"/>
    </row>
    <row r="87" spans="1:16" x14ac:dyDescent="0.25">
      <c r="A87" s="673"/>
      <c r="C87" s="233">
        <v>37</v>
      </c>
      <c r="D87" s="198">
        <v>-0.1</v>
      </c>
      <c r="E87" s="198">
        <v>-0.5</v>
      </c>
      <c r="F87" s="217">
        <f t="shared" si="14"/>
        <v>0.2</v>
      </c>
      <c r="H87" s="203"/>
      <c r="I87" s="233">
        <v>80</v>
      </c>
      <c r="J87" s="198">
        <v>-7.6</v>
      </c>
      <c r="K87" s="198">
        <v>-1.2</v>
      </c>
      <c r="L87" s="217">
        <f t="shared" si="15"/>
        <v>3.1999999999999997</v>
      </c>
      <c r="O87" s="197"/>
      <c r="P87" s="186"/>
    </row>
    <row r="88" spans="1:16" ht="13.8" thickBot="1" x14ac:dyDescent="0.3">
      <c r="A88" s="674"/>
      <c r="B88" s="201"/>
      <c r="C88" s="234">
        <v>40</v>
      </c>
      <c r="D88" s="220">
        <v>-0.1</v>
      </c>
      <c r="E88" s="220">
        <v>-0.4</v>
      </c>
      <c r="F88" s="221">
        <f t="shared" si="14"/>
        <v>0.15000000000000002</v>
      </c>
      <c r="G88" s="201"/>
      <c r="H88" s="222"/>
      <c r="I88" s="234">
        <v>90</v>
      </c>
      <c r="J88" s="220">
        <v>-9.1</v>
      </c>
      <c r="K88" s="220">
        <v>-1.3</v>
      </c>
      <c r="L88" s="221">
        <f t="shared" si="15"/>
        <v>3.9</v>
      </c>
      <c r="M88" s="201"/>
      <c r="N88" s="201"/>
      <c r="O88" s="202"/>
      <c r="P88" s="186"/>
    </row>
    <row r="89" spans="1:16" ht="13.8" thickBot="1" x14ac:dyDescent="0.3">
      <c r="A89" s="224"/>
      <c r="B89" s="225"/>
      <c r="C89" s="225"/>
      <c r="D89" s="225"/>
      <c r="E89" s="226"/>
      <c r="F89" s="235"/>
      <c r="G89" s="228"/>
      <c r="H89" s="225"/>
      <c r="I89" s="225"/>
      <c r="J89" s="225"/>
      <c r="K89" s="226"/>
      <c r="L89" s="235"/>
      <c r="O89" s="197"/>
      <c r="P89" s="186"/>
    </row>
    <row r="90" spans="1:16" ht="13.8" thickBot="1" x14ac:dyDescent="0.3">
      <c r="A90" s="672">
        <v>9</v>
      </c>
      <c r="B90" s="675" t="s">
        <v>286</v>
      </c>
      <c r="C90" s="676"/>
      <c r="D90" s="676"/>
      <c r="E90" s="676"/>
      <c r="F90" s="677"/>
      <c r="G90" s="188"/>
      <c r="H90" s="675" t="str">
        <f>B90</f>
        <v>KOREKSI GREISINGER 34904091</v>
      </c>
      <c r="I90" s="676"/>
      <c r="J90" s="676"/>
      <c r="K90" s="676"/>
      <c r="L90" s="677"/>
      <c r="M90" s="188"/>
      <c r="N90" s="688" t="s">
        <v>219</v>
      </c>
      <c r="O90" s="689"/>
      <c r="P90" s="186"/>
    </row>
    <row r="91" spans="1:16" ht="13.8" thickBot="1" x14ac:dyDescent="0.3">
      <c r="A91" s="673"/>
      <c r="B91" s="678" t="s">
        <v>274</v>
      </c>
      <c r="C91" s="679"/>
      <c r="D91" s="680" t="s">
        <v>217</v>
      </c>
      <c r="E91" s="681"/>
      <c r="F91" s="682" t="s">
        <v>275</v>
      </c>
      <c r="H91" s="678" t="s">
        <v>276</v>
      </c>
      <c r="I91" s="679"/>
      <c r="J91" s="680" t="s">
        <v>217</v>
      </c>
      <c r="K91" s="681"/>
      <c r="L91" s="682" t="s">
        <v>275</v>
      </c>
      <c r="N91" s="206" t="s">
        <v>274</v>
      </c>
      <c r="O91" s="230">
        <v>0.3</v>
      </c>
      <c r="P91" s="186"/>
    </row>
    <row r="92" spans="1:16" ht="15" thickBot="1" x14ac:dyDescent="0.3">
      <c r="A92" s="673"/>
      <c r="B92" s="684" t="s">
        <v>277</v>
      </c>
      <c r="C92" s="685"/>
      <c r="D92" s="208">
        <v>2019</v>
      </c>
      <c r="E92" s="236" t="s">
        <v>77</v>
      </c>
      <c r="F92" s="683"/>
      <c r="H92" s="686" t="s">
        <v>278</v>
      </c>
      <c r="I92" s="687"/>
      <c r="J92" s="209">
        <f>D92</f>
        <v>2019</v>
      </c>
      <c r="K92" s="209" t="str">
        <f>E92</f>
        <v>-</v>
      </c>
      <c r="L92" s="683"/>
      <c r="N92" s="210" t="s">
        <v>278</v>
      </c>
      <c r="O92" s="229">
        <v>2.4</v>
      </c>
      <c r="P92" s="186"/>
    </row>
    <row r="93" spans="1:16" x14ac:dyDescent="0.25">
      <c r="A93" s="673"/>
      <c r="B93" s="203"/>
      <c r="C93" s="231">
        <v>15</v>
      </c>
      <c r="D93" s="213">
        <v>0</v>
      </c>
      <c r="E93" s="237" t="s">
        <v>77</v>
      </c>
      <c r="F93" s="215">
        <f t="shared" ref="F93" si="16">0.5*(MAX(D93:E93)-MIN(D93:E93))</f>
        <v>0</v>
      </c>
      <c r="H93" s="203"/>
      <c r="I93" s="231">
        <v>30</v>
      </c>
      <c r="J93" s="213">
        <v>-1.2</v>
      </c>
      <c r="K93" s="237" t="s">
        <v>77</v>
      </c>
      <c r="L93" s="215">
        <f t="shared" ref="L93:L99" si="17">0.5*(MAX(J93:K93)-MIN(J93:K93))</f>
        <v>0</v>
      </c>
      <c r="O93" s="197"/>
      <c r="P93" s="186"/>
    </row>
    <row r="94" spans="1:16" x14ac:dyDescent="0.25">
      <c r="A94" s="673"/>
      <c r="B94" s="203"/>
      <c r="C94" s="232">
        <v>20</v>
      </c>
      <c r="D94" s="213">
        <v>-0.2</v>
      </c>
      <c r="E94" s="238" t="s">
        <v>77</v>
      </c>
      <c r="F94" s="217">
        <f>0.5*(MAX(D94:E94)-MIN(D94:E94))</f>
        <v>0</v>
      </c>
      <c r="H94" s="203"/>
      <c r="I94" s="232">
        <v>40</v>
      </c>
      <c r="J94" s="213">
        <v>-1</v>
      </c>
      <c r="K94" s="238" t="s">
        <v>77</v>
      </c>
      <c r="L94" s="217">
        <f t="shared" si="17"/>
        <v>0</v>
      </c>
      <c r="O94" s="197"/>
      <c r="P94" s="186"/>
    </row>
    <row r="95" spans="1:16" x14ac:dyDescent="0.25">
      <c r="A95" s="673"/>
      <c r="B95" s="203"/>
      <c r="C95" s="232">
        <v>25</v>
      </c>
      <c r="D95" s="213">
        <v>-0.4</v>
      </c>
      <c r="E95" s="238" t="s">
        <v>77</v>
      </c>
      <c r="F95" s="217">
        <f t="shared" ref="F95:F99" si="18">0.5*(MAX(D95:E95)-MIN(D95:E95))</f>
        <v>0</v>
      </c>
      <c r="H95" s="203"/>
      <c r="I95" s="232">
        <v>50</v>
      </c>
      <c r="J95" s="213">
        <v>-0.9</v>
      </c>
      <c r="K95" s="238" t="s">
        <v>77</v>
      </c>
      <c r="L95" s="217">
        <f t="shared" si="17"/>
        <v>0</v>
      </c>
      <c r="O95" s="197"/>
      <c r="P95" s="186"/>
    </row>
    <row r="96" spans="1:16" x14ac:dyDescent="0.25">
      <c r="A96" s="673"/>
      <c r="B96" s="203"/>
      <c r="C96" s="233">
        <v>30</v>
      </c>
      <c r="D96" s="213">
        <v>-0.5</v>
      </c>
      <c r="E96" s="199" t="s">
        <v>77</v>
      </c>
      <c r="F96" s="217">
        <f t="shared" si="18"/>
        <v>0</v>
      </c>
      <c r="H96" s="203"/>
      <c r="I96" s="233">
        <v>60</v>
      </c>
      <c r="J96" s="213">
        <v>-0.8</v>
      </c>
      <c r="K96" s="199" t="s">
        <v>77</v>
      </c>
      <c r="L96" s="217">
        <f t="shared" si="17"/>
        <v>0</v>
      </c>
      <c r="O96" s="197"/>
      <c r="P96" s="186"/>
    </row>
    <row r="97" spans="1:16" x14ac:dyDescent="0.25">
      <c r="A97" s="673"/>
      <c r="B97" s="203"/>
      <c r="C97" s="233">
        <v>35</v>
      </c>
      <c r="D97" s="213">
        <v>-0.5</v>
      </c>
      <c r="E97" s="199" t="s">
        <v>77</v>
      </c>
      <c r="F97" s="217">
        <f t="shared" si="18"/>
        <v>0</v>
      </c>
      <c r="H97" s="203"/>
      <c r="I97" s="233">
        <v>70</v>
      </c>
      <c r="J97" s="213">
        <v>-0.6</v>
      </c>
      <c r="K97" s="199" t="s">
        <v>77</v>
      </c>
      <c r="L97" s="217">
        <f t="shared" si="17"/>
        <v>0</v>
      </c>
      <c r="O97" s="197"/>
      <c r="P97" s="186"/>
    </row>
    <row r="98" spans="1:16" x14ac:dyDescent="0.25">
      <c r="A98" s="673"/>
      <c r="B98" s="203"/>
      <c r="C98" s="233">
        <v>37</v>
      </c>
      <c r="D98" s="213">
        <v>-0.5</v>
      </c>
      <c r="E98" s="199" t="s">
        <v>77</v>
      </c>
      <c r="F98" s="217">
        <f t="shared" si="18"/>
        <v>0</v>
      </c>
      <c r="H98" s="203"/>
      <c r="I98" s="233">
        <v>80</v>
      </c>
      <c r="J98" s="213">
        <v>-0.5</v>
      </c>
      <c r="K98" s="199" t="s">
        <v>77</v>
      </c>
      <c r="L98" s="217">
        <f t="shared" si="17"/>
        <v>0</v>
      </c>
      <c r="O98" s="197"/>
      <c r="P98" s="186"/>
    </row>
    <row r="99" spans="1:16" ht="13.8" thickBot="1" x14ac:dyDescent="0.3">
      <c r="A99" s="674"/>
      <c r="B99" s="222"/>
      <c r="C99" s="234">
        <v>40</v>
      </c>
      <c r="D99" s="239">
        <v>-0.4</v>
      </c>
      <c r="E99" s="223" t="s">
        <v>77</v>
      </c>
      <c r="F99" s="221">
        <f t="shared" si="18"/>
        <v>0</v>
      </c>
      <c r="G99" s="201"/>
      <c r="H99" s="222"/>
      <c r="I99" s="234">
        <v>90</v>
      </c>
      <c r="J99" s="239">
        <v>-0.2</v>
      </c>
      <c r="K99" s="223" t="s">
        <v>77</v>
      </c>
      <c r="L99" s="221">
        <f t="shared" si="17"/>
        <v>0</v>
      </c>
      <c r="M99" s="201"/>
      <c r="N99" s="201"/>
      <c r="O99" s="202"/>
      <c r="P99" s="186"/>
    </row>
    <row r="100" spans="1:16" ht="13.8" thickBot="1" x14ac:dyDescent="0.3">
      <c r="A100" s="224"/>
      <c r="B100" s="225"/>
      <c r="C100" s="225"/>
      <c r="D100" s="225"/>
      <c r="E100" s="226"/>
      <c r="F100" s="235"/>
      <c r="G100" s="228"/>
      <c r="H100" s="225"/>
      <c r="I100" s="225"/>
      <c r="J100" s="225"/>
      <c r="K100" s="226"/>
      <c r="L100" s="235"/>
      <c r="M100" s="228"/>
      <c r="O100" s="197"/>
      <c r="P100" s="186"/>
    </row>
    <row r="101" spans="1:16" ht="13.8" thickBot="1" x14ac:dyDescent="0.3">
      <c r="A101" s="672">
        <v>10</v>
      </c>
      <c r="B101" s="675" t="s">
        <v>287</v>
      </c>
      <c r="C101" s="676"/>
      <c r="D101" s="676"/>
      <c r="E101" s="676"/>
      <c r="F101" s="677"/>
      <c r="G101" s="188"/>
      <c r="H101" s="690" t="str">
        <f>B101</f>
        <v>KOREKSI Sekonic HE-21.000669</v>
      </c>
      <c r="I101" s="691"/>
      <c r="J101" s="691"/>
      <c r="K101" s="691"/>
      <c r="L101" s="692"/>
      <c r="M101" s="188"/>
      <c r="N101" s="688" t="s">
        <v>219</v>
      </c>
      <c r="O101" s="689"/>
      <c r="P101" s="186"/>
    </row>
    <row r="102" spans="1:16" ht="13.8" thickBot="1" x14ac:dyDescent="0.3">
      <c r="A102" s="673"/>
      <c r="B102" s="678" t="s">
        <v>274</v>
      </c>
      <c r="C102" s="679"/>
      <c r="D102" s="680" t="s">
        <v>217</v>
      </c>
      <c r="E102" s="681"/>
      <c r="F102" s="682" t="s">
        <v>275</v>
      </c>
      <c r="H102" s="678" t="s">
        <v>276</v>
      </c>
      <c r="I102" s="679"/>
      <c r="J102" s="680" t="s">
        <v>217</v>
      </c>
      <c r="K102" s="681"/>
      <c r="L102" s="682" t="s">
        <v>275</v>
      </c>
      <c r="N102" s="206" t="s">
        <v>274</v>
      </c>
      <c r="O102" s="230">
        <v>0.3</v>
      </c>
      <c r="P102" s="186"/>
    </row>
    <row r="103" spans="1:16" ht="15" thickBot="1" x14ac:dyDescent="0.3">
      <c r="A103" s="673"/>
      <c r="B103" s="684" t="s">
        <v>277</v>
      </c>
      <c r="C103" s="685"/>
      <c r="D103" s="208">
        <v>2019</v>
      </c>
      <c r="E103" s="208">
        <v>2016</v>
      </c>
      <c r="F103" s="683"/>
      <c r="H103" s="686" t="s">
        <v>278</v>
      </c>
      <c r="I103" s="687"/>
      <c r="J103" s="209">
        <f>D103</f>
        <v>2019</v>
      </c>
      <c r="K103" s="209">
        <f>E103</f>
        <v>2016</v>
      </c>
      <c r="L103" s="683"/>
      <c r="N103" s="210" t="s">
        <v>278</v>
      </c>
      <c r="O103" s="229">
        <v>1.5</v>
      </c>
      <c r="P103" s="186"/>
    </row>
    <row r="104" spans="1:16" x14ac:dyDescent="0.25">
      <c r="A104" s="673"/>
      <c r="C104" s="231">
        <v>15</v>
      </c>
      <c r="D104" s="214">
        <v>0.2</v>
      </c>
      <c r="E104" s="214">
        <v>0.2</v>
      </c>
      <c r="F104" s="215">
        <f t="shared" ref="F104:F110" si="19">0.5*(MAX(D104:E104)-MIN(D104:E104))</f>
        <v>0</v>
      </c>
      <c r="H104" s="203"/>
      <c r="I104" s="240">
        <v>30</v>
      </c>
      <c r="J104" s="214">
        <v>-2.9</v>
      </c>
      <c r="K104" s="214">
        <v>-5.8</v>
      </c>
      <c r="L104" s="215">
        <f t="shared" ref="L104:L107" si="20">0.5*(MAX(J104:K104)-MIN(J104:K104))</f>
        <v>1.45</v>
      </c>
      <c r="O104" s="197"/>
      <c r="P104" s="186"/>
    </row>
    <row r="105" spans="1:16" x14ac:dyDescent="0.25">
      <c r="A105" s="673"/>
      <c r="C105" s="232">
        <v>20</v>
      </c>
      <c r="D105" s="194">
        <v>0.2</v>
      </c>
      <c r="E105" s="194">
        <v>-0.7</v>
      </c>
      <c r="F105" s="217">
        <f t="shared" si="19"/>
        <v>0.44999999999999996</v>
      </c>
      <c r="H105" s="203"/>
      <c r="I105" s="241">
        <v>40</v>
      </c>
      <c r="J105" s="194">
        <v>-3.3</v>
      </c>
      <c r="K105" s="194">
        <v>-6.4</v>
      </c>
      <c r="L105" s="217">
        <f t="shared" si="20"/>
        <v>1.5500000000000003</v>
      </c>
      <c r="O105" s="197"/>
      <c r="P105" s="186"/>
    </row>
    <row r="106" spans="1:16" x14ac:dyDescent="0.25">
      <c r="A106" s="673"/>
      <c r="C106" s="232">
        <v>25</v>
      </c>
      <c r="D106" s="194">
        <v>0.1</v>
      </c>
      <c r="E106" s="194">
        <v>-0.5</v>
      </c>
      <c r="F106" s="217">
        <f t="shared" si="19"/>
        <v>0.3</v>
      </c>
      <c r="H106" s="203"/>
      <c r="I106" s="241">
        <v>50</v>
      </c>
      <c r="J106" s="194">
        <v>-3.1</v>
      </c>
      <c r="K106" s="194">
        <v>-6.1</v>
      </c>
      <c r="L106" s="217">
        <f t="shared" si="20"/>
        <v>1.4999999999999998</v>
      </c>
      <c r="O106" s="197"/>
      <c r="P106" s="186"/>
    </row>
    <row r="107" spans="1:16" x14ac:dyDescent="0.25">
      <c r="A107" s="673"/>
      <c r="C107" s="233">
        <v>30</v>
      </c>
      <c r="D107" s="198">
        <v>0.1</v>
      </c>
      <c r="E107" s="198">
        <v>0.2</v>
      </c>
      <c r="F107" s="217">
        <f t="shared" si="19"/>
        <v>0.05</v>
      </c>
      <c r="H107" s="203"/>
      <c r="I107" s="242">
        <v>60</v>
      </c>
      <c r="J107" s="198">
        <v>-2.1</v>
      </c>
      <c r="K107" s="198">
        <v>-5.6</v>
      </c>
      <c r="L107" s="217">
        <f t="shared" si="20"/>
        <v>1.7499999999999998</v>
      </c>
      <c r="O107" s="197"/>
      <c r="P107" s="186"/>
    </row>
    <row r="108" spans="1:16" x14ac:dyDescent="0.25">
      <c r="A108" s="673"/>
      <c r="C108" s="233">
        <v>35</v>
      </c>
      <c r="D108" s="198">
        <v>0.2</v>
      </c>
      <c r="E108" s="198">
        <v>0.8</v>
      </c>
      <c r="F108" s="217">
        <f t="shared" si="19"/>
        <v>0.30000000000000004</v>
      </c>
      <c r="H108" s="203"/>
      <c r="I108" s="242">
        <v>70</v>
      </c>
      <c r="J108" s="198">
        <v>-0.3</v>
      </c>
      <c r="K108" s="198">
        <v>-5.0999999999999996</v>
      </c>
      <c r="L108" s="217">
        <f>0.5*(MAX(J108:K108)-MIN(J108:K108))</f>
        <v>2.4</v>
      </c>
      <c r="O108" s="197"/>
      <c r="P108" s="186"/>
    </row>
    <row r="109" spans="1:16" x14ac:dyDescent="0.25">
      <c r="A109" s="673"/>
      <c r="C109" s="233">
        <v>37</v>
      </c>
      <c r="D109" s="198">
        <v>0.2</v>
      </c>
      <c r="E109" s="198">
        <v>0.4</v>
      </c>
      <c r="F109" s="217">
        <f t="shared" si="19"/>
        <v>0.1</v>
      </c>
      <c r="H109" s="203"/>
      <c r="I109" s="242">
        <v>80</v>
      </c>
      <c r="J109" s="198">
        <v>2.2000000000000002</v>
      </c>
      <c r="K109" s="198">
        <v>-4.7</v>
      </c>
      <c r="L109" s="217">
        <f t="shared" ref="L109:L110" si="21">0.5*(MAX(J109:K109)-MIN(J109:K109))</f>
        <v>3.45</v>
      </c>
      <c r="O109" s="197"/>
      <c r="P109" s="186"/>
    </row>
    <row r="110" spans="1:16" ht="13.8" thickBot="1" x14ac:dyDescent="0.3">
      <c r="A110" s="674"/>
      <c r="B110" s="201"/>
      <c r="C110" s="243">
        <v>40</v>
      </c>
      <c r="D110" s="244">
        <v>0.2</v>
      </c>
      <c r="E110" s="244">
        <v>0</v>
      </c>
      <c r="F110" s="221">
        <f t="shared" si="19"/>
        <v>0.1</v>
      </c>
      <c r="G110" s="201"/>
      <c r="H110" s="222"/>
      <c r="I110" s="243">
        <v>90</v>
      </c>
      <c r="J110" s="245">
        <v>5.4</v>
      </c>
      <c r="K110" s="245">
        <v>0</v>
      </c>
      <c r="L110" s="221">
        <f t="shared" si="21"/>
        <v>2.7</v>
      </c>
      <c r="M110" s="201"/>
      <c r="N110" s="201"/>
      <c r="O110" s="202"/>
      <c r="P110" s="186"/>
    </row>
    <row r="111" spans="1:16" ht="13.8" thickBot="1" x14ac:dyDescent="0.3">
      <c r="A111" s="224"/>
      <c r="B111" s="225"/>
      <c r="C111" s="225"/>
      <c r="D111" s="225"/>
      <c r="E111" s="226"/>
      <c r="F111" s="235"/>
      <c r="G111" s="228"/>
      <c r="H111" s="225"/>
      <c r="I111" s="225"/>
      <c r="J111" s="225"/>
      <c r="K111" s="226"/>
      <c r="L111" s="235"/>
      <c r="M111" s="228"/>
      <c r="O111" s="197"/>
      <c r="P111" s="186"/>
    </row>
    <row r="112" spans="1:16" ht="13.8" thickBot="1" x14ac:dyDescent="0.3">
      <c r="A112" s="672">
        <v>11</v>
      </c>
      <c r="B112" s="675" t="s">
        <v>288</v>
      </c>
      <c r="C112" s="676"/>
      <c r="D112" s="676"/>
      <c r="E112" s="676"/>
      <c r="F112" s="677"/>
      <c r="G112" s="188"/>
      <c r="H112" s="690" t="str">
        <f>B112</f>
        <v>KOREKSI Sekonic HE-21.000670</v>
      </c>
      <c r="I112" s="691"/>
      <c r="J112" s="691"/>
      <c r="K112" s="691"/>
      <c r="L112" s="692"/>
      <c r="M112" s="188"/>
      <c r="N112" s="688" t="s">
        <v>219</v>
      </c>
      <c r="O112" s="689"/>
      <c r="P112" s="186"/>
    </row>
    <row r="113" spans="1:16" ht="13.8" thickBot="1" x14ac:dyDescent="0.3">
      <c r="A113" s="673"/>
      <c r="B113" s="678" t="s">
        <v>274</v>
      </c>
      <c r="C113" s="679"/>
      <c r="D113" s="680" t="s">
        <v>217</v>
      </c>
      <c r="E113" s="681"/>
      <c r="F113" s="682" t="s">
        <v>275</v>
      </c>
      <c r="H113" s="678" t="s">
        <v>276</v>
      </c>
      <c r="I113" s="679"/>
      <c r="J113" s="680" t="s">
        <v>217</v>
      </c>
      <c r="K113" s="681"/>
      <c r="L113" s="682" t="s">
        <v>275</v>
      </c>
      <c r="N113" s="206" t="s">
        <v>274</v>
      </c>
      <c r="O113" s="230">
        <v>0.3</v>
      </c>
      <c r="P113" s="186"/>
    </row>
    <row r="114" spans="1:16" ht="15" thickBot="1" x14ac:dyDescent="0.3">
      <c r="A114" s="673"/>
      <c r="B114" s="684" t="s">
        <v>277</v>
      </c>
      <c r="C114" s="685"/>
      <c r="D114" s="208">
        <v>2020</v>
      </c>
      <c r="E114" s="236" t="s">
        <v>77</v>
      </c>
      <c r="F114" s="683"/>
      <c r="H114" s="686" t="s">
        <v>278</v>
      </c>
      <c r="I114" s="687"/>
      <c r="J114" s="209">
        <f>D114</f>
        <v>2020</v>
      </c>
      <c r="K114" s="209" t="str">
        <f>E114</f>
        <v>-</v>
      </c>
      <c r="L114" s="683"/>
      <c r="N114" s="210" t="s">
        <v>278</v>
      </c>
      <c r="O114" s="229">
        <v>1.8</v>
      </c>
      <c r="P114" s="186"/>
    </row>
    <row r="115" spans="1:16" x14ac:dyDescent="0.25">
      <c r="A115" s="673"/>
      <c r="C115" s="212">
        <v>15</v>
      </c>
      <c r="D115" s="214">
        <v>0.3</v>
      </c>
      <c r="E115" s="237" t="s">
        <v>77</v>
      </c>
      <c r="F115" s="215">
        <f t="shared" ref="F115:F121" si="22">0.5*(MAX(D115:E115)-MIN(D115:E115))</f>
        <v>0</v>
      </c>
      <c r="H115" s="203"/>
      <c r="I115" s="212">
        <v>35</v>
      </c>
      <c r="J115" s="214">
        <v>-5.2</v>
      </c>
      <c r="K115" s="237" t="s">
        <v>77</v>
      </c>
      <c r="L115" s="215">
        <f t="shared" ref="L115:L121" si="23">0.5*(MAX(J115:K115)-MIN(J115:K115))</f>
        <v>0</v>
      </c>
      <c r="O115" s="197"/>
      <c r="P115" s="186"/>
    </row>
    <row r="116" spans="1:16" x14ac:dyDescent="0.25">
      <c r="A116" s="673"/>
      <c r="C116" s="216">
        <v>20</v>
      </c>
      <c r="D116" s="194">
        <v>0.4</v>
      </c>
      <c r="E116" s="238" t="s">
        <v>77</v>
      </c>
      <c r="F116" s="217">
        <f t="shared" si="22"/>
        <v>0</v>
      </c>
      <c r="H116" s="203"/>
      <c r="I116" s="216">
        <v>40</v>
      </c>
      <c r="J116" s="194">
        <v>-5.5</v>
      </c>
      <c r="K116" s="238" t="s">
        <v>77</v>
      </c>
      <c r="L116" s="217">
        <f t="shared" si="23"/>
        <v>0</v>
      </c>
      <c r="O116" s="197"/>
      <c r="P116" s="186"/>
    </row>
    <row r="117" spans="1:16" x14ac:dyDescent="0.25">
      <c r="A117" s="673"/>
      <c r="C117" s="216">
        <v>25</v>
      </c>
      <c r="D117" s="194">
        <v>0.4</v>
      </c>
      <c r="E117" s="238" t="s">
        <v>77</v>
      </c>
      <c r="F117" s="217">
        <f t="shared" si="22"/>
        <v>0</v>
      </c>
      <c r="H117" s="203"/>
      <c r="I117" s="216">
        <v>50</v>
      </c>
      <c r="J117" s="194">
        <v>-5.5</v>
      </c>
      <c r="K117" s="238" t="s">
        <v>77</v>
      </c>
      <c r="L117" s="217">
        <f t="shared" si="23"/>
        <v>0</v>
      </c>
      <c r="O117" s="197"/>
      <c r="P117" s="186"/>
    </row>
    <row r="118" spans="1:16" x14ac:dyDescent="0.25">
      <c r="A118" s="673"/>
      <c r="C118" s="218">
        <v>30</v>
      </c>
      <c r="D118" s="198">
        <v>0.5</v>
      </c>
      <c r="E118" s="199" t="s">
        <v>77</v>
      </c>
      <c r="F118" s="217">
        <f t="shared" si="22"/>
        <v>0</v>
      </c>
      <c r="H118" s="203"/>
      <c r="I118" s="218">
        <v>60</v>
      </c>
      <c r="J118" s="198">
        <v>-4.8</v>
      </c>
      <c r="K118" s="199" t="s">
        <v>77</v>
      </c>
      <c r="L118" s="217">
        <f t="shared" si="23"/>
        <v>0</v>
      </c>
      <c r="O118" s="197"/>
      <c r="P118" s="186"/>
    </row>
    <row r="119" spans="1:16" x14ac:dyDescent="0.25">
      <c r="A119" s="673"/>
      <c r="C119" s="218">
        <v>35</v>
      </c>
      <c r="D119" s="198">
        <v>0.5</v>
      </c>
      <c r="E119" s="199" t="s">
        <v>77</v>
      </c>
      <c r="F119" s="217">
        <f t="shared" si="22"/>
        <v>0</v>
      </c>
      <c r="H119" s="203"/>
      <c r="I119" s="218">
        <v>70</v>
      </c>
      <c r="J119" s="198">
        <v>-3.4</v>
      </c>
      <c r="K119" s="199" t="s">
        <v>77</v>
      </c>
      <c r="L119" s="217">
        <f t="shared" si="23"/>
        <v>0</v>
      </c>
      <c r="O119" s="197"/>
      <c r="P119" s="186"/>
    </row>
    <row r="120" spans="1:16" x14ac:dyDescent="0.25">
      <c r="A120" s="673"/>
      <c r="C120" s="218">
        <v>37</v>
      </c>
      <c r="D120" s="198">
        <v>0.5</v>
      </c>
      <c r="E120" s="199" t="s">
        <v>77</v>
      </c>
      <c r="F120" s="217">
        <f t="shared" si="22"/>
        <v>0</v>
      </c>
      <c r="H120" s="203"/>
      <c r="I120" s="218">
        <v>80</v>
      </c>
      <c r="J120" s="198">
        <v>-1.4</v>
      </c>
      <c r="K120" s="199" t="s">
        <v>77</v>
      </c>
      <c r="L120" s="217">
        <f t="shared" si="23"/>
        <v>0</v>
      </c>
      <c r="O120" s="197"/>
      <c r="P120" s="186"/>
    </row>
    <row r="121" spans="1:16" ht="13.8" thickBot="1" x14ac:dyDescent="0.3">
      <c r="A121" s="674"/>
      <c r="B121" s="201"/>
      <c r="C121" s="245">
        <v>40</v>
      </c>
      <c r="D121" s="246">
        <v>0.5</v>
      </c>
      <c r="E121" s="223" t="s">
        <v>77</v>
      </c>
      <c r="F121" s="221">
        <f t="shared" si="22"/>
        <v>0</v>
      </c>
      <c r="G121" s="201"/>
      <c r="H121" s="222"/>
      <c r="I121" s="245">
        <v>90</v>
      </c>
      <c r="J121" s="246">
        <v>1.3</v>
      </c>
      <c r="K121" s="223" t="s">
        <v>77</v>
      </c>
      <c r="L121" s="221">
        <f t="shared" si="23"/>
        <v>0</v>
      </c>
      <c r="M121" s="201"/>
      <c r="N121" s="201"/>
      <c r="O121" s="202"/>
      <c r="P121" s="186"/>
    </row>
    <row r="122" spans="1:16" ht="13.8" thickBot="1" x14ac:dyDescent="0.3">
      <c r="A122" s="224"/>
      <c r="B122" s="225"/>
      <c r="C122" s="225"/>
      <c r="D122" s="225"/>
      <c r="E122" s="226"/>
      <c r="F122" s="235"/>
      <c r="G122" s="228"/>
      <c r="H122" s="225"/>
      <c r="I122" s="225"/>
      <c r="J122" s="225"/>
      <c r="K122" s="226"/>
      <c r="L122" s="235"/>
      <c r="O122" s="197"/>
      <c r="P122" s="186"/>
    </row>
    <row r="123" spans="1:16" ht="13.8" thickBot="1" x14ac:dyDescent="0.3">
      <c r="A123" s="672">
        <v>12</v>
      </c>
      <c r="B123" s="675" t="s">
        <v>289</v>
      </c>
      <c r="C123" s="676"/>
      <c r="D123" s="676"/>
      <c r="E123" s="676"/>
      <c r="F123" s="677"/>
      <c r="G123" s="188"/>
      <c r="H123" s="675" t="str">
        <f>B123</f>
        <v>KOREKSI EXTECH A.100611</v>
      </c>
      <c r="I123" s="676"/>
      <c r="J123" s="676"/>
      <c r="K123" s="676"/>
      <c r="L123" s="677"/>
      <c r="M123" s="188"/>
      <c r="N123" s="688" t="s">
        <v>219</v>
      </c>
      <c r="O123" s="689"/>
      <c r="P123" s="186"/>
    </row>
    <row r="124" spans="1:16" ht="13.8" thickBot="1" x14ac:dyDescent="0.3">
      <c r="A124" s="673"/>
      <c r="B124" s="678" t="s">
        <v>274</v>
      </c>
      <c r="C124" s="679"/>
      <c r="D124" s="680" t="s">
        <v>217</v>
      </c>
      <c r="E124" s="681"/>
      <c r="F124" s="682" t="s">
        <v>275</v>
      </c>
      <c r="H124" s="678" t="s">
        <v>276</v>
      </c>
      <c r="I124" s="679"/>
      <c r="J124" s="680" t="s">
        <v>217</v>
      </c>
      <c r="K124" s="681"/>
      <c r="L124" s="682" t="s">
        <v>275</v>
      </c>
      <c r="N124" s="206" t="s">
        <v>274</v>
      </c>
      <c r="O124" s="230">
        <v>0.5</v>
      </c>
      <c r="P124" s="186"/>
    </row>
    <row r="125" spans="1:16" ht="15" thickBot="1" x14ac:dyDescent="0.3">
      <c r="A125" s="673"/>
      <c r="B125" s="684" t="s">
        <v>277</v>
      </c>
      <c r="C125" s="685"/>
      <c r="D125" s="208">
        <v>2023</v>
      </c>
      <c r="E125" s="236">
        <v>2022</v>
      </c>
      <c r="F125" s="683"/>
      <c r="H125" s="686" t="s">
        <v>278</v>
      </c>
      <c r="I125" s="687"/>
      <c r="J125" s="209">
        <f>D125</f>
        <v>2023</v>
      </c>
      <c r="K125" s="209">
        <f>E125</f>
        <v>2022</v>
      </c>
      <c r="L125" s="683"/>
      <c r="N125" s="210" t="s">
        <v>278</v>
      </c>
      <c r="O125" s="229">
        <v>2.2999999999999998</v>
      </c>
      <c r="P125" s="186"/>
    </row>
    <row r="126" spans="1:16" x14ac:dyDescent="0.25">
      <c r="A126" s="673"/>
      <c r="C126" s="212">
        <v>15</v>
      </c>
      <c r="D126" s="214">
        <v>0.1</v>
      </c>
      <c r="E126" s="214">
        <v>0.6</v>
      </c>
      <c r="F126" s="215">
        <f t="shared" ref="F126:F132" si="24">0.5*(MAX(D126:E126)-MIN(D126:E126))</f>
        <v>0.25</v>
      </c>
      <c r="H126" s="203"/>
      <c r="I126" s="212">
        <v>35</v>
      </c>
      <c r="J126" s="214">
        <v>-4.0999999999999996</v>
      </c>
      <c r="K126" s="214">
        <v>-2</v>
      </c>
      <c r="L126" s="215">
        <f t="shared" ref="L126:L132" si="25">0.5*(MAX(J126:K126)-MIN(J126:K126))</f>
        <v>1.0499999999999998</v>
      </c>
      <c r="O126" s="197"/>
      <c r="P126" s="186"/>
    </row>
    <row r="127" spans="1:16" x14ac:dyDescent="0.25">
      <c r="A127" s="673"/>
      <c r="C127" s="216">
        <v>20</v>
      </c>
      <c r="D127" s="194">
        <v>0.2</v>
      </c>
      <c r="E127" s="194">
        <v>0.3</v>
      </c>
      <c r="F127" s="217">
        <f t="shared" si="24"/>
        <v>4.9999999999999989E-2</v>
      </c>
      <c r="H127" s="203"/>
      <c r="I127" s="216">
        <v>40</v>
      </c>
      <c r="J127" s="194">
        <v>-3.8</v>
      </c>
      <c r="K127" s="194">
        <v>-1.7</v>
      </c>
      <c r="L127" s="217">
        <f t="shared" si="25"/>
        <v>1.0499999999999998</v>
      </c>
      <c r="O127" s="197"/>
      <c r="P127" s="186"/>
    </row>
    <row r="128" spans="1:16" x14ac:dyDescent="0.25">
      <c r="A128" s="673"/>
      <c r="C128" s="216">
        <v>25</v>
      </c>
      <c r="D128" s="194">
        <v>0.3</v>
      </c>
      <c r="E128" s="194">
        <v>0.2</v>
      </c>
      <c r="F128" s="217">
        <f t="shared" si="24"/>
        <v>4.9999999999999989E-2</v>
      </c>
      <c r="H128" s="203"/>
      <c r="I128" s="216">
        <v>50</v>
      </c>
      <c r="J128" s="194">
        <v>-3.1</v>
      </c>
      <c r="K128" s="194">
        <v>-1.4</v>
      </c>
      <c r="L128" s="217">
        <f t="shared" si="25"/>
        <v>0.85000000000000009</v>
      </c>
      <c r="O128" s="197"/>
      <c r="P128" s="186"/>
    </row>
    <row r="129" spans="1:16" x14ac:dyDescent="0.25">
      <c r="A129" s="673"/>
      <c r="C129" s="218">
        <v>30</v>
      </c>
      <c r="D129" s="198">
        <v>0.4</v>
      </c>
      <c r="E129" s="198">
        <v>0.4</v>
      </c>
      <c r="F129" s="217">
        <f t="shared" si="24"/>
        <v>0</v>
      </c>
      <c r="H129" s="203"/>
      <c r="I129" s="218">
        <v>60</v>
      </c>
      <c r="J129" s="198">
        <v>-2.2999999999999998</v>
      </c>
      <c r="K129" s="198">
        <v>-1.1000000000000001</v>
      </c>
      <c r="L129" s="217">
        <f t="shared" si="25"/>
        <v>0.59999999999999987</v>
      </c>
      <c r="O129" s="197"/>
      <c r="P129" s="186"/>
    </row>
    <row r="130" spans="1:16" x14ac:dyDescent="0.25">
      <c r="A130" s="673"/>
      <c r="C130" s="218">
        <v>35</v>
      </c>
      <c r="D130" s="198">
        <v>0.5</v>
      </c>
      <c r="E130" s="198">
        <v>0.8</v>
      </c>
      <c r="F130" s="217">
        <f t="shared" si="24"/>
        <v>0.15000000000000002</v>
      </c>
      <c r="H130" s="203"/>
      <c r="I130" s="218">
        <v>70</v>
      </c>
      <c r="J130" s="198">
        <v>-1.6</v>
      </c>
      <c r="K130" s="198">
        <v>-0.7</v>
      </c>
      <c r="L130" s="217">
        <f t="shared" si="25"/>
        <v>0.45000000000000007</v>
      </c>
      <c r="O130" s="197"/>
      <c r="P130" s="186"/>
    </row>
    <row r="131" spans="1:16" x14ac:dyDescent="0.25">
      <c r="A131" s="673"/>
      <c r="C131" s="218">
        <v>37</v>
      </c>
      <c r="D131" s="198">
        <v>0.5</v>
      </c>
      <c r="E131" s="198">
        <v>1</v>
      </c>
      <c r="F131" s="217">
        <f t="shared" si="24"/>
        <v>0.25</v>
      </c>
      <c r="H131" s="203"/>
      <c r="I131" s="218">
        <v>80</v>
      </c>
      <c r="J131" s="198">
        <v>-7.0000000000000007E-2</v>
      </c>
      <c r="K131" s="198">
        <v>-0.4</v>
      </c>
      <c r="L131" s="217">
        <f t="shared" si="25"/>
        <v>0.16500000000000001</v>
      </c>
      <c r="O131" s="197"/>
      <c r="P131" s="186"/>
    </row>
    <row r="132" spans="1:16" ht="13.8" thickBot="1" x14ac:dyDescent="0.3">
      <c r="A132" s="674"/>
      <c r="B132" s="201"/>
      <c r="C132" s="245">
        <v>40</v>
      </c>
      <c r="D132" s="220">
        <v>0.6</v>
      </c>
      <c r="E132" s="220">
        <v>1.4</v>
      </c>
      <c r="F132" s="221">
        <f t="shared" si="24"/>
        <v>0.39999999999999997</v>
      </c>
      <c r="G132" s="201"/>
      <c r="H132" s="222"/>
      <c r="I132" s="245">
        <v>90</v>
      </c>
      <c r="J132" s="220">
        <v>0.1</v>
      </c>
      <c r="K132" s="220">
        <v>-0.1</v>
      </c>
      <c r="L132" s="221">
        <f t="shared" si="25"/>
        <v>0.1</v>
      </c>
      <c r="M132" s="201"/>
      <c r="N132" s="201"/>
      <c r="O132" s="202"/>
      <c r="P132" s="186"/>
    </row>
    <row r="133" spans="1:16" ht="13.8" thickBot="1" x14ac:dyDescent="0.3">
      <c r="A133" s="224"/>
      <c r="B133" s="225"/>
      <c r="C133" s="225"/>
      <c r="D133" s="225"/>
      <c r="E133" s="226"/>
      <c r="F133" s="235"/>
      <c r="G133" s="228"/>
      <c r="H133" s="225"/>
      <c r="I133" s="225"/>
      <c r="J133" s="225"/>
      <c r="K133" s="226"/>
      <c r="L133" s="235"/>
      <c r="O133" s="197"/>
      <c r="P133" s="186"/>
    </row>
    <row r="134" spans="1:16" ht="13.8" thickBot="1" x14ac:dyDescent="0.3">
      <c r="A134" s="672">
        <v>13</v>
      </c>
      <c r="B134" s="675" t="s">
        <v>290</v>
      </c>
      <c r="C134" s="676"/>
      <c r="D134" s="676"/>
      <c r="E134" s="676"/>
      <c r="F134" s="677"/>
      <c r="G134" s="188"/>
      <c r="H134" s="675" t="str">
        <f>B134</f>
        <v>KOREKSI EXTECH A.100609</v>
      </c>
      <c r="I134" s="676"/>
      <c r="J134" s="676"/>
      <c r="K134" s="676"/>
      <c r="L134" s="677"/>
      <c r="M134" s="188"/>
      <c r="N134" s="688" t="s">
        <v>219</v>
      </c>
      <c r="O134" s="689"/>
      <c r="P134" s="186"/>
    </row>
    <row r="135" spans="1:16" ht="13.8" thickBot="1" x14ac:dyDescent="0.3">
      <c r="A135" s="673"/>
      <c r="B135" s="678" t="s">
        <v>274</v>
      </c>
      <c r="C135" s="679"/>
      <c r="D135" s="680" t="s">
        <v>217</v>
      </c>
      <c r="E135" s="681"/>
      <c r="F135" s="682" t="s">
        <v>275</v>
      </c>
      <c r="H135" s="678" t="s">
        <v>276</v>
      </c>
      <c r="I135" s="679"/>
      <c r="J135" s="680" t="s">
        <v>217</v>
      </c>
      <c r="K135" s="681"/>
      <c r="L135" s="682" t="s">
        <v>275</v>
      </c>
      <c r="N135" s="206" t="s">
        <v>274</v>
      </c>
      <c r="O135" s="230">
        <v>0.6</v>
      </c>
      <c r="P135" s="186"/>
    </row>
    <row r="136" spans="1:16" ht="15" thickBot="1" x14ac:dyDescent="0.3">
      <c r="A136" s="673"/>
      <c r="B136" s="684" t="s">
        <v>277</v>
      </c>
      <c r="C136" s="685"/>
      <c r="D136" s="208">
        <v>2023</v>
      </c>
      <c r="E136" s="208">
        <v>2022</v>
      </c>
      <c r="F136" s="683"/>
      <c r="H136" s="686" t="s">
        <v>278</v>
      </c>
      <c r="I136" s="687"/>
      <c r="J136" s="209">
        <f>D136</f>
        <v>2023</v>
      </c>
      <c r="K136" s="209">
        <f>E136</f>
        <v>2022</v>
      </c>
      <c r="L136" s="683"/>
      <c r="N136" s="210" t="s">
        <v>278</v>
      </c>
      <c r="O136" s="229">
        <v>2.2999999999999998</v>
      </c>
      <c r="P136" s="186"/>
    </row>
    <row r="137" spans="1:16" x14ac:dyDescent="0.25">
      <c r="A137" s="673"/>
      <c r="C137" s="212">
        <v>15</v>
      </c>
      <c r="D137" s="214">
        <v>0.1</v>
      </c>
      <c r="E137" s="214">
        <v>0.5</v>
      </c>
      <c r="F137" s="215">
        <f t="shared" ref="F137:F143" si="26">0.5*(MAX(D137:E137)-MIN(D137:E137))</f>
        <v>0.2</v>
      </c>
      <c r="H137" s="203"/>
      <c r="I137" s="212">
        <v>35</v>
      </c>
      <c r="J137" s="214">
        <v>-4.2</v>
      </c>
      <c r="K137" s="214">
        <v>-0.8</v>
      </c>
      <c r="L137" s="215">
        <f t="shared" ref="L137:L143" si="27">0.5*(MAX(J137:K137)-MIN(J137:K137))</f>
        <v>1.7000000000000002</v>
      </c>
      <c r="O137" s="197"/>
      <c r="P137" s="186"/>
    </row>
    <row r="138" spans="1:16" x14ac:dyDescent="0.25">
      <c r="A138" s="673"/>
      <c r="C138" s="216">
        <v>20</v>
      </c>
      <c r="D138" s="194">
        <v>0.2</v>
      </c>
      <c r="E138" s="194">
        <v>0.2</v>
      </c>
      <c r="F138" s="217">
        <f t="shared" si="26"/>
        <v>0</v>
      </c>
      <c r="H138" s="203"/>
      <c r="I138" s="216">
        <v>40</v>
      </c>
      <c r="J138" s="194">
        <v>-3.8</v>
      </c>
      <c r="K138" s="194">
        <v>-0.4</v>
      </c>
      <c r="L138" s="217">
        <f t="shared" si="27"/>
        <v>1.7</v>
      </c>
      <c r="O138" s="197"/>
      <c r="P138" s="186"/>
    </row>
    <row r="139" spans="1:16" x14ac:dyDescent="0.25">
      <c r="A139" s="673"/>
      <c r="C139" s="216">
        <v>25</v>
      </c>
      <c r="D139" s="194">
        <v>0.2</v>
      </c>
      <c r="E139" s="194">
        <v>-0.1</v>
      </c>
      <c r="F139" s="217">
        <f t="shared" si="26"/>
        <v>0.15000000000000002</v>
      </c>
      <c r="H139" s="203"/>
      <c r="I139" s="216">
        <v>50</v>
      </c>
      <c r="J139" s="194">
        <v>-2.8</v>
      </c>
      <c r="K139" s="194">
        <v>0</v>
      </c>
      <c r="L139" s="217">
        <f t="shared" si="27"/>
        <v>1.4</v>
      </c>
      <c r="O139" s="197"/>
      <c r="P139" s="186"/>
    </row>
    <row r="140" spans="1:16" x14ac:dyDescent="0.25">
      <c r="A140" s="673"/>
      <c r="C140" s="218">
        <v>30</v>
      </c>
      <c r="D140" s="198">
        <v>0.3</v>
      </c>
      <c r="E140" s="198">
        <v>-0.4</v>
      </c>
      <c r="F140" s="217">
        <f t="shared" si="26"/>
        <v>0.35</v>
      </c>
      <c r="H140" s="203"/>
      <c r="I140" s="218">
        <v>60</v>
      </c>
      <c r="J140" s="198">
        <v>-1.8</v>
      </c>
      <c r="K140" s="198">
        <v>0.3</v>
      </c>
      <c r="L140" s="217">
        <f t="shared" si="27"/>
        <v>1.05</v>
      </c>
      <c r="O140" s="197"/>
      <c r="P140" s="186"/>
    </row>
    <row r="141" spans="1:16" x14ac:dyDescent="0.25">
      <c r="A141" s="673"/>
      <c r="C141" s="218">
        <v>35</v>
      </c>
      <c r="D141" s="198">
        <v>0.3</v>
      </c>
      <c r="E141" s="198">
        <v>-0.6</v>
      </c>
      <c r="F141" s="217">
        <f t="shared" si="26"/>
        <v>0.44999999999999996</v>
      </c>
      <c r="H141" s="203"/>
      <c r="I141" s="218">
        <v>70</v>
      </c>
      <c r="J141" s="198">
        <v>-0.6</v>
      </c>
      <c r="K141" s="198">
        <v>0.7</v>
      </c>
      <c r="L141" s="217">
        <f t="shared" si="27"/>
        <v>0.64999999999999991</v>
      </c>
      <c r="O141" s="197"/>
      <c r="P141" s="186"/>
    </row>
    <row r="142" spans="1:16" x14ac:dyDescent="0.25">
      <c r="A142" s="673"/>
      <c r="C142" s="218">
        <v>37</v>
      </c>
      <c r="D142" s="198">
        <v>0.4</v>
      </c>
      <c r="E142" s="198">
        <v>-0.7</v>
      </c>
      <c r="F142" s="217">
        <f t="shared" si="26"/>
        <v>0.55000000000000004</v>
      </c>
      <c r="H142" s="203"/>
      <c r="I142" s="218">
        <v>80</v>
      </c>
      <c r="J142" s="198">
        <v>0.6</v>
      </c>
      <c r="K142" s="198">
        <v>1.1000000000000001</v>
      </c>
      <c r="L142" s="217">
        <f t="shared" si="27"/>
        <v>0.25000000000000006</v>
      </c>
      <c r="O142" s="197"/>
      <c r="P142" s="186"/>
    </row>
    <row r="143" spans="1:16" ht="13.8" thickBot="1" x14ac:dyDescent="0.3">
      <c r="A143" s="674"/>
      <c r="B143" s="201"/>
      <c r="C143" s="245">
        <v>40</v>
      </c>
      <c r="D143" s="220">
        <v>0.4</v>
      </c>
      <c r="E143" s="220">
        <v>-0.8</v>
      </c>
      <c r="F143" s="221">
        <f t="shared" si="26"/>
        <v>0.60000000000000009</v>
      </c>
      <c r="G143" s="201"/>
      <c r="H143" s="222"/>
      <c r="I143" s="245">
        <v>90</v>
      </c>
      <c r="J143" s="220">
        <v>1.9</v>
      </c>
      <c r="K143" s="220">
        <v>1.5</v>
      </c>
      <c r="L143" s="221">
        <f t="shared" si="27"/>
        <v>0.19999999999999996</v>
      </c>
      <c r="M143" s="201"/>
      <c r="N143" s="201"/>
      <c r="O143" s="202"/>
      <c r="P143" s="186"/>
    </row>
    <row r="144" spans="1:16" ht="13.8" thickBot="1" x14ac:dyDescent="0.3">
      <c r="A144" s="224"/>
      <c r="B144" s="225"/>
      <c r="C144" s="225"/>
      <c r="D144" s="225"/>
      <c r="E144" s="226"/>
      <c r="F144" s="235"/>
      <c r="G144" s="228"/>
      <c r="H144" s="225"/>
      <c r="I144" s="225"/>
      <c r="J144" s="225"/>
      <c r="K144" s="226"/>
      <c r="L144" s="235"/>
      <c r="O144" s="197"/>
      <c r="P144" s="186"/>
    </row>
    <row r="145" spans="1:16" ht="13.8" thickBot="1" x14ac:dyDescent="0.3">
      <c r="A145" s="672">
        <v>14</v>
      </c>
      <c r="B145" s="675" t="s">
        <v>291</v>
      </c>
      <c r="C145" s="676"/>
      <c r="D145" s="676"/>
      <c r="E145" s="676"/>
      <c r="F145" s="677"/>
      <c r="G145" s="188"/>
      <c r="H145" s="675" t="str">
        <f>B145</f>
        <v>KOREKSI EXTECH A.100605</v>
      </c>
      <c r="I145" s="676"/>
      <c r="J145" s="676"/>
      <c r="K145" s="676"/>
      <c r="L145" s="677"/>
      <c r="M145" s="188"/>
      <c r="N145" s="688" t="s">
        <v>219</v>
      </c>
      <c r="O145" s="689"/>
      <c r="P145" s="186"/>
    </row>
    <row r="146" spans="1:16" ht="13.8" thickBot="1" x14ac:dyDescent="0.3">
      <c r="A146" s="673"/>
      <c r="B146" s="678" t="s">
        <v>274</v>
      </c>
      <c r="C146" s="679"/>
      <c r="D146" s="680" t="s">
        <v>217</v>
      </c>
      <c r="E146" s="681"/>
      <c r="F146" s="682" t="s">
        <v>275</v>
      </c>
      <c r="H146" s="678" t="s">
        <v>276</v>
      </c>
      <c r="I146" s="679"/>
      <c r="J146" s="680" t="s">
        <v>217</v>
      </c>
      <c r="K146" s="681"/>
      <c r="L146" s="682" t="s">
        <v>275</v>
      </c>
      <c r="N146" s="206" t="s">
        <v>274</v>
      </c>
      <c r="O146" s="230">
        <v>0.5</v>
      </c>
      <c r="P146" s="186"/>
    </row>
    <row r="147" spans="1:16" ht="15" thickBot="1" x14ac:dyDescent="0.3">
      <c r="A147" s="673"/>
      <c r="B147" s="684" t="s">
        <v>277</v>
      </c>
      <c r="C147" s="685"/>
      <c r="D147" s="208">
        <v>2023</v>
      </c>
      <c r="E147" s="236">
        <v>2022</v>
      </c>
      <c r="F147" s="683"/>
      <c r="H147" s="686" t="s">
        <v>278</v>
      </c>
      <c r="I147" s="687"/>
      <c r="J147" s="209">
        <f>D147</f>
        <v>2023</v>
      </c>
      <c r="K147" s="209">
        <f>E147</f>
        <v>2022</v>
      </c>
      <c r="L147" s="683"/>
      <c r="N147" s="210" t="s">
        <v>278</v>
      </c>
      <c r="O147" s="229">
        <v>2.2999999999999998</v>
      </c>
      <c r="P147" s="186"/>
    </row>
    <row r="148" spans="1:16" x14ac:dyDescent="0.25">
      <c r="A148" s="673"/>
      <c r="C148" s="212">
        <v>15</v>
      </c>
      <c r="D148" s="213">
        <v>0.1</v>
      </c>
      <c r="E148" s="213">
        <v>0.5</v>
      </c>
      <c r="F148" s="215">
        <f t="shared" ref="F148:F154" si="28">0.5*(MAX(D148:E148)-MIN(D148:E148))</f>
        <v>0.2</v>
      </c>
      <c r="H148" s="203"/>
      <c r="I148" s="212">
        <v>30</v>
      </c>
      <c r="J148" s="213">
        <v>-2.2000000000000002</v>
      </c>
      <c r="K148" s="213">
        <v>-4.0999999999999996</v>
      </c>
      <c r="L148" s="215">
        <f t="shared" ref="L148:L154" si="29">0.5*(MAX(J148:K148)-MIN(J148:K148))</f>
        <v>0.94999999999999973</v>
      </c>
      <c r="O148" s="197"/>
      <c r="P148" s="186"/>
    </row>
    <row r="149" spans="1:16" x14ac:dyDescent="0.25">
      <c r="A149" s="673"/>
      <c r="C149" s="216">
        <v>20</v>
      </c>
      <c r="D149" s="195">
        <v>0.2</v>
      </c>
      <c r="E149" s="195">
        <v>0.2</v>
      </c>
      <c r="F149" s="217">
        <f t="shared" si="28"/>
        <v>0</v>
      </c>
      <c r="H149" s="203"/>
      <c r="I149" s="216">
        <v>40</v>
      </c>
      <c r="J149" s="195">
        <v>-2</v>
      </c>
      <c r="K149" s="195">
        <v>-4</v>
      </c>
      <c r="L149" s="217">
        <f t="shared" si="29"/>
        <v>1</v>
      </c>
      <c r="O149" s="197"/>
      <c r="P149" s="186"/>
    </row>
    <row r="150" spans="1:16" x14ac:dyDescent="0.25">
      <c r="A150" s="673"/>
      <c r="C150" s="216">
        <v>25</v>
      </c>
      <c r="D150" s="195">
        <v>0.3</v>
      </c>
      <c r="E150" s="195">
        <v>0.1</v>
      </c>
      <c r="F150" s="217">
        <f t="shared" si="28"/>
        <v>9.9999999999999992E-2</v>
      </c>
      <c r="H150" s="203"/>
      <c r="I150" s="216">
        <v>50</v>
      </c>
      <c r="J150" s="195">
        <v>-1.8</v>
      </c>
      <c r="K150" s="195">
        <v>-3.6</v>
      </c>
      <c r="L150" s="217">
        <f t="shared" si="29"/>
        <v>0.9</v>
      </c>
      <c r="O150" s="197"/>
      <c r="P150" s="186"/>
    </row>
    <row r="151" spans="1:16" x14ac:dyDescent="0.25">
      <c r="A151" s="673"/>
      <c r="C151" s="218">
        <v>30</v>
      </c>
      <c r="D151" s="402">
        <v>0.4</v>
      </c>
      <c r="E151" s="402">
        <v>-0.1</v>
      </c>
      <c r="F151" s="217">
        <f t="shared" si="28"/>
        <v>0.25</v>
      </c>
      <c r="H151" s="203"/>
      <c r="I151" s="218">
        <v>60</v>
      </c>
      <c r="J151" s="402">
        <v>-1.6</v>
      </c>
      <c r="K151" s="402">
        <v>-3.1</v>
      </c>
      <c r="L151" s="217">
        <f t="shared" si="29"/>
        <v>0.75</v>
      </c>
      <c r="O151" s="197"/>
      <c r="P151" s="186"/>
    </row>
    <row r="152" spans="1:16" x14ac:dyDescent="0.25">
      <c r="A152" s="673"/>
      <c r="C152" s="218">
        <v>35</v>
      </c>
      <c r="D152" s="402">
        <v>0.5</v>
      </c>
      <c r="E152" s="402">
        <v>-0.2</v>
      </c>
      <c r="F152" s="217">
        <f t="shared" si="28"/>
        <v>0.35</v>
      </c>
      <c r="H152" s="203"/>
      <c r="I152" s="218">
        <v>70</v>
      </c>
      <c r="J152" s="402">
        <v>-1.4</v>
      </c>
      <c r="K152" s="402">
        <v>-2.2999999999999998</v>
      </c>
      <c r="L152" s="217">
        <f t="shared" si="29"/>
        <v>0.44999999999999996</v>
      </c>
      <c r="O152" s="197"/>
      <c r="P152" s="186"/>
    </row>
    <row r="153" spans="1:16" x14ac:dyDescent="0.25">
      <c r="A153" s="673"/>
      <c r="C153" s="218">
        <v>37</v>
      </c>
      <c r="D153" s="402">
        <v>0.6</v>
      </c>
      <c r="E153" s="402">
        <v>-0.2</v>
      </c>
      <c r="F153" s="217">
        <f t="shared" si="28"/>
        <v>0.4</v>
      </c>
      <c r="H153" s="203"/>
      <c r="I153" s="218">
        <v>80</v>
      </c>
      <c r="J153" s="402">
        <v>-1.2</v>
      </c>
      <c r="K153" s="402">
        <v>-1.5</v>
      </c>
      <c r="L153" s="217">
        <f t="shared" si="29"/>
        <v>0.15000000000000002</v>
      </c>
      <c r="O153" s="197"/>
      <c r="P153" s="186"/>
    </row>
    <row r="154" spans="1:16" ht="13.8" thickBot="1" x14ac:dyDescent="0.3">
      <c r="A154" s="674"/>
      <c r="B154" s="201"/>
      <c r="C154" s="245">
        <v>40</v>
      </c>
      <c r="D154" s="246">
        <v>0.7</v>
      </c>
      <c r="E154" s="246">
        <v>-0.2</v>
      </c>
      <c r="F154" s="221">
        <f t="shared" si="28"/>
        <v>0.44999999999999996</v>
      </c>
      <c r="G154" s="201"/>
      <c r="H154" s="222"/>
      <c r="I154" s="245">
        <v>90</v>
      </c>
      <c r="J154" s="246">
        <v>-1</v>
      </c>
      <c r="K154" s="246">
        <v>-0.4</v>
      </c>
      <c r="L154" s="221">
        <f t="shared" si="29"/>
        <v>0.3</v>
      </c>
      <c r="M154" s="201"/>
      <c r="N154" s="201"/>
      <c r="O154" s="202"/>
      <c r="P154" s="186"/>
    </row>
    <row r="155" spans="1:16" ht="13.8" thickBot="1" x14ac:dyDescent="0.3">
      <c r="A155" s="224"/>
      <c r="B155" s="225"/>
      <c r="C155" s="225"/>
      <c r="D155" s="225"/>
      <c r="E155" s="226"/>
      <c r="F155" s="235"/>
      <c r="G155" s="228"/>
      <c r="H155" s="225"/>
      <c r="I155" s="225"/>
      <c r="J155" s="225"/>
      <c r="K155" s="226"/>
      <c r="L155" s="235"/>
      <c r="O155" s="197"/>
      <c r="P155" s="186"/>
    </row>
    <row r="156" spans="1:16" ht="13.8" thickBot="1" x14ac:dyDescent="0.3">
      <c r="A156" s="672">
        <v>15</v>
      </c>
      <c r="B156" s="675" t="s">
        <v>292</v>
      </c>
      <c r="C156" s="676"/>
      <c r="D156" s="676"/>
      <c r="E156" s="676"/>
      <c r="F156" s="677"/>
      <c r="G156" s="188"/>
      <c r="H156" s="675" t="str">
        <f>B156</f>
        <v>KOREKSI EXTECH A.100617</v>
      </c>
      <c r="I156" s="676"/>
      <c r="J156" s="676"/>
      <c r="K156" s="676"/>
      <c r="L156" s="677"/>
      <c r="M156" s="188"/>
      <c r="N156" s="688" t="s">
        <v>219</v>
      </c>
      <c r="O156" s="689"/>
      <c r="P156" s="186"/>
    </row>
    <row r="157" spans="1:16" ht="13.8" thickBot="1" x14ac:dyDescent="0.3">
      <c r="A157" s="673"/>
      <c r="B157" s="678" t="s">
        <v>274</v>
      </c>
      <c r="C157" s="679"/>
      <c r="D157" s="680" t="s">
        <v>217</v>
      </c>
      <c r="E157" s="681"/>
      <c r="F157" s="682" t="s">
        <v>275</v>
      </c>
      <c r="H157" s="678" t="s">
        <v>276</v>
      </c>
      <c r="I157" s="679"/>
      <c r="J157" s="680" t="s">
        <v>217</v>
      </c>
      <c r="K157" s="681"/>
      <c r="L157" s="682" t="s">
        <v>275</v>
      </c>
      <c r="N157" s="206" t="s">
        <v>274</v>
      </c>
      <c r="O157" s="230">
        <v>0.3</v>
      </c>
      <c r="P157" s="186"/>
    </row>
    <row r="158" spans="1:16" ht="15" thickBot="1" x14ac:dyDescent="0.3">
      <c r="A158" s="673"/>
      <c r="B158" s="684" t="s">
        <v>277</v>
      </c>
      <c r="C158" s="685"/>
      <c r="D158" s="208">
        <v>2020</v>
      </c>
      <c r="E158" s="236" t="s">
        <v>77</v>
      </c>
      <c r="F158" s="683"/>
      <c r="H158" s="686" t="s">
        <v>278</v>
      </c>
      <c r="I158" s="687"/>
      <c r="J158" s="209">
        <f>D158</f>
        <v>2020</v>
      </c>
      <c r="K158" s="209" t="str">
        <f>E158</f>
        <v>-</v>
      </c>
      <c r="L158" s="683"/>
      <c r="N158" s="210" t="s">
        <v>278</v>
      </c>
      <c r="O158" s="229">
        <v>2.8</v>
      </c>
      <c r="P158" s="186"/>
    </row>
    <row r="159" spans="1:16" x14ac:dyDescent="0.25">
      <c r="A159" s="673"/>
      <c r="C159" s="212">
        <v>15</v>
      </c>
      <c r="D159" s="214">
        <v>0.1</v>
      </c>
      <c r="E159" s="237" t="s">
        <v>77</v>
      </c>
      <c r="F159" s="215">
        <f t="shared" ref="F159:F165" si="30">0.5*(MAX(D159:E159)-MIN(D159:E159))</f>
        <v>0</v>
      </c>
      <c r="H159" s="203"/>
      <c r="I159" s="212">
        <v>30</v>
      </c>
      <c r="J159" s="214">
        <v>0.1</v>
      </c>
      <c r="K159" s="237" t="s">
        <v>77</v>
      </c>
      <c r="L159" s="215">
        <f t="shared" ref="L159:L165" si="31">0.5*(MAX(J159:K159)-MIN(J159:K159))</f>
        <v>0</v>
      </c>
      <c r="O159" s="197"/>
      <c r="P159" s="186"/>
    </row>
    <row r="160" spans="1:16" x14ac:dyDescent="0.25">
      <c r="A160" s="673"/>
      <c r="C160" s="216">
        <v>20</v>
      </c>
      <c r="D160" s="194">
        <v>0.1</v>
      </c>
      <c r="E160" s="238" t="s">
        <v>77</v>
      </c>
      <c r="F160" s="217">
        <f t="shared" si="30"/>
        <v>0</v>
      </c>
      <c r="H160" s="203"/>
      <c r="I160" s="216">
        <v>40</v>
      </c>
      <c r="J160" s="194">
        <v>0.2</v>
      </c>
      <c r="K160" s="238" t="s">
        <v>77</v>
      </c>
      <c r="L160" s="217">
        <f t="shared" si="31"/>
        <v>0</v>
      </c>
      <c r="O160" s="197"/>
      <c r="P160" s="186"/>
    </row>
    <row r="161" spans="1:16" x14ac:dyDescent="0.25">
      <c r="A161" s="673"/>
      <c r="C161" s="216">
        <v>25</v>
      </c>
      <c r="D161" s="194">
        <v>0</v>
      </c>
      <c r="E161" s="238" t="s">
        <v>77</v>
      </c>
      <c r="F161" s="217">
        <f t="shared" si="30"/>
        <v>0</v>
      </c>
      <c r="H161" s="203"/>
      <c r="I161" s="216">
        <v>50</v>
      </c>
      <c r="J161" s="194">
        <v>0.2</v>
      </c>
      <c r="K161" s="238" t="s">
        <v>77</v>
      </c>
      <c r="L161" s="217">
        <f t="shared" si="31"/>
        <v>0</v>
      </c>
      <c r="O161" s="197"/>
      <c r="P161" s="186"/>
    </row>
    <row r="162" spans="1:16" x14ac:dyDescent="0.25">
      <c r="A162" s="673"/>
      <c r="C162" s="218">
        <v>30</v>
      </c>
      <c r="D162" s="198">
        <v>-0.2</v>
      </c>
      <c r="E162" s="199" t="s">
        <v>77</v>
      </c>
      <c r="F162" s="217">
        <f t="shared" si="30"/>
        <v>0</v>
      </c>
      <c r="H162" s="203"/>
      <c r="I162" s="218">
        <v>60</v>
      </c>
      <c r="J162" s="198">
        <v>0</v>
      </c>
      <c r="K162" s="199" t="s">
        <v>77</v>
      </c>
      <c r="L162" s="217">
        <f t="shared" si="31"/>
        <v>0</v>
      </c>
      <c r="O162" s="197"/>
      <c r="P162" s="186"/>
    </row>
    <row r="163" spans="1:16" x14ac:dyDescent="0.25">
      <c r="A163" s="673"/>
      <c r="C163" s="218">
        <v>35</v>
      </c>
      <c r="D163" s="198">
        <v>-0.5</v>
      </c>
      <c r="E163" s="199" t="s">
        <v>77</v>
      </c>
      <c r="F163" s="217">
        <f t="shared" si="30"/>
        <v>0</v>
      </c>
      <c r="H163" s="203"/>
      <c r="I163" s="218">
        <v>70</v>
      </c>
      <c r="J163" s="198">
        <v>-0.3</v>
      </c>
      <c r="K163" s="199" t="s">
        <v>77</v>
      </c>
      <c r="L163" s="217">
        <f t="shared" si="31"/>
        <v>0</v>
      </c>
      <c r="O163" s="197"/>
      <c r="P163" s="186"/>
    </row>
    <row r="164" spans="1:16" x14ac:dyDescent="0.25">
      <c r="A164" s="673"/>
      <c r="C164" s="218">
        <v>37</v>
      </c>
      <c r="D164" s="198">
        <v>-0.6</v>
      </c>
      <c r="E164" s="199" t="s">
        <v>77</v>
      </c>
      <c r="F164" s="217">
        <f t="shared" si="30"/>
        <v>0</v>
      </c>
      <c r="H164" s="203"/>
      <c r="I164" s="218">
        <v>80</v>
      </c>
      <c r="J164" s="198">
        <v>-0.8</v>
      </c>
      <c r="K164" s="199" t="s">
        <v>77</v>
      </c>
      <c r="L164" s="217">
        <f t="shared" si="31"/>
        <v>0</v>
      </c>
      <c r="O164" s="197"/>
      <c r="P164" s="186"/>
    </row>
    <row r="165" spans="1:16" ht="13.8" thickBot="1" x14ac:dyDescent="0.3">
      <c r="A165" s="674"/>
      <c r="B165" s="201"/>
      <c r="C165" s="245">
        <v>40</v>
      </c>
      <c r="D165" s="220">
        <v>-0.8</v>
      </c>
      <c r="E165" s="223" t="s">
        <v>77</v>
      </c>
      <c r="F165" s="221">
        <f t="shared" si="30"/>
        <v>0</v>
      </c>
      <c r="G165" s="201"/>
      <c r="H165" s="222"/>
      <c r="I165" s="245">
        <v>90</v>
      </c>
      <c r="J165" s="220">
        <v>-1.4</v>
      </c>
      <c r="K165" s="223" t="s">
        <v>77</v>
      </c>
      <c r="L165" s="221">
        <f t="shared" si="31"/>
        <v>0</v>
      </c>
      <c r="M165" s="201"/>
      <c r="N165" s="201"/>
      <c r="O165" s="202"/>
      <c r="P165" s="186"/>
    </row>
    <row r="166" spans="1:16" ht="13.8" thickBot="1" x14ac:dyDescent="0.3">
      <c r="A166" s="224"/>
      <c r="B166" s="225"/>
      <c r="C166" s="225"/>
      <c r="D166" s="225"/>
      <c r="E166" s="226"/>
      <c r="F166" s="235"/>
      <c r="G166" s="228"/>
      <c r="H166" s="225"/>
      <c r="I166" s="225"/>
      <c r="J166" s="225"/>
      <c r="K166" s="226"/>
      <c r="L166" s="235"/>
      <c r="O166" s="197"/>
      <c r="P166" s="186"/>
    </row>
    <row r="167" spans="1:16" ht="13.8" thickBot="1" x14ac:dyDescent="0.3">
      <c r="A167" s="672">
        <v>16</v>
      </c>
      <c r="B167" s="675" t="s">
        <v>293</v>
      </c>
      <c r="C167" s="676"/>
      <c r="D167" s="676"/>
      <c r="E167" s="676"/>
      <c r="F167" s="677"/>
      <c r="G167" s="188"/>
      <c r="H167" s="675" t="str">
        <f>B167</f>
        <v>KOREKSI EXTECH A.100616</v>
      </c>
      <c r="I167" s="676"/>
      <c r="J167" s="676"/>
      <c r="K167" s="676"/>
      <c r="L167" s="677"/>
      <c r="M167" s="188"/>
      <c r="N167" s="688" t="s">
        <v>219</v>
      </c>
      <c r="O167" s="689"/>
      <c r="P167" s="186"/>
    </row>
    <row r="168" spans="1:16" ht="13.8" thickBot="1" x14ac:dyDescent="0.3">
      <c r="A168" s="673"/>
      <c r="B168" s="678" t="s">
        <v>274</v>
      </c>
      <c r="C168" s="679"/>
      <c r="D168" s="680" t="s">
        <v>217</v>
      </c>
      <c r="E168" s="681"/>
      <c r="F168" s="682" t="s">
        <v>275</v>
      </c>
      <c r="H168" s="678" t="s">
        <v>276</v>
      </c>
      <c r="I168" s="679"/>
      <c r="J168" s="680" t="s">
        <v>217</v>
      </c>
      <c r="K168" s="681"/>
      <c r="L168" s="682" t="s">
        <v>275</v>
      </c>
      <c r="N168" s="206" t="s">
        <v>274</v>
      </c>
      <c r="O168" s="230">
        <v>0.4</v>
      </c>
      <c r="P168" s="186"/>
    </row>
    <row r="169" spans="1:16" ht="15" thickBot="1" x14ac:dyDescent="0.3">
      <c r="A169" s="673"/>
      <c r="B169" s="684" t="s">
        <v>277</v>
      </c>
      <c r="C169" s="685"/>
      <c r="D169" s="208">
        <v>2020</v>
      </c>
      <c r="E169" s="236" t="s">
        <v>77</v>
      </c>
      <c r="F169" s="683"/>
      <c r="H169" s="686" t="s">
        <v>278</v>
      </c>
      <c r="I169" s="687"/>
      <c r="J169" s="209">
        <f>D169</f>
        <v>2020</v>
      </c>
      <c r="K169" s="209" t="str">
        <f>E169</f>
        <v>-</v>
      </c>
      <c r="L169" s="683"/>
      <c r="N169" s="210" t="s">
        <v>278</v>
      </c>
      <c r="O169" s="229">
        <v>2.2000000000000002</v>
      </c>
      <c r="P169" s="186"/>
    </row>
    <row r="170" spans="1:16" x14ac:dyDescent="0.25">
      <c r="A170" s="673"/>
      <c r="C170" s="212">
        <v>15</v>
      </c>
      <c r="D170" s="214">
        <v>0.1</v>
      </c>
      <c r="E170" s="237" t="s">
        <v>77</v>
      </c>
      <c r="F170" s="215">
        <f t="shared" ref="F170:F176" si="32">0.5*(MAX(D170:E170)-MIN(D170:E170))</f>
        <v>0</v>
      </c>
      <c r="H170" s="203"/>
      <c r="I170" s="212">
        <v>30</v>
      </c>
      <c r="J170" s="214">
        <v>-1.6</v>
      </c>
      <c r="K170" s="237" t="s">
        <v>77</v>
      </c>
      <c r="L170" s="215">
        <f t="shared" ref="L170:L176" si="33">0.5*(MAX(J170:K170)-MIN(J170:K170))</f>
        <v>0</v>
      </c>
      <c r="O170" s="197"/>
      <c r="P170" s="186"/>
    </row>
    <row r="171" spans="1:16" x14ac:dyDescent="0.25">
      <c r="A171" s="673"/>
      <c r="C171" s="216">
        <v>20</v>
      </c>
      <c r="D171" s="194">
        <v>0.2</v>
      </c>
      <c r="E171" s="238" t="s">
        <v>77</v>
      </c>
      <c r="F171" s="217">
        <f t="shared" si="32"/>
        <v>0</v>
      </c>
      <c r="H171" s="203"/>
      <c r="I171" s="216">
        <v>40</v>
      </c>
      <c r="J171" s="194">
        <v>-1.4</v>
      </c>
      <c r="K171" s="238" t="s">
        <v>77</v>
      </c>
      <c r="L171" s="217">
        <f t="shared" si="33"/>
        <v>0</v>
      </c>
      <c r="O171" s="197"/>
      <c r="P171" s="186"/>
    </row>
    <row r="172" spans="1:16" x14ac:dyDescent="0.25">
      <c r="A172" s="673"/>
      <c r="C172" s="216">
        <v>25</v>
      </c>
      <c r="D172" s="194">
        <v>0.2</v>
      </c>
      <c r="E172" s="238" t="s">
        <v>77</v>
      </c>
      <c r="F172" s="217">
        <f t="shared" si="32"/>
        <v>0</v>
      </c>
      <c r="H172" s="203"/>
      <c r="I172" s="216">
        <v>50</v>
      </c>
      <c r="J172" s="194">
        <v>-1.4</v>
      </c>
      <c r="K172" s="238" t="s">
        <v>77</v>
      </c>
      <c r="L172" s="217">
        <f t="shared" si="33"/>
        <v>0</v>
      </c>
      <c r="O172" s="197"/>
      <c r="P172" s="186"/>
    </row>
    <row r="173" spans="1:16" x14ac:dyDescent="0.25">
      <c r="A173" s="673"/>
      <c r="C173" s="218">
        <v>30</v>
      </c>
      <c r="D173" s="198">
        <v>0.2</v>
      </c>
      <c r="E173" s="199" t="s">
        <v>77</v>
      </c>
      <c r="F173" s="217">
        <f t="shared" si="32"/>
        <v>0</v>
      </c>
      <c r="H173" s="203"/>
      <c r="I173" s="218">
        <v>60</v>
      </c>
      <c r="J173" s="198">
        <v>-1.5</v>
      </c>
      <c r="K173" s="199" t="s">
        <v>77</v>
      </c>
      <c r="L173" s="217">
        <f t="shared" si="33"/>
        <v>0</v>
      </c>
      <c r="O173" s="197"/>
      <c r="P173" s="186"/>
    </row>
    <row r="174" spans="1:16" x14ac:dyDescent="0.25">
      <c r="A174" s="673"/>
      <c r="C174" s="218">
        <v>35</v>
      </c>
      <c r="D174" s="198">
        <v>0.1</v>
      </c>
      <c r="E174" s="199" t="s">
        <v>77</v>
      </c>
      <c r="F174" s="217">
        <f t="shared" si="32"/>
        <v>0</v>
      </c>
      <c r="H174" s="203"/>
      <c r="I174" s="218">
        <v>70</v>
      </c>
      <c r="J174" s="198">
        <v>-1.8</v>
      </c>
      <c r="K174" s="199" t="s">
        <v>77</v>
      </c>
      <c r="L174" s="217">
        <f t="shared" si="33"/>
        <v>0</v>
      </c>
      <c r="O174" s="197"/>
      <c r="P174" s="186"/>
    </row>
    <row r="175" spans="1:16" x14ac:dyDescent="0.25">
      <c r="A175" s="673"/>
      <c r="C175" s="218">
        <v>37</v>
      </c>
      <c r="D175" s="198">
        <v>0</v>
      </c>
      <c r="E175" s="199" t="s">
        <v>77</v>
      </c>
      <c r="F175" s="217">
        <f t="shared" si="32"/>
        <v>0</v>
      </c>
      <c r="H175" s="203"/>
      <c r="I175" s="218">
        <v>80</v>
      </c>
      <c r="J175" s="198">
        <v>-2.2999999999999998</v>
      </c>
      <c r="K175" s="199" t="s">
        <v>77</v>
      </c>
      <c r="L175" s="217">
        <f t="shared" si="33"/>
        <v>0</v>
      </c>
      <c r="O175" s="197"/>
      <c r="P175" s="186"/>
    </row>
    <row r="176" spans="1:16" ht="13.8" thickBot="1" x14ac:dyDescent="0.3">
      <c r="A176" s="674"/>
      <c r="B176" s="201"/>
      <c r="C176" s="245">
        <v>40</v>
      </c>
      <c r="D176" s="220">
        <v>0</v>
      </c>
      <c r="E176" s="223" t="s">
        <v>77</v>
      </c>
      <c r="F176" s="221">
        <f t="shared" si="32"/>
        <v>0</v>
      </c>
      <c r="G176" s="201"/>
      <c r="H176" s="222"/>
      <c r="I176" s="245">
        <v>90</v>
      </c>
      <c r="J176" s="220">
        <v>-3</v>
      </c>
      <c r="K176" s="223" t="s">
        <v>77</v>
      </c>
      <c r="L176" s="221">
        <f t="shared" si="33"/>
        <v>0</v>
      </c>
      <c r="M176" s="201"/>
      <c r="N176" s="201"/>
      <c r="O176" s="202"/>
      <c r="P176" s="186"/>
    </row>
    <row r="177" spans="1:16" ht="13.8" thickBot="1" x14ac:dyDescent="0.3">
      <c r="A177" s="224"/>
      <c r="B177" s="225"/>
      <c r="C177" s="225"/>
      <c r="D177" s="225"/>
      <c r="E177" s="226"/>
      <c r="F177" s="235"/>
      <c r="G177" s="228"/>
      <c r="H177" s="225"/>
      <c r="I177" s="225"/>
      <c r="J177" s="225"/>
      <c r="K177" s="226"/>
      <c r="L177" s="235"/>
      <c r="O177" s="197"/>
      <c r="P177" s="186"/>
    </row>
    <row r="178" spans="1:16" ht="13.8" thickBot="1" x14ac:dyDescent="0.3">
      <c r="A178" s="672">
        <v>17</v>
      </c>
      <c r="B178" s="675" t="s">
        <v>294</v>
      </c>
      <c r="C178" s="676"/>
      <c r="D178" s="676"/>
      <c r="E178" s="676"/>
      <c r="F178" s="677"/>
      <c r="G178" s="188"/>
      <c r="H178" s="675" t="str">
        <f>B178</f>
        <v>KOREKSI EXTECH A.100618</v>
      </c>
      <c r="I178" s="676"/>
      <c r="J178" s="676"/>
      <c r="K178" s="676"/>
      <c r="L178" s="677"/>
      <c r="M178" s="188"/>
      <c r="N178" s="688" t="s">
        <v>219</v>
      </c>
      <c r="O178" s="689"/>
      <c r="P178" s="186"/>
    </row>
    <row r="179" spans="1:16" ht="13.8" thickBot="1" x14ac:dyDescent="0.3">
      <c r="A179" s="673"/>
      <c r="B179" s="678" t="s">
        <v>274</v>
      </c>
      <c r="C179" s="679"/>
      <c r="D179" s="680" t="s">
        <v>217</v>
      </c>
      <c r="E179" s="681"/>
      <c r="F179" s="682" t="s">
        <v>275</v>
      </c>
      <c r="H179" s="678" t="s">
        <v>276</v>
      </c>
      <c r="I179" s="679"/>
      <c r="J179" s="680" t="s">
        <v>217</v>
      </c>
      <c r="K179" s="681"/>
      <c r="L179" s="682" t="s">
        <v>275</v>
      </c>
      <c r="N179" s="206" t="s">
        <v>274</v>
      </c>
      <c r="O179" s="230">
        <v>0.3</v>
      </c>
      <c r="P179" s="186"/>
    </row>
    <row r="180" spans="1:16" ht="15" thickBot="1" x14ac:dyDescent="0.3">
      <c r="A180" s="673"/>
      <c r="B180" s="684" t="s">
        <v>277</v>
      </c>
      <c r="C180" s="685"/>
      <c r="D180" s="208">
        <v>2020</v>
      </c>
      <c r="E180" s="236" t="s">
        <v>77</v>
      </c>
      <c r="F180" s="683"/>
      <c r="H180" s="686" t="s">
        <v>278</v>
      </c>
      <c r="I180" s="687"/>
      <c r="J180" s="209">
        <f>D180</f>
        <v>2020</v>
      </c>
      <c r="K180" s="209" t="str">
        <f>E180</f>
        <v>-</v>
      </c>
      <c r="L180" s="683"/>
      <c r="N180" s="210" t="s">
        <v>278</v>
      </c>
      <c r="O180" s="229">
        <v>1.6</v>
      </c>
      <c r="P180" s="186"/>
    </row>
    <row r="181" spans="1:16" x14ac:dyDescent="0.25">
      <c r="A181" s="673"/>
      <c r="C181" s="212">
        <v>15</v>
      </c>
      <c r="D181" s="214">
        <v>0</v>
      </c>
      <c r="E181" s="237" t="s">
        <v>77</v>
      </c>
      <c r="F181" s="215">
        <f t="shared" ref="F181:F187" si="34">0.5*(MAX(D181:E181)-MIN(D181:E181))</f>
        <v>0</v>
      </c>
      <c r="H181" s="203"/>
      <c r="I181" s="212">
        <v>30</v>
      </c>
      <c r="J181" s="214">
        <v>-0.4</v>
      </c>
      <c r="K181" s="237" t="s">
        <v>77</v>
      </c>
      <c r="L181" s="215">
        <f t="shared" ref="L181:L187" si="35">0.5*(MAX(J181:K181)-MIN(J181:K181))</f>
        <v>0</v>
      </c>
      <c r="O181" s="197"/>
      <c r="P181" s="186"/>
    </row>
    <row r="182" spans="1:16" x14ac:dyDescent="0.25">
      <c r="A182" s="673"/>
      <c r="C182" s="216">
        <v>20</v>
      </c>
      <c r="D182" s="194">
        <v>-0.1</v>
      </c>
      <c r="E182" s="238" t="s">
        <v>77</v>
      </c>
      <c r="F182" s="217">
        <f t="shared" si="34"/>
        <v>0</v>
      </c>
      <c r="H182" s="203"/>
      <c r="I182" s="216">
        <v>40</v>
      </c>
      <c r="J182" s="194">
        <v>-0.2</v>
      </c>
      <c r="K182" s="238" t="s">
        <v>77</v>
      </c>
      <c r="L182" s="217">
        <f t="shared" si="35"/>
        <v>0</v>
      </c>
      <c r="O182" s="197"/>
      <c r="P182" s="186"/>
    </row>
    <row r="183" spans="1:16" x14ac:dyDescent="0.25">
      <c r="A183" s="673"/>
      <c r="C183" s="216">
        <v>25</v>
      </c>
      <c r="D183" s="194">
        <v>-0.2</v>
      </c>
      <c r="E183" s="238" t="s">
        <v>77</v>
      </c>
      <c r="F183" s="217">
        <f t="shared" si="34"/>
        <v>0</v>
      </c>
      <c r="H183" s="203"/>
      <c r="I183" s="216">
        <v>50</v>
      </c>
      <c r="J183" s="194">
        <v>-0.2</v>
      </c>
      <c r="K183" s="238" t="s">
        <v>77</v>
      </c>
      <c r="L183" s="217">
        <f t="shared" si="35"/>
        <v>0</v>
      </c>
      <c r="O183" s="197"/>
      <c r="P183" s="186"/>
    </row>
    <row r="184" spans="1:16" x14ac:dyDescent="0.25">
      <c r="A184" s="673"/>
      <c r="C184" s="218">
        <v>30</v>
      </c>
      <c r="D184" s="198">
        <v>-0.2</v>
      </c>
      <c r="E184" s="199" t="s">
        <v>77</v>
      </c>
      <c r="F184" s="217">
        <f t="shared" si="34"/>
        <v>0</v>
      </c>
      <c r="H184" s="203"/>
      <c r="I184" s="218">
        <v>60</v>
      </c>
      <c r="J184" s="198">
        <v>-0.2</v>
      </c>
      <c r="K184" s="199" t="s">
        <v>77</v>
      </c>
      <c r="L184" s="217">
        <f t="shared" si="35"/>
        <v>0</v>
      </c>
      <c r="O184" s="197"/>
      <c r="P184" s="186"/>
    </row>
    <row r="185" spans="1:16" x14ac:dyDescent="0.25">
      <c r="A185" s="673"/>
      <c r="C185" s="218">
        <v>35</v>
      </c>
      <c r="D185" s="198">
        <v>-0.3</v>
      </c>
      <c r="E185" s="199" t="s">
        <v>77</v>
      </c>
      <c r="F185" s="217">
        <f t="shared" si="34"/>
        <v>0</v>
      </c>
      <c r="H185" s="203"/>
      <c r="I185" s="218">
        <v>70</v>
      </c>
      <c r="J185" s="198">
        <v>-0.3</v>
      </c>
      <c r="K185" s="199" t="s">
        <v>77</v>
      </c>
      <c r="L185" s="217">
        <f t="shared" si="35"/>
        <v>0</v>
      </c>
      <c r="O185" s="197"/>
      <c r="P185" s="186"/>
    </row>
    <row r="186" spans="1:16" x14ac:dyDescent="0.25">
      <c r="A186" s="673"/>
      <c r="C186" s="218">
        <v>37</v>
      </c>
      <c r="D186" s="198">
        <v>-0.3</v>
      </c>
      <c r="E186" s="199" t="s">
        <v>77</v>
      </c>
      <c r="F186" s="217">
        <f t="shared" si="34"/>
        <v>0</v>
      </c>
      <c r="H186" s="203"/>
      <c r="I186" s="218">
        <v>80</v>
      </c>
      <c r="J186" s="198">
        <v>-0.5</v>
      </c>
      <c r="K186" s="199" t="s">
        <v>77</v>
      </c>
      <c r="L186" s="217">
        <f t="shared" si="35"/>
        <v>0</v>
      </c>
      <c r="O186" s="197"/>
      <c r="P186" s="186"/>
    </row>
    <row r="187" spans="1:16" ht="13.8" thickBot="1" x14ac:dyDescent="0.3">
      <c r="A187" s="674"/>
      <c r="B187" s="201"/>
      <c r="C187" s="245">
        <v>40</v>
      </c>
      <c r="D187" s="220">
        <v>-0.4</v>
      </c>
      <c r="E187" s="223" t="s">
        <v>77</v>
      </c>
      <c r="F187" s="221">
        <f t="shared" si="34"/>
        <v>0</v>
      </c>
      <c r="G187" s="201"/>
      <c r="H187" s="222"/>
      <c r="I187" s="245">
        <v>90</v>
      </c>
      <c r="J187" s="220">
        <v>-0.8</v>
      </c>
      <c r="K187" s="223" t="s">
        <v>77</v>
      </c>
      <c r="L187" s="221">
        <f t="shared" si="35"/>
        <v>0</v>
      </c>
      <c r="M187" s="201"/>
      <c r="N187" s="201"/>
      <c r="O187" s="202"/>
      <c r="P187" s="186"/>
    </row>
    <row r="188" spans="1:16" ht="13.8" thickBot="1" x14ac:dyDescent="0.3">
      <c r="A188" s="224"/>
      <c r="B188" s="225"/>
      <c r="C188" s="225"/>
      <c r="D188" s="225"/>
      <c r="E188" s="226"/>
      <c r="F188" s="235"/>
      <c r="G188" s="228"/>
      <c r="H188" s="225"/>
      <c r="I188" s="225"/>
      <c r="J188" s="225"/>
      <c r="K188" s="226"/>
      <c r="L188" s="235"/>
      <c r="O188" s="197"/>
      <c r="P188" s="186"/>
    </row>
    <row r="189" spans="1:16" ht="13.8" thickBot="1" x14ac:dyDescent="0.3">
      <c r="A189" s="672">
        <v>18</v>
      </c>
      <c r="B189" s="675" t="s">
        <v>295</v>
      </c>
      <c r="C189" s="676"/>
      <c r="D189" s="676"/>
      <c r="E189" s="676"/>
      <c r="F189" s="677"/>
      <c r="G189" s="188"/>
      <c r="H189" s="675" t="str">
        <f>B189</f>
        <v>KOREKSI EXTECH A.100586</v>
      </c>
      <c r="I189" s="676"/>
      <c r="J189" s="676"/>
      <c r="K189" s="676"/>
      <c r="L189" s="677"/>
      <c r="M189" s="188"/>
      <c r="N189" s="688" t="s">
        <v>219</v>
      </c>
      <c r="O189" s="689"/>
      <c r="P189" s="186"/>
    </row>
    <row r="190" spans="1:16" ht="13.8" thickBot="1" x14ac:dyDescent="0.3">
      <c r="A190" s="673"/>
      <c r="B190" s="678" t="s">
        <v>274</v>
      </c>
      <c r="C190" s="679"/>
      <c r="D190" s="680" t="s">
        <v>217</v>
      </c>
      <c r="E190" s="681"/>
      <c r="F190" s="682" t="s">
        <v>275</v>
      </c>
      <c r="H190" s="678" t="s">
        <v>276</v>
      </c>
      <c r="I190" s="679"/>
      <c r="J190" s="680" t="s">
        <v>217</v>
      </c>
      <c r="K190" s="681"/>
      <c r="L190" s="682" t="s">
        <v>275</v>
      </c>
      <c r="N190" s="206" t="s">
        <v>274</v>
      </c>
      <c r="O190" s="230">
        <v>0.3</v>
      </c>
      <c r="P190" s="186"/>
    </row>
    <row r="191" spans="1:16" ht="15" thickBot="1" x14ac:dyDescent="0.3">
      <c r="A191" s="673"/>
      <c r="B191" s="684" t="s">
        <v>277</v>
      </c>
      <c r="C191" s="685"/>
      <c r="D191" s="208">
        <v>2017</v>
      </c>
      <c r="E191" s="236" t="s">
        <v>77</v>
      </c>
      <c r="F191" s="683"/>
      <c r="H191" s="686" t="s">
        <v>278</v>
      </c>
      <c r="I191" s="687"/>
      <c r="J191" s="209">
        <f>D191</f>
        <v>2017</v>
      </c>
      <c r="K191" s="209" t="str">
        <f>E191</f>
        <v>-</v>
      </c>
      <c r="L191" s="683"/>
      <c r="N191" s="210" t="s">
        <v>278</v>
      </c>
      <c r="O191" s="229">
        <v>2</v>
      </c>
      <c r="P191" s="186"/>
    </row>
    <row r="192" spans="1:16" x14ac:dyDescent="0.25">
      <c r="A192" s="673"/>
      <c r="C192" s="212">
        <v>15</v>
      </c>
      <c r="D192" s="214">
        <v>0</v>
      </c>
      <c r="E192" s="237" t="s">
        <v>77</v>
      </c>
      <c r="F192" s="215">
        <f t="shared" ref="F192:F198" si="36">0.5*(MAX(D192:E192)-MIN(D192:E192))</f>
        <v>0</v>
      </c>
      <c r="H192" s="203"/>
      <c r="I192" s="212">
        <v>30</v>
      </c>
      <c r="J192" s="214">
        <v>-0.4</v>
      </c>
      <c r="K192" s="237" t="s">
        <v>77</v>
      </c>
      <c r="L192" s="215">
        <f t="shared" ref="L192:L198" si="37">0.5*(MAX(J192:K192)-MIN(J192:K192))</f>
        <v>0</v>
      </c>
      <c r="O192" s="197"/>
      <c r="P192" s="186"/>
    </row>
    <row r="193" spans="1:16" x14ac:dyDescent="0.25">
      <c r="A193" s="673"/>
      <c r="C193" s="216">
        <v>20</v>
      </c>
      <c r="D193" s="194">
        <v>0</v>
      </c>
      <c r="E193" s="238" t="s">
        <v>77</v>
      </c>
      <c r="F193" s="217">
        <f t="shared" si="36"/>
        <v>0</v>
      </c>
      <c r="H193" s="203"/>
      <c r="I193" s="216">
        <v>40</v>
      </c>
      <c r="J193" s="194">
        <v>-0.1</v>
      </c>
      <c r="K193" s="238" t="s">
        <v>77</v>
      </c>
      <c r="L193" s="217">
        <f t="shared" si="37"/>
        <v>0</v>
      </c>
      <c r="O193" s="197"/>
      <c r="P193" s="186"/>
    </row>
    <row r="194" spans="1:16" x14ac:dyDescent="0.25">
      <c r="A194" s="673"/>
      <c r="C194" s="216">
        <v>25</v>
      </c>
      <c r="D194" s="194">
        <v>0</v>
      </c>
      <c r="E194" s="238" t="s">
        <v>77</v>
      </c>
      <c r="F194" s="217">
        <f t="shared" si="36"/>
        <v>0</v>
      </c>
      <c r="H194" s="203"/>
      <c r="I194" s="216">
        <v>50</v>
      </c>
      <c r="J194" s="194">
        <v>0</v>
      </c>
      <c r="K194" s="238" t="s">
        <v>77</v>
      </c>
      <c r="L194" s="217">
        <f t="shared" si="37"/>
        <v>0</v>
      </c>
      <c r="O194" s="197"/>
      <c r="P194" s="186"/>
    </row>
    <row r="195" spans="1:16" x14ac:dyDescent="0.25">
      <c r="A195" s="673"/>
      <c r="C195" s="218">
        <v>30</v>
      </c>
      <c r="D195" s="198">
        <v>-0.1</v>
      </c>
      <c r="E195" s="199" t="s">
        <v>77</v>
      </c>
      <c r="F195" s="217">
        <f t="shared" si="36"/>
        <v>0</v>
      </c>
      <c r="H195" s="203"/>
      <c r="I195" s="218">
        <v>60</v>
      </c>
      <c r="J195" s="198">
        <v>0</v>
      </c>
      <c r="K195" s="199" t="s">
        <v>77</v>
      </c>
      <c r="L195" s="217">
        <f t="shared" si="37"/>
        <v>0</v>
      </c>
      <c r="O195" s="197"/>
      <c r="P195" s="186"/>
    </row>
    <row r="196" spans="1:16" x14ac:dyDescent="0.25">
      <c r="A196" s="673"/>
      <c r="C196" s="218">
        <v>35</v>
      </c>
      <c r="D196" s="198">
        <v>-0.2</v>
      </c>
      <c r="E196" s="199" t="s">
        <v>77</v>
      </c>
      <c r="F196" s="217">
        <f t="shared" si="36"/>
        <v>0</v>
      </c>
      <c r="H196" s="203"/>
      <c r="I196" s="218">
        <v>70</v>
      </c>
      <c r="J196" s="198">
        <v>-0.1</v>
      </c>
      <c r="K196" s="199" t="s">
        <v>77</v>
      </c>
      <c r="L196" s="217">
        <f t="shared" si="37"/>
        <v>0</v>
      </c>
      <c r="O196" s="197"/>
      <c r="P196" s="186"/>
    </row>
    <row r="197" spans="1:16" x14ac:dyDescent="0.25">
      <c r="A197" s="673"/>
      <c r="C197" s="218">
        <v>37</v>
      </c>
      <c r="D197" s="198">
        <v>-0.3</v>
      </c>
      <c r="E197" s="199" t="s">
        <v>77</v>
      </c>
      <c r="F197" s="217">
        <f t="shared" si="36"/>
        <v>0</v>
      </c>
      <c r="H197" s="203"/>
      <c r="I197" s="218">
        <v>80</v>
      </c>
      <c r="J197" s="198">
        <v>-0.5</v>
      </c>
      <c r="K197" s="199" t="s">
        <v>77</v>
      </c>
      <c r="L197" s="217">
        <f t="shared" si="37"/>
        <v>0</v>
      </c>
      <c r="O197" s="197"/>
      <c r="P197" s="186"/>
    </row>
    <row r="198" spans="1:16" ht="13.8" thickBot="1" x14ac:dyDescent="0.3">
      <c r="A198" s="674"/>
      <c r="B198" s="201"/>
      <c r="C198" s="245">
        <v>40</v>
      </c>
      <c r="D198" s="220">
        <v>-0.4</v>
      </c>
      <c r="E198" s="223" t="s">
        <v>77</v>
      </c>
      <c r="F198" s="221">
        <f t="shared" si="36"/>
        <v>0</v>
      </c>
      <c r="G198" s="201"/>
      <c r="H198" s="222"/>
      <c r="I198" s="245">
        <v>90</v>
      </c>
      <c r="J198" s="220">
        <v>-0.9</v>
      </c>
      <c r="K198" s="223" t="s">
        <v>77</v>
      </c>
      <c r="L198" s="221">
        <f t="shared" si="37"/>
        <v>0</v>
      </c>
      <c r="M198" s="201"/>
      <c r="N198" s="201"/>
      <c r="O198" s="202"/>
      <c r="P198" s="186"/>
    </row>
    <row r="199" spans="1:16" ht="13.8" thickBot="1" x14ac:dyDescent="0.3">
      <c r="A199" s="247"/>
      <c r="B199" s="248"/>
      <c r="C199" s="248"/>
      <c r="D199" s="248"/>
      <c r="E199" s="248"/>
      <c r="F199" s="248"/>
      <c r="G199" s="248"/>
      <c r="H199" s="248"/>
      <c r="I199" s="248"/>
      <c r="J199" s="248"/>
      <c r="K199" s="248"/>
      <c r="L199" s="248"/>
      <c r="M199" s="248"/>
      <c r="N199" s="248"/>
      <c r="O199" s="249"/>
      <c r="P199" s="186"/>
    </row>
    <row r="200" spans="1:16" ht="13.8" thickBot="1" x14ac:dyDescent="0.3">
      <c r="A200" s="186"/>
      <c r="B200" s="186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</row>
    <row r="201" spans="1:16" x14ac:dyDescent="0.25">
      <c r="A201" s="666" t="s">
        <v>296</v>
      </c>
      <c r="B201" s="668" t="s">
        <v>297</v>
      </c>
      <c r="C201" s="662" t="s">
        <v>298</v>
      </c>
      <c r="D201" s="662"/>
      <c r="E201" s="662"/>
      <c r="F201" s="662"/>
      <c r="G201" s="250"/>
      <c r="H201" s="670" t="s">
        <v>296</v>
      </c>
      <c r="I201" s="668" t="s">
        <v>297</v>
      </c>
      <c r="J201" s="662" t="s">
        <v>298</v>
      </c>
      <c r="K201" s="662"/>
      <c r="L201" s="662"/>
      <c r="M201" s="662"/>
      <c r="N201" s="251"/>
      <c r="O201" s="663" t="s">
        <v>219</v>
      </c>
      <c r="P201" s="664"/>
    </row>
    <row r="202" spans="1:16" ht="13.8" x14ac:dyDescent="0.25">
      <c r="A202" s="667"/>
      <c r="B202" s="669"/>
      <c r="C202" s="252" t="s">
        <v>274</v>
      </c>
      <c r="D202" s="665" t="s">
        <v>217</v>
      </c>
      <c r="E202" s="665"/>
      <c r="F202" s="665" t="s">
        <v>275</v>
      </c>
      <c r="G202" s="186"/>
      <c r="H202" s="671"/>
      <c r="I202" s="669"/>
      <c r="J202" s="252" t="s">
        <v>276</v>
      </c>
      <c r="K202" s="665" t="s">
        <v>217</v>
      </c>
      <c r="L202" s="665"/>
      <c r="M202" s="665" t="s">
        <v>275</v>
      </c>
      <c r="N202" s="186"/>
      <c r="O202" s="660" t="s">
        <v>274</v>
      </c>
      <c r="P202" s="661"/>
    </row>
    <row r="203" spans="1:16" ht="14.4" x14ac:dyDescent="0.25">
      <c r="A203" s="667"/>
      <c r="B203" s="669"/>
      <c r="C203" s="253" t="s">
        <v>299</v>
      </c>
      <c r="D203" s="252"/>
      <c r="E203" s="252"/>
      <c r="F203" s="665"/>
      <c r="G203" s="186"/>
      <c r="H203" s="671"/>
      <c r="I203" s="669"/>
      <c r="J203" s="253" t="s">
        <v>278</v>
      </c>
      <c r="K203" s="252"/>
      <c r="L203" s="252"/>
      <c r="M203" s="665"/>
      <c r="N203" s="186"/>
      <c r="O203" s="254">
        <v>1</v>
      </c>
      <c r="P203" s="255">
        <f>O3</f>
        <v>0.5</v>
      </c>
    </row>
    <row r="204" spans="1:16" x14ac:dyDescent="0.25">
      <c r="A204" s="654" t="s">
        <v>122</v>
      </c>
      <c r="B204" s="256">
        <v>1</v>
      </c>
      <c r="C204" s="257">
        <f>C5</f>
        <v>15</v>
      </c>
      <c r="D204" s="257">
        <f t="shared" ref="D204:F204" si="38">D5</f>
        <v>0.3</v>
      </c>
      <c r="E204" s="257">
        <f t="shared" si="38"/>
        <v>-0.5</v>
      </c>
      <c r="F204" s="257">
        <f t="shared" si="38"/>
        <v>0.4</v>
      </c>
      <c r="G204" s="186"/>
      <c r="H204" s="655" t="s">
        <v>122</v>
      </c>
      <c r="I204" s="256">
        <v>1</v>
      </c>
      <c r="J204" s="257">
        <f>I5</f>
        <v>35</v>
      </c>
      <c r="K204" s="257">
        <f t="shared" ref="K204:M204" si="39">J5</f>
        <v>-5</v>
      </c>
      <c r="L204" s="257">
        <f t="shared" si="39"/>
        <v>-6</v>
      </c>
      <c r="M204" s="257">
        <f t="shared" si="39"/>
        <v>0.5</v>
      </c>
      <c r="N204" s="186"/>
      <c r="O204" s="258">
        <v>2</v>
      </c>
      <c r="P204" s="259">
        <f>O14</f>
        <v>0.3</v>
      </c>
    </row>
    <row r="205" spans="1:16" x14ac:dyDescent="0.25">
      <c r="A205" s="654"/>
      <c r="B205" s="256">
        <v>2</v>
      </c>
      <c r="C205" s="257">
        <f>C16</f>
        <v>15</v>
      </c>
      <c r="D205" s="257">
        <f t="shared" ref="D205:F205" si="40">D16</f>
        <v>0</v>
      </c>
      <c r="E205" s="257">
        <f t="shared" si="40"/>
        <v>0.5</v>
      </c>
      <c r="F205" s="257">
        <f t="shared" si="40"/>
        <v>0.25</v>
      </c>
      <c r="G205" s="186"/>
      <c r="H205" s="655"/>
      <c r="I205" s="256">
        <v>2</v>
      </c>
      <c r="J205" s="257">
        <f>I16</f>
        <v>35</v>
      </c>
      <c r="K205" s="257">
        <f t="shared" ref="K205:M205" si="41">J16</f>
        <v>-1.6</v>
      </c>
      <c r="L205" s="257">
        <f t="shared" si="41"/>
        <v>-0.9</v>
      </c>
      <c r="M205" s="257">
        <f t="shared" si="41"/>
        <v>0.35000000000000003</v>
      </c>
      <c r="N205" s="186"/>
      <c r="O205" s="258">
        <v>3</v>
      </c>
      <c r="P205" s="260">
        <f>O25</f>
        <v>0.3</v>
      </c>
    </row>
    <row r="206" spans="1:16" x14ac:dyDescent="0.25">
      <c r="A206" s="654"/>
      <c r="B206" s="256">
        <v>3</v>
      </c>
      <c r="C206" s="257">
        <f>C27</f>
        <v>15</v>
      </c>
      <c r="D206" s="257">
        <f t="shared" ref="D206:F206" si="42">D27</f>
        <v>0</v>
      </c>
      <c r="E206" s="257">
        <f t="shared" si="42"/>
        <v>0.2</v>
      </c>
      <c r="F206" s="257">
        <f t="shared" si="42"/>
        <v>0.1</v>
      </c>
      <c r="G206" s="186"/>
      <c r="H206" s="655"/>
      <c r="I206" s="256">
        <v>3</v>
      </c>
      <c r="J206" s="257">
        <f>I27</f>
        <v>30</v>
      </c>
      <c r="K206" s="257">
        <f t="shared" ref="K206:M206" si="43">J27</f>
        <v>-5.7</v>
      </c>
      <c r="L206" s="257">
        <f t="shared" si="43"/>
        <v>-1.1000000000000001</v>
      </c>
      <c r="M206" s="257">
        <f t="shared" si="43"/>
        <v>2.2999999999999998</v>
      </c>
      <c r="N206" s="186"/>
      <c r="O206" s="258">
        <v>4</v>
      </c>
      <c r="P206" s="260">
        <f>O36</f>
        <v>0.6</v>
      </c>
    </row>
    <row r="207" spans="1:16" x14ac:dyDescent="0.25">
      <c r="A207" s="654"/>
      <c r="B207" s="256">
        <v>4</v>
      </c>
      <c r="C207" s="261">
        <f>C38</f>
        <v>15</v>
      </c>
      <c r="D207" s="261">
        <f t="shared" ref="D207:F207" si="44">D38</f>
        <v>-0.1</v>
      </c>
      <c r="E207" s="261">
        <f t="shared" si="44"/>
        <v>0.4</v>
      </c>
      <c r="F207" s="261">
        <f t="shared" si="44"/>
        <v>0.25</v>
      </c>
      <c r="G207" s="186"/>
      <c r="H207" s="655"/>
      <c r="I207" s="256">
        <v>4</v>
      </c>
      <c r="J207" s="261">
        <f>I38</f>
        <v>35</v>
      </c>
      <c r="K207" s="261">
        <f t="shared" ref="K207:M207" si="45">J38</f>
        <v>-1.7</v>
      </c>
      <c r="L207" s="261">
        <f t="shared" si="45"/>
        <v>-0.8</v>
      </c>
      <c r="M207" s="261">
        <f t="shared" si="45"/>
        <v>0.44999999999999996</v>
      </c>
      <c r="N207" s="186"/>
      <c r="O207" s="258">
        <v>5</v>
      </c>
      <c r="P207" s="260">
        <f>O47</f>
        <v>0.4</v>
      </c>
    </row>
    <row r="208" spans="1:16" x14ac:dyDescent="0.25">
      <c r="A208" s="654"/>
      <c r="B208" s="256">
        <v>5</v>
      </c>
      <c r="C208" s="261">
        <f>C49</f>
        <v>15</v>
      </c>
      <c r="D208" s="261">
        <f t="shared" ref="D208:F208" si="46">D49</f>
        <v>-0.3</v>
      </c>
      <c r="E208" s="261">
        <f t="shared" si="46"/>
        <v>0.3</v>
      </c>
      <c r="F208" s="261">
        <f t="shared" si="46"/>
        <v>0.3</v>
      </c>
      <c r="G208" s="186"/>
      <c r="H208" s="655"/>
      <c r="I208" s="256">
        <v>5</v>
      </c>
      <c r="J208" s="261">
        <f>I49</f>
        <v>35</v>
      </c>
      <c r="K208" s="261">
        <f t="shared" ref="K208:M208" si="47">J49</f>
        <v>-7.7</v>
      </c>
      <c r="L208" s="261">
        <f t="shared" si="47"/>
        <v>-9.6</v>
      </c>
      <c r="M208" s="261">
        <f t="shared" si="47"/>
        <v>0.94999999999999973</v>
      </c>
      <c r="N208" s="186"/>
      <c r="O208" s="254">
        <v>6</v>
      </c>
      <c r="P208" s="255">
        <f>O58</f>
        <v>0.8</v>
      </c>
    </row>
    <row r="209" spans="1:16" x14ac:dyDescent="0.25">
      <c r="A209" s="654"/>
      <c r="B209" s="256">
        <v>6</v>
      </c>
      <c r="C209" s="261">
        <f>C60</f>
        <v>15</v>
      </c>
      <c r="D209" s="261">
        <f t="shared" ref="D209:F209" si="48">D60</f>
        <v>0.4</v>
      </c>
      <c r="E209" s="261">
        <f t="shared" si="48"/>
        <v>0.4</v>
      </c>
      <c r="F209" s="261">
        <f t="shared" si="48"/>
        <v>0</v>
      </c>
      <c r="G209" s="186"/>
      <c r="H209" s="655"/>
      <c r="I209" s="256">
        <v>6</v>
      </c>
      <c r="J209" s="261">
        <f>I60</f>
        <v>30</v>
      </c>
      <c r="K209" s="261">
        <f t="shared" ref="K209:M209" si="49">J60</f>
        <v>-1.5</v>
      </c>
      <c r="L209" s="261">
        <f t="shared" si="49"/>
        <v>-4.9000000000000004</v>
      </c>
      <c r="M209" s="261">
        <f t="shared" si="49"/>
        <v>1.7000000000000002</v>
      </c>
      <c r="N209" s="186"/>
      <c r="O209" s="254">
        <v>7</v>
      </c>
      <c r="P209" s="255">
        <f>O69</f>
        <v>0.3</v>
      </c>
    </row>
    <row r="210" spans="1:16" x14ac:dyDescent="0.25">
      <c r="A210" s="654"/>
      <c r="B210" s="256">
        <v>7</v>
      </c>
      <c r="C210" s="261">
        <f>C71</f>
        <v>15</v>
      </c>
      <c r="D210" s="261">
        <f t="shared" ref="D210:F210" si="50">D71</f>
        <v>0.3</v>
      </c>
      <c r="E210" s="261">
        <f t="shared" si="50"/>
        <v>0.2</v>
      </c>
      <c r="F210" s="261">
        <f t="shared" si="50"/>
        <v>4.9999999999999989E-2</v>
      </c>
      <c r="G210" s="186"/>
      <c r="H210" s="655"/>
      <c r="I210" s="256">
        <v>7</v>
      </c>
      <c r="J210" s="261">
        <f>I71</f>
        <v>30</v>
      </c>
      <c r="K210" s="261">
        <f t="shared" ref="K210:M210" si="51">J71</f>
        <v>1.8</v>
      </c>
      <c r="L210" s="261">
        <f t="shared" si="51"/>
        <v>-0.1</v>
      </c>
      <c r="M210" s="261">
        <f t="shared" si="51"/>
        <v>0.95000000000000007</v>
      </c>
      <c r="N210" s="186"/>
      <c r="O210" s="254">
        <v>8</v>
      </c>
      <c r="P210" s="255">
        <f>O80</f>
        <v>0.8</v>
      </c>
    </row>
    <row r="211" spans="1:16" x14ac:dyDescent="0.25">
      <c r="A211" s="654"/>
      <c r="B211" s="256">
        <v>8</v>
      </c>
      <c r="C211" s="261">
        <f>C82</f>
        <v>15</v>
      </c>
      <c r="D211" s="261">
        <f t="shared" ref="D211:F211" si="52">D82</f>
        <v>0.4</v>
      </c>
      <c r="E211" s="261">
        <f t="shared" si="52"/>
        <v>0</v>
      </c>
      <c r="F211" s="261">
        <f t="shared" si="52"/>
        <v>0.2</v>
      </c>
      <c r="G211" s="186"/>
      <c r="H211" s="655"/>
      <c r="I211" s="256">
        <v>8</v>
      </c>
      <c r="J211" s="261">
        <f>I82</f>
        <v>30</v>
      </c>
      <c r="K211" s="261">
        <f t="shared" ref="K211:M211" si="53">J82</f>
        <v>-4.5999999999999996</v>
      </c>
      <c r="L211" s="261">
        <f t="shared" si="53"/>
        <v>-1.4</v>
      </c>
      <c r="M211" s="261">
        <f t="shared" si="53"/>
        <v>1.5999999999999999</v>
      </c>
      <c r="N211" s="186"/>
      <c r="O211" s="254">
        <v>9</v>
      </c>
      <c r="P211" s="255">
        <f>O91</f>
        <v>0.3</v>
      </c>
    </row>
    <row r="212" spans="1:16" x14ac:dyDescent="0.25">
      <c r="A212" s="654"/>
      <c r="B212" s="256">
        <v>9</v>
      </c>
      <c r="C212" s="261">
        <f>C93</f>
        <v>15</v>
      </c>
      <c r="D212" s="261">
        <f t="shared" ref="D212:F212" si="54">D93</f>
        <v>0</v>
      </c>
      <c r="E212" s="261" t="str">
        <f t="shared" si="54"/>
        <v>-</v>
      </c>
      <c r="F212" s="261">
        <f t="shared" si="54"/>
        <v>0</v>
      </c>
      <c r="G212" s="186"/>
      <c r="H212" s="655"/>
      <c r="I212" s="256">
        <v>9</v>
      </c>
      <c r="J212" s="261">
        <f>I93</f>
        <v>30</v>
      </c>
      <c r="K212" s="261">
        <f t="shared" ref="K212:M212" si="55">J93</f>
        <v>-1.2</v>
      </c>
      <c r="L212" s="261" t="str">
        <f t="shared" si="55"/>
        <v>-</v>
      </c>
      <c r="M212" s="261">
        <f t="shared" si="55"/>
        <v>0</v>
      </c>
      <c r="N212" s="186"/>
      <c r="O212" s="254">
        <v>10</v>
      </c>
      <c r="P212" s="255">
        <f>O102</f>
        <v>0.3</v>
      </c>
    </row>
    <row r="213" spans="1:16" x14ac:dyDescent="0.25">
      <c r="A213" s="654"/>
      <c r="B213" s="256">
        <v>10</v>
      </c>
      <c r="C213" s="261">
        <f>C104</f>
        <v>15</v>
      </c>
      <c r="D213" s="261">
        <f t="shared" ref="D213:F213" si="56">D104</f>
        <v>0.2</v>
      </c>
      <c r="E213" s="261">
        <f t="shared" si="56"/>
        <v>0.2</v>
      </c>
      <c r="F213" s="261">
        <f t="shared" si="56"/>
        <v>0</v>
      </c>
      <c r="G213" s="186"/>
      <c r="H213" s="655"/>
      <c r="I213" s="256">
        <v>10</v>
      </c>
      <c r="J213" s="261">
        <f>I104</f>
        <v>30</v>
      </c>
      <c r="K213" s="261">
        <f t="shared" ref="K213:M213" si="57">J104</f>
        <v>-2.9</v>
      </c>
      <c r="L213" s="261">
        <f t="shared" si="57"/>
        <v>-5.8</v>
      </c>
      <c r="M213" s="261">
        <f t="shared" si="57"/>
        <v>1.45</v>
      </c>
      <c r="N213" s="186"/>
      <c r="O213" s="254">
        <v>11</v>
      </c>
      <c r="P213" s="255">
        <f>O113</f>
        <v>0.3</v>
      </c>
    </row>
    <row r="214" spans="1:16" x14ac:dyDescent="0.25">
      <c r="A214" s="654"/>
      <c r="B214" s="256">
        <v>11</v>
      </c>
      <c r="C214" s="261">
        <f>C115</f>
        <v>15</v>
      </c>
      <c r="D214" s="261">
        <f t="shared" ref="D214:F214" si="58">D115</f>
        <v>0.3</v>
      </c>
      <c r="E214" s="261" t="str">
        <f t="shared" si="58"/>
        <v>-</v>
      </c>
      <c r="F214" s="261">
        <f t="shared" si="58"/>
        <v>0</v>
      </c>
      <c r="G214" s="186"/>
      <c r="H214" s="655"/>
      <c r="I214" s="256">
        <v>11</v>
      </c>
      <c r="J214" s="261">
        <f>I115</f>
        <v>35</v>
      </c>
      <c r="K214" s="261">
        <f t="shared" ref="K214:M214" si="59">J115</f>
        <v>-5.2</v>
      </c>
      <c r="L214" s="261" t="str">
        <f t="shared" si="59"/>
        <v>-</v>
      </c>
      <c r="M214" s="261">
        <f t="shared" si="59"/>
        <v>0</v>
      </c>
      <c r="N214" s="186"/>
      <c r="O214" s="254">
        <v>12</v>
      </c>
      <c r="P214" s="375">
        <f>O124</f>
        <v>0.5</v>
      </c>
    </row>
    <row r="215" spans="1:16" x14ac:dyDescent="0.25">
      <c r="A215" s="654"/>
      <c r="B215" s="256">
        <v>12</v>
      </c>
      <c r="C215" s="261">
        <f>C126</f>
        <v>15</v>
      </c>
      <c r="D215" s="261">
        <f t="shared" ref="D215:F215" si="60">D126</f>
        <v>0.1</v>
      </c>
      <c r="E215" s="261">
        <f t="shared" si="60"/>
        <v>0.6</v>
      </c>
      <c r="F215" s="261">
        <f t="shared" si="60"/>
        <v>0.25</v>
      </c>
      <c r="G215" s="186"/>
      <c r="H215" s="655"/>
      <c r="I215" s="377">
        <v>12</v>
      </c>
      <c r="J215" s="261">
        <f>I126</f>
        <v>35</v>
      </c>
      <c r="K215" s="261">
        <f t="shared" ref="K215:M215" si="61">J126</f>
        <v>-4.0999999999999996</v>
      </c>
      <c r="L215" s="261">
        <f t="shared" si="61"/>
        <v>-2</v>
      </c>
      <c r="M215" s="261">
        <f t="shared" si="61"/>
        <v>1.0499999999999998</v>
      </c>
      <c r="N215" s="186"/>
      <c r="O215" s="254">
        <v>13</v>
      </c>
      <c r="P215" s="375">
        <f>O135</f>
        <v>0.6</v>
      </c>
    </row>
    <row r="216" spans="1:16" x14ac:dyDescent="0.25">
      <c r="A216" s="654"/>
      <c r="B216" s="256">
        <v>13</v>
      </c>
      <c r="C216" s="261">
        <f>C137</f>
        <v>15</v>
      </c>
      <c r="D216" s="261">
        <f t="shared" ref="D216:F216" si="62">D137</f>
        <v>0.1</v>
      </c>
      <c r="E216" s="261">
        <f t="shared" si="62"/>
        <v>0.5</v>
      </c>
      <c r="F216" s="261">
        <f t="shared" si="62"/>
        <v>0.2</v>
      </c>
      <c r="G216" s="186"/>
      <c r="H216" s="655"/>
      <c r="I216" s="256">
        <v>13</v>
      </c>
      <c r="J216" s="261">
        <f>I137</f>
        <v>35</v>
      </c>
      <c r="K216" s="261">
        <f t="shared" ref="K216:M216" si="63">J137</f>
        <v>-4.2</v>
      </c>
      <c r="L216" s="261">
        <f t="shared" si="63"/>
        <v>-0.8</v>
      </c>
      <c r="M216" s="261">
        <f t="shared" si="63"/>
        <v>1.7000000000000002</v>
      </c>
      <c r="N216" s="186"/>
      <c r="O216" s="254">
        <v>14</v>
      </c>
      <c r="P216" s="375">
        <f>O146</f>
        <v>0.5</v>
      </c>
    </row>
    <row r="217" spans="1:16" x14ac:dyDescent="0.25">
      <c r="A217" s="654"/>
      <c r="B217" s="256">
        <v>14</v>
      </c>
      <c r="C217" s="261">
        <f>C148</f>
        <v>15</v>
      </c>
      <c r="D217" s="261">
        <f t="shared" ref="D217:F217" si="64">D148</f>
        <v>0.1</v>
      </c>
      <c r="E217" s="261">
        <f t="shared" si="64"/>
        <v>0.5</v>
      </c>
      <c r="F217" s="261">
        <f t="shared" si="64"/>
        <v>0.2</v>
      </c>
      <c r="G217" s="186"/>
      <c r="H217" s="655"/>
      <c r="I217" s="256">
        <v>14</v>
      </c>
      <c r="J217" s="261">
        <f>I148</f>
        <v>30</v>
      </c>
      <c r="K217" s="261">
        <f t="shared" ref="K217:M217" si="65">J148</f>
        <v>-2.2000000000000002</v>
      </c>
      <c r="L217" s="261">
        <f t="shared" si="65"/>
        <v>-4.0999999999999996</v>
      </c>
      <c r="M217" s="261">
        <f t="shared" si="65"/>
        <v>0.94999999999999973</v>
      </c>
      <c r="N217" s="186"/>
      <c r="O217" s="254">
        <v>15</v>
      </c>
      <c r="P217" s="375">
        <f>O157</f>
        <v>0.3</v>
      </c>
    </row>
    <row r="218" spans="1:16" x14ac:dyDescent="0.25">
      <c r="A218" s="654"/>
      <c r="B218" s="256">
        <v>15</v>
      </c>
      <c r="C218" s="261">
        <f>C159</f>
        <v>15</v>
      </c>
      <c r="D218" s="261">
        <f t="shared" ref="D218:F218" si="66">D159</f>
        <v>0.1</v>
      </c>
      <c r="E218" s="261" t="str">
        <f t="shared" si="66"/>
        <v>-</v>
      </c>
      <c r="F218" s="261">
        <f t="shared" si="66"/>
        <v>0</v>
      </c>
      <c r="G218" s="186"/>
      <c r="H218" s="655"/>
      <c r="I218" s="256">
        <v>15</v>
      </c>
      <c r="J218" s="261">
        <f>I159</f>
        <v>30</v>
      </c>
      <c r="K218" s="261">
        <f t="shared" ref="K218:M218" si="67">J159</f>
        <v>0.1</v>
      </c>
      <c r="L218" s="261" t="str">
        <f t="shared" si="67"/>
        <v>-</v>
      </c>
      <c r="M218" s="261">
        <f t="shared" si="67"/>
        <v>0</v>
      </c>
      <c r="N218" s="186"/>
      <c r="O218" s="254">
        <v>16</v>
      </c>
      <c r="P218" s="375">
        <f>O168</f>
        <v>0.4</v>
      </c>
    </row>
    <row r="219" spans="1:16" x14ac:dyDescent="0.25">
      <c r="A219" s="654"/>
      <c r="B219" s="256">
        <v>16</v>
      </c>
      <c r="C219" s="261">
        <f>C170</f>
        <v>15</v>
      </c>
      <c r="D219" s="261">
        <f t="shared" ref="D219:F219" si="68">D170</f>
        <v>0.1</v>
      </c>
      <c r="E219" s="261" t="str">
        <f t="shared" si="68"/>
        <v>-</v>
      </c>
      <c r="F219" s="261">
        <f t="shared" si="68"/>
        <v>0</v>
      </c>
      <c r="G219" s="186"/>
      <c r="H219" s="655"/>
      <c r="I219" s="256">
        <v>16</v>
      </c>
      <c r="J219" s="261">
        <f>I170</f>
        <v>30</v>
      </c>
      <c r="K219" s="261">
        <f t="shared" ref="K219:M219" si="69">J170</f>
        <v>-1.6</v>
      </c>
      <c r="L219" s="261" t="str">
        <f t="shared" si="69"/>
        <v>-</v>
      </c>
      <c r="M219" s="261">
        <f t="shared" si="69"/>
        <v>0</v>
      </c>
      <c r="N219" s="186"/>
      <c r="O219" s="254">
        <v>17</v>
      </c>
      <c r="P219" s="375">
        <f>O179</f>
        <v>0.3</v>
      </c>
    </row>
    <row r="220" spans="1:16" x14ac:dyDescent="0.25">
      <c r="A220" s="654"/>
      <c r="B220" s="256">
        <v>17</v>
      </c>
      <c r="C220" s="261">
        <f>C181</f>
        <v>15</v>
      </c>
      <c r="D220" s="261">
        <f t="shared" ref="D220:F220" si="70">D181</f>
        <v>0</v>
      </c>
      <c r="E220" s="261" t="str">
        <f t="shared" si="70"/>
        <v>-</v>
      </c>
      <c r="F220" s="261">
        <f t="shared" si="70"/>
        <v>0</v>
      </c>
      <c r="G220" s="186"/>
      <c r="H220" s="655"/>
      <c r="I220" s="256">
        <v>17</v>
      </c>
      <c r="J220" s="261">
        <f>I181</f>
        <v>30</v>
      </c>
      <c r="K220" s="261">
        <f t="shared" ref="K220:M220" si="71">J181</f>
        <v>-0.4</v>
      </c>
      <c r="L220" s="261" t="str">
        <f t="shared" si="71"/>
        <v>-</v>
      </c>
      <c r="M220" s="261">
        <f t="shared" si="71"/>
        <v>0</v>
      </c>
      <c r="N220" s="186"/>
      <c r="O220" s="254">
        <v>18</v>
      </c>
      <c r="P220" s="375">
        <f>O190</f>
        <v>0.3</v>
      </c>
    </row>
    <row r="221" spans="1:16" x14ac:dyDescent="0.25">
      <c r="A221" s="654"/>
      <c r="B221" s="256">
        <v>18</v>
      </c>
      <c r="C221" s="261">
        <f>C192</f>
        <v>15</v>
      </c>
      <c r="D221" s="261">
        <f t="shared" ref="D221:F221" si="72">D192</f>
        <v>0</v>
      </c>
      <c r="E221" s="261" t="str">
        <f t="shared" si="72"/>
        <v>-</v>
      </c>
      <c r="F221" s="261">
        <f t="shared" si="72"/>
        <v>0</v>
      </c>
      <c r="G221" s="186"/>
      <c r="H221" s="655"/>
      <c r="I221" s="256">
        <v>18</v>
      </c>
      <c r="J221" s="261">
        <f>I192</f>
        <v>30</v>
      </c>
      <c r="K221" s="261">
        <f t="shared" ref="K221:M221" si="73">J192</f>
        <v>-0.4</v>
      </c>
      <c r="L221" s="261" t="str">
        <f t="shared" si="73"/>
        <v>-</v>
      </c>
      <c r="M221" s="261">
        <f t="shared" si="73"/>
        <v>0</v>
      </c>
      <c r="N221" s="186"/>
      <c r="O221" s="254">
        <v>19</v>
      </c>
      <c r="P221" s="376"/>
    </row>
    <row r="222" spans="1:16" x14ac:dyDescent="0.25">
      <c r="A222" s="262"/>
      <c r="B222" s="263"/>
      <c r="C222" s="264"/>
      <c r="D222" s="264"/>
      <c r="E222" s="264"/>
      <c r="F222" s="265"/>
      <c r="G222" s="266"/>
      <c r="H222" s="267"/>
      <c r="I222" s="267"/>
      <c r="J222" s="268"/>
      <c r="K222" s="268"/>
      <c r="L222" s="268"/>
      <c r="M222" s="268"/>
      <c r="N222" s="266"/>
      <c r="O222" s="266"/>
      <c r="P222" s="266"/>
    </row>
    <row r="223" spans="1:16" x14ac:dyDescent="0.25">
      <c r="A223" s="654" t="s">
        <v>300</v>
      </c>
      <c r="B223" s="256">
        <v>1</v>
      </c>
      <c r="C223" s="261">
        <f>C6</f>
        <v>20</v>
      </c>
      <c r="D223" s="261">
        <f t="shared" ref="D223:F223" si="74">D6</f>
        <v>0</v>
      </c>
      <c r="E223" s="261">
        <f t="shared" si="74"/>
        <v>-0.2</v>
      </c>
      <c r="F223" s="261">
        <f t="shared" si="74"/>
        <v>0.1</v>
      </c>
      <c r="G223" s="186"/>
      <c r="H223" s="655" t="s">
        <v>300</v>
      </c>
      <c r="I223" s="256">
        <v>1</v>
      </c>
      <c r="J223" s="261">
        <f>I6</f>
        <v>40</v>
      </c>
      <c r="K223" s="261">
        <f t="shared" ref="K223:M223" si="75">J50</f>
        <v>-7.2</v>
      </c>
      <c r="L223" s="261">
        <f t="shared" si="75"/>
        <v>-8</v>
      </c>
      <c r="M223" s="261">
        <f t="shared" si="75"/>
        <v>0.39999999999999991</v>
      </c>
      <c r="N223" s="186"/>
      <c r="O223" s="658" t="s">
        <v>219</v>
      </c>
      <c r="P223" s="659"/>
    </row>
    <row r="224" spans="1:16" x14ac:dyDescent="0.25">
      <c r="A224" s="654"/>
      <c r="B224" s="256">
        <v>2</v>
      </c>
      <c r="C224" s="261">
        <f>C17</f>
        <v>20</v>
      </c>
      <c r="D224" s="261">
        <f t="shared" ref="D224:F224" si="76">D17</f>
        <v>-0.1</v>
      </c>
      <c r="E224" s="261">
        <f t="shared" si="76"/>
        <v>0</v>
      </c>
      <c r="F224" s="261">
        <f t="shared" si="76"/>
        <v>0.05</v>
      </c>
      <c r="G224" s="186"/>
      <c r="H224" s="655"/>
      <c r="I224" s="256">
        <v>2</v>
      </c>
      <c r="J224" s="261">
        <f>I17</f>
        <v>40</v>
      </c>
      <c r="K224" s="261">
        <f t="shared" ref="K224:M224" si="77">J17</f>
        <v>-1.6</v>
      </c>
      <c r="L224" s="261">
        <f t="shared" si="77"/>
        <v>-1.1000000000000001</v>
      </c>
      <c r="M224" s="261">
        <f t="shared" si="77"/>
        <v>0.25</v>
      </c>
      <c r="N224" s="186"/>
      <c r="O224" s="660" t="s">
        <v>276</v>
      </c>
      <c r="P224" s="661"/>
    </row>
    <row r="225" spans="1:16" x14ac:dyDescent="0.25">
      <c r="A225" s="654"/>
      <c r="B225" s="256">
        <v>3</v>
      </c>
      <c r="C225" s="257">
        <f>C28</f>
        <v>20</v>
      </c>
      <c r="D225" s="257">
        <f t="shared" ref="D225:F225" si="78">D28</f>
        <v>0</v>
      </c>
      <c r="E225" s="257">
        <f t="shared" si="78"/>
        <v>0</v>
      </c>
      <c r="F225" s="257">
        <f t="shared" si="78"/>
        <v>0</v>
      </c>
      <c r="G225" s="186"/>
      <c r="H225" s="655"/>
      <c r="I225" s="256">
        <v>3</v>
      </c>
      <c r="J225" s="257">
        <f>I28</f>
        <v>40</v>
      </c>
      <c r="K225" s="257">
        <f t="shared" ref="K225:M225" si="79">J28</f>
        <v>-5.3</v>
      </c>
      <c r="L225" s="257">
        <f t="shared" si="79"/>
        <v>-1.9</v>
      </c>
      <c r="M225" s="257">
        <f t="shared" si="79"/>
        <v>1.7</v>
      </c>
      <c r="N225" s="186"/>
      <c r="O225" s="254">
        <v>1</v>
      </c>
      <c r="P225" s="255">
        <f>O4</f>
        <v>2.6</v>
      </c>
    </row>
    <row r="226" spans="1:16" x14ac:dyDescent="0.25">
      <c r="A226" s="654"/>
      <c r="B226" s="256">
        <v>4</v>
      </c>
      <c r="C226" s="257">
        <f>C39</f>
        <v>20</v>
      </c>
      <c r="D226" s="257">
        <f t="shared" ref="D226:F226" si="80">D39</f>
        <v>-0.3</v>
      </c>
      <c r="E226" s="257">
        <f t="shared" si="80"/>
        <v>0</v>
      </c>
      <c r="F226" s="257">
        <f t="shared" si="80"/>
        <v>0.15</v>
      </c>
      <c r="G226" s="186"/>
      <c r="H226" s="655"/>
      <c r="I226" s="256">
        <v>4</v>
      </c>
      <c r="J226" s="257">
        <f>I39</f>
        <v>40</v>
      </c>
      <c r="K226" s="257">
        <f t="shared" ref="K226:M226" si="81">J39</f>
        <v>-1.5</v>
      </c>
      <c r="L226" s="257">
        <f t="shared" si="81"/>
        <v>-0.9</v>
      </c>
      <c r="M226" s="257">
        <f t="shared" si="81"/>
        <v>0.3</v>
      </c>
      <c r="N226" s="186"/>
      <c r="O226" s="258">
        <v>2</v>
      </c>
      <c r="P226" s="259">
        <f>O15</f>
        <v>3.3</v>
      </c>
    </row>
    <row r="227" spans="1:16" x14ac:dyDescent="0.25">
      <c r="A227" s="654"/>
      <c r="B227" s="256">
        <v>5</v>
      </c>
      <c r="C227" s="257">
        <f>C50</f>
        <v>20</v>
      </c>
      <c r="D227" s="257">
        <f t="shared" ref="D227:F227" si="82">D50</f>
        <v>0.1</v>
      </c>
      <c r="E227" s="257">
        <f t="shared" si="82"/>
        <v>0.3</v>
      </c>
      <c r="F227" s="257">
        <f t="shared" si="82"/>
        <v>9.9999999999999992E-2</v>
      </c>
      <c r="G227" s="186"/>
      <c r="H227" s="655"/>
      <c r="I227" s="256">
        <v>5</v>
      </c>
      <c r="J227" s="257">
        <f>I50</f>
        <v>40</v>
      </c>
      <c r="K227" s="257">
        <f t="shared" ref="K227:M227" si="83">J50</f>
        <v>-7.2</v>
      </c>
      <c r="L227" s="257">
        <f t="shared" si="83"/>
        <v>-8</v>
      </c>
      <c r="M227" s="257">
        <f t="shared" si="83"/>
        <v>0.39999999999999991</v>
      </c>
      <c r="N227" s="186"/>
      <c r="O227" s="258">
        <v>3</v>
      </c>
      <c r="P227" s="260">
        <f>O26</f>
        <v>3.1</v>
      </c>
    </row>
    <row r="228" spans="1:16" x14ac:dyDescent="0.25">
      <c r="A228" s="654"/>
      <c r="B228" s="256">
        <v>6</v>
      </c>
      <c r="C228" s="257">
        <f>C61</f>
        <v>20</v>
      </c>
      <c r="D228" s="257">
        <f t="shared" ref="D228:F228" si="84">D61</f>
        <v>0.3</v>
      </c>
      <c r="E228" s="257">
        <f t="shared" si="84"/>
        <v>0.2</v>
      </c>
      <c r="F228" s="257">
        <f t="shared" si="84"/>
        <v>4.9999999999999989E-2</v>
      </c>
      <c r="G228" s="186"/>
      <c r="H228" s="655"/>
      <c r="I228" s="256">
        <v>6</v>
      </c>
      <c r="J228" s="257">
        <f>I61</f>
        <v>40</v>
      </c>
      <c r="K228" s="257">
        <f t="shared" ref="K228:M228" si="85">J61</f>
        <v>-3.8</v>
      </c>
      <c r="L228" s="257">
        <f t="shared" si="85"/>
        <v>-3.4</v>
      </c>
      <c r="M228" s="257">
        <f t="shared" si="85"/>
        <v>0.19999999999999996</v>
      </c>
      <c r="N228" s="186"/>
      <c r="O228" s="258">
        <v>4</v>
      </c>
      <c r="P228" s="260">
        <f>O37</f>
        <v>2.6</v>
      </c>
    </row>
    <row r="229" spans="1:16" x14ac:dyDescent="0.25">
      <c r="A229" s="654"/>
      <c r="B229" s="256">
        <v>7</v>
      </c>
      <c r="C229" s="257">
        <f>C72</f>
        <v>20</v>
      </c>
      <c r="D229" s="257">
        <f t="shared" ref="D229:F229" si="86">D72</f>
        <v>0.1</v>
      </c>
      <c r="E229" s="257">
        <f t="shared" si="86"/>
        <v>0.1</v>
      </c>
      <c r="F229" s="257">
        <f t="shared" si="86"/>
        <v>0</v>
      </c>
      <c r="G229" s="186"/>
      <c r="H229" s="655"/>
      <c r="I229" s="256">
        <v>7</v>
      </c>
      <c r="J229" s="257">
        <f>I72</f>
        <v>40</v>
      </c>
      <c r="K229" s="257">
        <f t="shared" ref="K229:M229" si="87">J72</f>
        <v>1.2</v>
      </c>
      <c r="L229" s="257">
        <f t="shared" si="87"/>
        <v>0</v>
      </c>
      <c r="M229" s="257">
        <f t="shared" si="87"/>
        <v>0.6</v>
      </c>
      <c r="N229" s="186"/>
      <c r="O229" s="258">
        <v>5</v>
      </c>
      <c r="P229" s="260">
        <f>O48</f>
        <v>2.8</v>
      </c>
    </row>
    <row r="230" spans="1:16" x14ac:dyDescent="0.25">
      <c r="A230" s="654"/>
      <c r="B230" s="256">
        <v>8</v>
      </c>
      <c r="C230" s="257">
        <f>C83</f>
        <v>20</v>
      </c>
      <c r="D230" s="257">
        <f t="shared" ref="D230:F230" si="88">D83</f>
        <v>0.2</v>
      </c>
      <c r="E230" s="257">
        <f t="shared" si="88"/>
        <v>-0.2</v>
      </c>
      <c r="F230" s="257">
        <f t="shared" si="88"/>
        <v>0.2</v>
      </c>
      <c r="G230" s="186"/>
      <c r="H230" s="655"/>
      <c r="I230" s="256">
        <v>8</v>
      </c>
      <c r="J230" s="257">
        <f>I83</f>
        <v>40</v>
      </c>
      <c r="K230" s="257">
        <f t="shared" ref="K230:M230" si="89">J83</f>
        <v>-4.5999999999999996</v>
      </c>
      <c r="L230" s="257">
        <f t="shared" si="89"/>
        <v>-1.2</v>
      </c>
      <c r="M230" s="257">
        <f t="shared" si="89"/>
        <v>1.6999999999999997</v>
      </c>
      <c r="N230" s="186"/>
      <c r="O230" s="254">
        <v>6</v>
      </c>
      <c r="P230" s="255">
        <f>O59</f>
        <v>2.6</v>
      </c>
    </row>
    <row r="231" spans="1:16" x14ac:dyDescent="0.25">
      <c r="A231" s="654"/>
      <c r="B231" s="256">
        <v>9</v>
      </c>
      <c r="C231" s="257">
        <f>C94</f>
        <v>20</v>
      </c>
      <c r="D231" s="257">
        <f t="shared" ref="D231:F231" si="90">D94</f>
        <v>-0.2</v>
      </c>
      <c r="E231" s="257" t="str">
        <f t="shared" si="90"/>
        <v>-</v>
      </c>
      <c r="F231" s="257">
        <f t="shared" si="90"/>
        <v>0</v>
      </c>
      <c r="G231" s="186"/>
      <c r="H231" s="655"/>
      <c r="I231" s="256">
        <v>9</v>
      </c>
      <c r="J231" s="257">
        <f>I94</f>
        <v>40</v>
      </c>
      <c r="K231" s="257">
        <f t="shared" ref="K231:M231" si="91">J94</f>
        <v>-1</v>
      </c>
      <c r="L231" s="257" t="str">
        <f t="shared" si="91"/>
        <v>-</v>
      </c>
      <c r="M231" s="257">
        <f t="shared" si="91"/>
        <v>0</v>
      </c>
      <c r="N231" s="186"/>
      <c r="O231" s="254">
        <v>7</v>
      </c>
      <c r="P231" s="255">
        <f>O70</f>
        <v>2.2999999999999998</v>
      </c>
    </row>
    <row r="232" spans="1:16" x14ac:dyDescent="0.25">
      <c r="A232" s="654"/>
      <c r="B232" s="256">
        <v>10</v>
      </c>
      <c r="C232" s="257">
        <f>C105</f>
        <v>20</v>
      </c>
      <c r="D232" s="257">
        <f t="shared" ref="D232:F232" si="92">D105</f>
        <v>0.2</v>
      </c>
      <c r="E232" s="257">
        <f t="shared" si="92"/>
        <v>-0.7</v>
      </c>
      <c r="F232" s="257">
        <f t="shared" si="92"/>
        <v>0.44999999999999996</v>
      </c>
      <c r="G232" s="186"/>
      <c r="H232" s="655"/>
      <c r="I232" s="256">
        <v>10</v>
      </c>
      <c r="J232" s="257">
        <f>I105</f>
        <v>40</v>
      </c>
      <c r="K232" s="257">
        <f t="shared" ref="K232:M232" si="93">J105</f>
        <v>-3.3</v>
      </c>
      <c r="L232" s="257">
        <f t="shared" si="93"/>
        <v>-6.4</v>
      </c>
      <c r="M232" s="257">
        <f t="shared" si="93"/>
        <v>1.5500000000000003</v>
      </c>
      <c r="N232" s="186"/>
      <c r="O232" s="254">
        <v>8</v>
      </c>
      <c r="P232" s="255">
        <f>O81</f>
        <v>2.2999999999999998</v>
      </c>
    </row>
    <row r="233" spans="1:16" x14ac:dyDescent="0.25">
      <c r="A233" s="654"/>
      <c r="B233" s="256">
        <v>11</v>
      </c>
      <c r="C233" s="257">
        <f>C116</f>
        <v>20</v>
      </c>
      <c r="D233" s="257">
        <f t="shared" ref="D233:F233" si="94">D116</f>
        <v>0.4</v>
      </c>
      <c r="E233" s="257" t="str">
        <f t="shared" si="94"/>
        <v>-</v>
      </c>
      <c r="F233" s="257">
        <f t="shared" si="94"/>
        <v>0</v>
      </c>
      <c r="G233" s="186"/>
      <c r="H233" s="655"/>
      <c r="I233" s="256">
        <v>11</v>
      </c>
      <c r="J233" s="257">
        <f>I116</f>
        <v>40</v>
      </c>
      <c r="K233" s="257">
        <f t="shared" ref="K233:M233" si="95">J116</f>
        <v>-5.5</v>
      </c>
      <c r="L233" s="257" t="str">
        <f t="shared" si="95"/>
        <v>-</v>
      </c>
      <c r="M233" s="257">
        <f t="shared" si="95"/>
        <v>0</v>
      </c>
      <c r="N233" s="186"/>
      <c r="O233" s="254">
        <v>9</v>
      </c>
      <c r="P233" s="255">
        <f>O92</f>
        <v>2.4</v>
      </c>
    </row>
    <row r="234" spans="1:16" x14ac:dyDescent="0.25">
      <c r="A234" s="654"/>
      <c r="B234" s="256">
        <v>12</v>
      </c>
      <c r="C234" s="257">
        <f>C127</f>
        <v>20</v>
      </c>
      <c r="D234" s="257">
        <f t="shared" ref="D234:F234" si="96">D127</f>
        <v>0.2</v>
      </c>
      <c r="E234" s="257">
        <f t="shared" si="96"/>
        <v>0.3</v>
      </c>
      <c r="F234" s="257">
        <f t="shared" si="96"/>
        <v>4.9999999999999989E-2</v>
      </c>
      <c r="G234" s="186"/>
      <c r="H234" s="655"/>
      <c r="I234" s="256">
        <v>12</v>
      </c>
      <c r="J234" s="257">
        <f>I127</f>
        <v>40</v>
      </c>
      <c r="K234" s="257">
        <f t="shared" ref="K234:M234" si="97">J127</f>
        <v>-3.8</v>
      </c>
      <c r="L234" s="257">
        <f t="shared" si="97"/>
        <v>-1.7</v>
      </c>
      <c r="M234" s="257">
        <f t="shared" si="97"/>
        <v>1.0499999999999998</v>
      </c>
      <c r="N234" s="186"/>
      <c r="O234" s="254">
        <v>10</v>
      </c>
      <c r="P234" s="255">
        <f>O103</f>
        <v>1.5</v>
      </c>
    </row>
    <row r="235" spans="1:16" x14ac:dyDescent="0.25">
      <c r="A235" s="654"/>
      <c r="B235" s="256">
        <v>13</v>
      </c>
      <c r="C235" s="257">
        <f>C138</f>
        <v>20</v>
      </c>
      <c r="D235" s="257">
        <f t="shared" ref="D235:F235" si="98">D138</f>
        <v>0.2</v>
      </c>
      <c r="E235" s="257">
        <f t="shared" si="98"/>
        <v>0.2</v>
      </c>
      <c r="F235" s="257">
        <f t="shared" si="98"/>
        <v>0</v>
      </c>
      <c r="G235" s="186"/>
      <c r="H235" s="655"/>
      <c r="I235" s="256">
        <v>13</v>
      </c>
      <c r="J235" s="257">
        <f>I138</f>
        <v>40</v>
      </c>
      <c r="K235" s="257">
        <f t="shared" ref="K235:M235" si="99">J138</f>
        <v>-3.8</v>
      </c>
      <c r="L235" s="257">
        <f t="shared" si="99"/>
        <v>-0.4</v>
      </c>
      <c r="M235" s="257">
        <f t="shared" si="99"/>
        <v>1.7</v>
      </c>
      <c r="N235" s="186"/>
      <c r="O235" s="254">
        <v>11</v>
      </c>
      <c r="P235" s="255">
        <f>O114</f>
        <v>1.8</v>
      </c>
    </row>
    <row r="236" spans="1:16" x14ac:dyDescent="0.25">
      <c r="A236" s="654"/>
      <c r="B236" s="256">
        <v>14</v>
      </c>
      <c r="C236" s="257">
        <f>C149</f>
        <v>20</v>
      </c>
      <c r="D236" s="257">
        <f t="shared" ref="D236:F236" si="100">D149</f>
        <v>0.2</v>
      </c>
      <c r="E236" s="257">
        <f t="shared" si="100"/>
        <v>0.2</v>
      </c>
      <c r="F236" s="257">
        <f t="shared" si="100"/>
        <v>0</v>
      </c>
      <c r="G236" s="186"/>
      <c r="H236" s="655"/>
      <c r="I236" s="256">
        <v>14</v>
      </c>
      <c r="J236" s="257">
        <f>I149</f>
        <v>40</v>
      </c>
      <c r="K236" s="257">
        <f t="shared" ref="K236:M236" si="101">J149</f>
        <v>-2</v>
      </c>
      <c r="L236" s="257">
        <f t="shared" si="101"/>
        <v>-4</v>
      </c>
      <c r="M236" s="257">
        <f t="shared" si="101"/>
        <v>1</v>
      </c>
      <c r="N236" s="186"/>
      <c r="O236" s="254">
        <v>12</v>
      </c>
      <c r="P236" s="271">
        <f>O125</f>
        <v>2.2999999999999998</v>
      </c>
    </row>
    <row r="237" spans="1:16" x14ac:dyDescent="0.25">
      <c r="A237" s="654"/>
      <c r="B237" s="256">
        <v>15</v>
      </c>
      <c r="C237" s="257">
        <f>C160</f>
        <v>20</v>
      </c>
      <c r="D237" s="257">
        <f t="shared" ref="D237:F237" si="102">D160</f>
        <v>0.1</v>
      </c>
      <c r="E237" s="257" t="str">
        <f t="shared" si="102"/>
        <v>-</v>
      </c>
      <c r="F237" s="257">
        <f t="shared" si="102"/>
        <v>0</v>
      </c>
      <c r="G237" s="186"/>
      <c r="H237" s="655"/>
      <c r="I237" s="256">
        <v>15</v>
      </c>
      <c r="J237" s="257">
        <f>I160</f>
        <v>40</v>
      </c>
      <c r="K237" s="257">
        <f t="shared" ref="K237:M237" si="103">J160</f>
        <v>0.2</v>
      </c>
      <c r="L237" s="257" t="str">
        <f t="shared" si="103"/>
        <v>-</v>
      </c>
      <c r="M237" s="257">
        <f t="shared" si="103"/>
        <v>0</v>
      </c>
      <c r="N237" s="186"/>
      <c r="O237" s="254">
        <v>13</v>
      </c>
      <c r="P237" s="255">
        <f>O136</f>
        <v>2.2999999999999998</v>
      </c>
    </row>
    <row r="238" spans="1:16" x14ac:dyDescent="0.25">
      <c r="A238" s="654"/>
      <c r="B238" s="256">
        <v>16</v>
      </c>
      <c r="C238" s="257">
        <f>C171</f>
        <v>20</v>
      </c>
      <c r="D238" s="257">
        <f t="shared" ref="D238:F238" si="104">D171</f>
        <v>0.2</v>
      </c>
      <c r="E238" s="257" t="str">
        <f t="shared" si="104"/>
        <v>-</v>
      </c>
      <c r="F238" s="257">
        <f t="shared" si="104"/>
        <v>0</v>
      </c>
      <c r="G238" s="186"/>
      <c r="H238" s="655"/>
      <c r="I238" s="256">
        <v>16</v>
      </c>
      <c r="J238" s="257">
        <f>I171</f>
        <v>40</v>
      </c>
      <c r="K238" s="257">
        <f t="shared" ref="K238:M238" si="105">J171</f>
        <v>-1.4</v>
      </c>
      <c r="L238" s="257" t="str">
        <f t="shared" si="105"/>
        <v>-</v>
      </c>
      <c r="M238" s="257">
        <f t="shared" si="105"/>
        <v>0</v>
      </c>
      <c r="N238" s="186"/>
      <c r="O238" s="254">
        <v>14</v>
      </c>
      <c r="P238" s="255">
        <f>O147</f>
        <v>2.2999999999999998</v>
      </c>
    </row>
    <row r="239" spans="1:16" x14ac:dyDescent="0.25">
      <c r="A239" s="654"/>
      <c r="B239" s="256">
        <v>17</v>
      </c>
      <c r="C239" s="257">
        <f>C182</f>
        <v>20</v>
      </c>
      <c r="D239" s="257">
        <f t="shared" ref="D239:F239" si="106">D182</f>
        <v>-0.1</v>
      </c>
      <c r="E239" s="257" t="str">
        <f t="shared" si="106"/>
        <v>-</v>
      </c>
      <c r="F239" s="257">
        <f t="shared" si="106"/>
        <v>0</v>
      </c>
      <c r="G239" s="186"/>
      <c r="H239" s="655"/>
      <c r="I239" s="256">
        <v>17</v>
      </c>
      <c r="J239" s="257">
        <f>I182</f>
        <v>40</v>
      </c>
      <c r="K239" s="257">
        <f t="shared" ref="K239:M239" si="107">J182</f>
        <v>-0.2</v>
      </c>
      <c r="L239" s="257" t="str">
        <f t="shared" si="107"/>
        <v>-</v>
      </c>
      <c r="M239" s="257">
        <f t="shared" si="107"/>
        <v>0</v>
      </c>
      <c r="N239" s="186"/>
      <c r="O239" s="372">
        <v>15</v>
      </c>
      <c r="P239" s="373">
        <f>O158</f>
        <v>2.8</v>
      </c>
    </row>
    <row r="240" spans="1:16" x14ac:dyDescent="0.25">
      <c r="A240" s="654"/>
      <c r="B240" s="256">
        <v>18</v>
      </c>
      <c r="C240" s="257">
        <f>C193</f>
        <v>20</v>
      </c>
      <c r="D240" s="257">
        <f t="shared" ref="D240:F240" si="108">D193</f>
        <v>0</v>
      </c>
      <c r="E240" s="257" t="str">
        <f t="shared" si="108"/>
        <v>-</v>
      </c>
      <c r="F240" s="257">
        <f t="shared" si="108"/>
        <v>0</v>
      </c>
      <c r="G240" s="186"/>
      <c r="H240" s="655"/>
      <c r="I240" s="256">
        <v>18</v>
      </c>
      <c r="J240" s="257">
        <f>I193</f>
        <v>40</v>
      </c>
      <c r="K240" s="257">
        <f t="shared" ref="K240:M240" si="109">J193</f>
        <v>-0.1</v>
      </c>
      <c r="L240" s="257" t="str">
        <f t="shared" si="109"/>
        <v>-</v>
      </c>
      <c r="M240" s="257">
        <f t="shared" si="109"/>
        <v>0</v>
      </c>
      <c r="N240" s="186"/>
      <c r="O240" s="254">
        <v>16</v>
      </c>
      <c r="P240" s="378">
        <f>O169</f>
        <v>2.2000000000000002</v>
      </c>
    </row>
    <row r="241" spans="1:16" x14ac:dyDescent="0.25">
      <c r="A241" s="262"/>
      <c r="B241" s="263"/>
      <c r="C241" s="269"/>
      <c r="D241" s="269"/>
      <c r="E241" s="269"/>
      <c r="F241" s="270"/>
      <c r="G241" s="266"/>
      <c r="H241" s="262"/>
      <c r="I241" s="263"/>
      <c r="J241" s="269"/>
      <c r="K241" s="269"/>
      <c r="L241" s="269"/>
      <c r="M241" s="270"/>
      <c r="N241" s="186"/>
      <c r="O241" s="372">
        <v>17</v>
      </c>
      <c r="P241" s="378">
        <f>O180</f>
        <v>1.6</v>
      </c>
    </row>
    <row r="242" spans="1:16" x14ac:dyDescent="0.25">
      <c r="A242" s="654" t="s">
        <v>301</v>
      </c>
      <c r="B242" s="256">
        <v>1</v>
      </c>
      <c r="C242" s="257">
        <f>C7</f>
        <v>25</v>
      </c>
      <c r="D242" s="257">
        <f t="shared" ref="D242:F242" si="110">D7</f>
        <v>-0.1</v>
      </c>
      <c r="E242" s="257">
        <f t="shared" si="110"/>
        <v>0</v>
      </c>
      <c r="F242" s="257">
        <f t="shared" si="110"/>
        <v>0.05</v>
      </c>
      <c r="G242" s="186"/>
      <c r="H242" s="655" t="s">
        <v>301</v>
      </c>
      <c r="I242" s="256">
        <v>1</v>
      </c>
      <c r="J242" s="257">
        <f>I7</f>
        <v>50</v>
      </c>
      <c r="K242" s="257">
        <f t="shared" ref="K242:M242" si="111">J7</f>
        <v>-6.6</v>
      </c>
      <c r="L242" s="257">
        <f t="shared" si="111"/>
        <v>-5.3</v>
      </c>
      <c r="M242" s="257">
        <f t="shared" si="111"/>
        <v>0.64999999999999991</v>
      </c>
      <c r="N242" s="186"/>
      <c r="O242" s="254">
        <v>18</v>
      </c>
      <c r="P242" s="378">
        <f>O191</f>
        <v>2</v>
      </c>
    </row>
    <row r="243" spans="1:16" x14ac:dyDescent="0.25">
      <c r="A243" s="654"/>
      <c r="B243" s="256">
        <v>2</v>
      </c>
      <c r="C243" s="257">
        <f>C18</f>
        <v>25</v>
      </c>
      <c r="D243" s="257">
        <f t="shared" ref="D243:F243" si="112">D18</f>
        <v>-0.2</v>
      </c>
      <c r="E243" s="257">
        <f t="shared" si="112"/>
        <v>-0.5</v>
      </c>
      <c r="F243" s="257">
        <f t="shared" si="112"/>
        <v>0.15</v>
      </c>
      <c r="G243" s="186"/>
      <c r="H243" s="655"/>
      <c r="I243" s="256">
        <v>2</v>
      </c>
      <c r="J243" s="257">
        <f>I18</f>
        <v>50</v>
      </c>
      <c r="K243" s="257">
        <f t="shared" ref="K243:M243" si="113">J18</f>
        <v>-1.5</v>
      </c>
      <c r="L243" s="257">
        <f t="shared" si="113"/>
        <v>-1.4</v>
      </c>
      <c r="M243" s="257">
        <f t="shared" si="113"/>
        <v>5.0000000000000044E-2</v>
      </c>
      <c r="N243" s="186"/>
    </row>
    <row r="244" spans="1:16" x14ac:dyDescent="0.25">
      <c r="A244" s="654"/>
      <c r="B244" s="256">
        <v>3</v>
      </c>
      <c r="C244" s="257">
        <f>C29</f>
        <v>25</v>
      </c>
      <c r="D244" s="257">
        <f t="shared" ref="D244:F244" si="114">D29</f>
        <v>-0.1</v>
      </c>
      <c r="E244" s="257">
        <f t="shared" si="114"/>
        <v>-0.2</v>
      </c>
      <c r="F244" s="257">
        <f t="shared" si="114"/>
        <v>0.05</v>
      </c>
      <c r="G244" s="186"/>
      <c r="H244" s="655"/>
      <c r="I244" s="256">
        <v>3</v>
      </c>
      <c r="J244" s="257">
        <f>I29</f>
        <v>50</v>
      </c>
      <c r="K244" s="257">
        <f t="shared" ref="K244:M244" si="115">J29</f>
        <v>-4.9000000000000004</v>
      </c>
      <c r="L244" s="257">
        <f t="shared" si="115"/>
        <v>-2.2999999999999998</v>
      </c>
      <c r="M244" s="257">
        <f t="shared" si="115"/>
        <v>1.3000000000000003</v>
      </c>
      <c r="N244" s="186"/>
      <c r="O244" s="186"/>
      <c r="P244" s="186"/>
    </row>
    <row r="245" spans="1:16" x14ac:dyDescent="0.25">
      <c r="A245" s="654"/>
      <c r="B245" s="256">
        <v>4</v>
      </c>
      <c r="C245" s="257">
        <f>C40</f>
        <v>25</v>
      </c>
      <c r="D245" s="257">
        <f t="shared" ref="D245:F245" si="116">D40</f>
        <v>-0.5</v>
      </c>
      <c r="E245" s="257">
        <f t="shared" si="116"/>
        <v>-0.5</v>
      </c>
      <c r="F245" s="257">
        <f t="shared" si="116"/>
        <v>0</v>
      </c>
      <c r="G245" s="186"/>
      <c r="H245" s="655"/>
      <c r="I245" s="256">
        <v>4</v>
      </c>
      <c r="J245" s="257">
        <f>I40</f>
        <v>50</v>
      </c>
      <c r="K245" s="257">
        <f t="shared" ref="K245:M245" si="117">J40</f>
        <v>-1</v>
      </c>
      <c r="L245" s="257">
        <f t="shared" si="117"/>
        <v>-1</v>
      </c>
      <c r="M245" s="257">
        <f t="shared" si="117"/>
        <v>0</v>
      </c>
      <c r="N245" s="186"/>
      <c r="O245" s="186"/>
      <c r="P245" s="186"/>
    </row>
    <row r="246" spans="1:16" x14ac:dyDescent="0.25">
      <c r="A246" s="654"/>
      <c r="B246" s="256">
        <v>5</v>
      </c>
      <c r="C246" s="257">
        <f>C51</f>
        <v>25</v>
      </c>
      <c r="D246" s="257">
        <f t="shared" ref="D246:F246" si="118">D51</f>
        <v>0.4</v>
      </c>
      <c r="E246" s="257">
        <f t="shared" si="118"/>
        <v>0.2</v>
      </c>
      <c r="F246" s="257">
        <f t="shared" si="118"/>
        <v>0.1</v>
      </c>
      <c r="G246" s="186"/>
      <c r="H246" s="655"/>
      <c r="I246" s="256">
        <v>5</v>
      </c>
      <c r="J246" s="257">
        <f>I51</f>
        <v>50</v>
      </c>
      <c r="K246" s="257">
        <f t="shared" ref="K246:M246" si="119">J51</f>
        <v>-6.2</v>
      </c>
      <c r="L246" s="257">
        <f t="shared" si="119"/>
        <v>-6.2</v>
      </c>
      <c r="M246" s="257">
        <f t="shared" si="119"/>
        <v>0</v>
      </c>
      <c r="N246" s="186"/>
      <c r="O246" s="186"/>
      <c r="P246" s="186"/>
    </row>
    <row r="247" spans="1:16" x14ac:dyDescent="0.25">
      <c r="A247" s="654"/>
      <c r="B247" s="256">
        <v>6</v>
      </c>
      <c r="C247" s="257">
        <f>C62</f>
        <v>25</v>
      </c>
      <c r="D247" s="257">
        <f t="shared" ref="D247:F247" si="120">D62</f>
        <v>0.2</v>
      </c>
      <c r="E247" s="257">
        <f t="shared" si="120"/>
        <v>-0.1</v>
      </c>
      <c r="F247" s="257">
        <f t="shared" si="120"/>
        <v>0.15000000000000002</v>
      </c>
      <c r="G247" s="186"/>
      <c r="H247" s="655"/>
      <c r="I247" s="256">
        <v>6</v>
      </c>
      <c r="J247" s="257">
        <f>I62</f>
        <v>50</v>
      </c>
      <c r="K247" s="257">
        <f t="shared" ref="K247:M247" si="121">J62</f>
        <v>-5.4</v>
      </c>
      <c r="L247" s="257">
        <f t="shared" si="121"/>
        <v>-2.5</v>
      </c>
      <c r="M247" s="257">
        <f t="shared" si="121"/>
        <v>1.4500000000000002</v>
      </c>
      <c r="N247" s="186"/>
      <c r="O247" s="186"/>
      <c r="P247" s="186"/>
    </row>
    <row r="248" spans="1:16" x14ac:dyDescent="0.25">
      <c r="A248" s="654"/>
      <c r="B248" s="256">
        <v>7</v>
      </c>
      <c r="C248" s="257">
        <f>C73</f>
        <v>25</v>
      </c>
      <c r="D248" s="257">
        <f t="shared" ref="D248:F248" si="122">D73</f>
        <v>-0.2</v>
      </c>
      <c r="E248" s="257">
        <f t="shared" si="122"/>
        <v>0</v>
      </c>
      <c r="F248" s="257">
        <f t="shared" si="122"/>
        <v>0.1</v>
      </c>
      <c r="G248" s="186"/>
      <c r="H248" s="655"/>
      <c r="I248" s="256">
        <v>7</v>
      </c>
      <c r="J248" s="257">
        <f>I73</f>
        <v>50</v>
      </c>
      <c r="K248" s="257">
        <f t="shared" ref="K248:M248" si="123">J73</f>
        <v>0.8</v>
      </c>
      <c r="L248" s="257">
        <f t="shared" si="123"/>
        <v>0.6</v>
      </c>
      <c r="M248" s="257">
        <f t="shared" si="123"/>
        <v>0.10000000000000003</v>
      </c>
      <c r="N248" s="186"/>
      <c r="O248" s="186"/>
      <c r="P248" s="186"/>
    </row>
    <row r="249" spans="1:16" x14ac:dyDescent="0.25">
      <c r="A249" s="654"/>
      <c r="B249" s="256">
        <v>8</v>
      </c>
      <c r="C249" s="257">
        <f>C84</f>
        <v>25</v>
      </c>
      <c r="D249" s="257">
        <f t="shared" ref="D249:F249" si="124">D84</f>
        <v>0</v>
      </c>
      <c r="E249" s="257">
        <f t="shared" si="124"/>
        <v>-0.4</v>
      </c>
      <c r="F249" s="257">
        <f t="shared" si="124"/>
        <v>0.2</v>
      </c>
      <c r="G249" s="186"/>
      <c r="H249" s="655"/>
      <c r="I249" s="256">
        <v>8</v>
      </c>
      <c r="J249" s="257">
        <f>I84</f>
        <v>50</v>
      </c>
      <c r="K249" s="257">
        <f t="shared" ref="K249:M249" si="125">J84</f>
        <v>-5</v>
      </c>
      <c r="L249" s="257">
        <f t="shared" si="125"/>
        <v>-1.2</v>
      </c>
      <c r="M249" s="257">
        <f t="shared" si="125"/>
        <v>1.9</v>
      </c>
      <c r="N249" s="186"/>
      <c r="O249" s="186"/>
      <c r="P249" s="186"/>
    </row>
    <row r="250" spans="1:16" x14ac:dyDescent="0.25">
      <c r="A250" s="654"/>
      <c r="B250" s="256">
        <v>9</v>
      </c>
      <c r="C250" s="257">
        <f>C95</f>
        <v>25</v>
      </c>
      <c r="D250" s="257">
        <f t="shared" ref="D250:F250" si="126">D95</f>
        <v>-0.4</v>
      </c>
      <c r="E250" s="257" t="str">
        <f t="shared" si="126"/>
        <v>-</v>
      </c>
      <c r="F250" s="257">
        <f t="shared" si="126"/>
        <v>0</v>
      </c>
      <c r="G250" s="186"/>
      <c r="H250" s="655"/>
      <c r="I250" s="256">
        <v>9</v>
      </c>
      <c r="J250" s="257">
        <f>I95</f>
        <v>50</v>
      </c>
      <c r="K250" s="257">
        <f t="shared" ref="K250:M250" si="127">J95</f>
        <v>-0.9</v>
      </c>
      <c r="L250" s="257" t="str">
        <f t="shared" si="127"/>
        <v>-</v>
      </c>
      <c r="M250" s="257">
        <f t="shared" si="127"/>
        <v>0</v>
      </c>
      <c r="N250" s="186"/>
      <c r="O250" s="186"/>
      <c r="P250" s="186"/>
    </row>
    <row r="251" spans="1:16" x14ac:dyDescent="0.25">
      <c r="A251" s="654"/>
      <c r="B251" s="256">
        <v>10</v>
      </c>
      <c r="C251" s="257">
        <f>C106</f>
        <v>25</v>
      </c>
      <c r="D251" s="257">
        <f t="shared" ref="D251:F251" si="128">D106</f>
        <v>0.1</v>
      </c>
      <c r="E251" s="257">
        <f t="shared" si="128"/>
        <v>-0.5</v>
      </c>
      <c r="F251" s="257">
        <f t="shared" si="128"/>
        <v>0.3</v>
      </c>
      <c r="G251" s="186"/>
      <c r="H251" s="655"/>
      <c r="I251" s="256">
        <v>10</v>
      </c>
      <c r="J251" s="257">
        <f>I106</f>
        <v>50</v>
      </c>
      <c r="K251" s="257">
        <f t="shared" ref="K251:M251" si="129">J106</f>
        <v>-3.1</v>
      </c>
      <c r="L251" s="257">
        <f t="shared" si="129"/>
        <v>-6.1</v>
      </c>
      <c r="M251" s="257">
        <f t="shared" si="129"/>
        <v>1.4999999999999998</v>
      </c>
      <c r="N251" s="186"/>
      <c r="O251" s="186"/>
      <c r="P251" s="186"/>
    </row>
    <row r="252" spans="1:16" x14ac:dyDescent="0.25">
      <c r="A252" s="654"/>
      <c r="B252" s="256">
        <v>11</v>
      </c>
      <c r="C252" s="257">
        <f>C117</f>
        <v>25</v>
      </c>
      <c r="D252" s="257">
        <f t="shared" ref="D252:F252" si="130">D117</f>
        <v>0.4</v>
      </c>
      <c r="E252" s="257" t="str">
        <f t="shared" si="130"/>
        <v>-</v>
      </c>
      <c r="F252" s="257">
        <f t="shared" si="130"/>
        <v>0</v>
      </c>
      <c r="G252" s="186"/>
      <c r="H252" s="655"/>
      <c r="I252" s="256">
        <v>11</v>
      </c>
      <c r="J252" s="257">
        <f>I117</f>
        <v>50</v>
      </c>
      <c r="K252" s="257">
        <f t="shared" ref="K252:M252" si="131">J117</f>
        <v>-5.5</v>
      </c>
      <c r="L252" s="257" t="str">
        <f t="shared" si="131"/>
        <v>-</v>
      </c>
      <c r="M252" s="257">
        <f t="shared" si="131"/>
        <v>0</v>
      </c>
      <c r="N252" s="186"/>
      <c r="O252" s="186"/>
      <c r="P252" s="186"/>
    </row>
    <row r="253" spans="1:16" x14ac:dyDescent="0.25">
      <c r="A253" s="654"/>
      <c r="B253" s="256">
        <v>12</v>
      </c>
      <c r="C253" s="257">
        <f>C128</f>
        <v>25</v>
      </c>
      <c r="D253" s="257">
        <f t="shared" ref="D253:F253" si="132">D128</f>
        <v>0.3</v>
      </c>
      <c r="E253" s="257">
        <f t="shared" si="132"/>
        <v>0.2</v>
      </c>
      <c r="F253" s="257">
        <f t="shared" si="132"/>
        <v>4.9999999999999989E-2</v>
      </c>
      <c r="G253" s="186"/>
      <c r="H253" s="655"/>
      <c r="I253" s="256">
        <v>12</v>
      </c>
      <c r="J253" s="257">
        <f>I128</f>
        <v>50</v>
      </c>
      <c r="K253" s="257">
        <f t="shared" ref="K253:M253" si="133">J128</f>
        <v>-3.1</v>
      </c>
      <c r="L253" s="257">
        <f t="shared" si="133"/>
        <v>-1.4</v>
      </c>
      <c r="M253" s="257">
        <f t="shared" si="133"/>
        <v>0.85000000000000009</v>
      </c>
      <c r="N253" s="186"/>
      <c r="O253" s="186"/>
      <c r="P253" s="186"/>
    </row>
    <row r="254" spans="1:16" x14ac:dyDescent="0.25">
      <c r="A254" s="654"/>
      <c r="B254" s="256">
        <v>13</v>
      </c>
      <c r="C254" s="257">
        <f>C139</f>
        <v>25</v>
      </c>
      <c r="D254" s="257">
        <f t="shared" ref="D254:F254" si="134">D139</f>
        <v>0.2</v>
      </c>
      <c r="E254" s="257">
        <f t="shared" si="134"/>
        <v>-0.1</v>
      </c>
      <c r="F254" s="257">
        <f t="shared" si="134"/>
        <v>0.15000000000000002</v>
      </c>
      <c r="G254" s="186"/>
      <c r="H254" s="655"/>
      <c r="I254" s="256">
        <v>13</v>
      </c>
      <c r="J254" s="257">
        <f>I139</f>
        <v>50</v>
      </c>
      <c r="K254" s="257">
        <f t="shared" ref="K254:M254" si="135">J139</f>
        <v>-2.8</v>
      </c>
      <c r="L254" s="257">
        <f t="shared" si="135"/>
        <v>0</v>
      </c>
      <c r="M254" s="257">
        <f t="shared" si="135"/>
        <v>1.4</v>
      </c>
      <c r="N254" s="186"/>
      <c r="O254" s="186"/>
      <c r="P254" s="186"/>
    </row>
    <row r="255" spans="1:16" x14ac:dyDescent="0.25">
      <c r="A255" s="654"/>
      <c r="B255" s="256">
        <v>14</v>
      </c>
      <c r="C255" s="257">
        <f>C150</f>
        <v>25</v>
      </c>
      <c r="D255" s="257">
        <f t="shared" ref="D255:F255" si="136">D150</f>
        <v>0.3</v>
      </c>
      <c r="E255" s="257">
        <f t="shared" si="136"/>
        <v>0.1</v>
      </c>
      <c r="F255" s="257">
        <f t="shared" si="136"/>
        <v>9.9999999999999992E-2</v>
      </c>
      <c r="G255" s="186"/>
      <c r="H255" s="655"/>
      <c r="I255" s="256">
        <v>14</v>
      </c>
      <c r="J255" s="257">
        <f>I150</f>
        <v>50</v>
      </c>
      <c r="K255" s="257">
        <f t="shared" ref="K255:M255" si="137">J150</f>
        <v>-1.8</v>
      </c>
      <c r="L255" s="257">
        <f t="shared" si="137"/>
        <v>-3.6</v>
      </c>
      <c r="M255" s="257">
        <f t="shared" si="137"/>
        <v>0.9</v>
      </c>
      <c r="N255" s="186"/>
      <c r="O255" s="186"/>
      <c r="P255" s="186"/>
    </row>
    <row r="256" spans="1:16" x14ac:dyDescent="0.25">
      <c r="A256" s="654"/>
      <c r="B256" s="256">
        <v>15</v>
      </c>
      <c r="C256" s="257">
        <f>C161</f>
        <v>25</v>
      </c>
      <c r="D256" s="257">
        <f t="shared" ref="D256:F256" si="138">D161</f>
        <v>0</v>
      </c>
      <c r="E256" s="257" t="str">
        <f t="shared" si="138"/>
        <v>-</v>
      </c>
      <c r="F256" s="257">
        <f t="shared" si="138"/>
        <v>0</v>
      </c>
      <c r="G256" s="186"/>
      <c r="H256" s="655"/>
      <c r="I256" s="256">
        <v>15</v>
      </c>
      <c r="J256" s="257">
        <f>I161</f>
        <v>50</v>
      </c>
      <c r="K256" s="257">
        <f t="shared" ref="K256:M256" si="139">J161</f>
        <v>0.2</v>
      </c>
      <c r="L256" s="257" t="str">
        <f t="shared" si="139"/>
        <v>-</v>
      </c>
      <c r="M256" s="257">
        <f t="shared" si="139"/>
        <v>0</v>
      </c>
      <c r="N256" s="186"/>
      <c r="O256" s="186"/>
      <c r="P256" s="186"/>
    </row>
    <row r="257" spans="1:16" x14ac:dyDescent="0.25">
      <c r="A257" s="654"/>
      <c r="B257" s="256">
        <v>16</v>
      </c>
      <c r="C257" s="257">
        <f>C172</f>
        <v>25</v>
      </c>
      <c r="D257" s="257">
        <f t="shared" ref="D257:F257" si="140">D172</f>
        <v>0.2</v>
      </c>
      <c r="E257" s="257" t="str">
        <f t="shared" si="140"/>
        <v>-</v>
      </c>
      <c r="F257" s="257">
        <f t="shared" si="140"/>
        <v>0</v>
      </c>
      <c r="G257" s="186"/>
      <c r="H257" s="655"/>
      <c r="I257" s="256">
        <v>16</v>
      </c>
      <c r="J257" s="257">
        <f>I172</f>
        <v>50</v>
      </c>
      <c r="K257" s="257">
        <f t="shared" ref="K257:M257" si="141">J172</f>
        <v>-1.4</v>
      </c>
      <c r="L257" s="257" t="str">
        <f t="shared" si="141"/>
        <v>-</v>
      </c>
      <c r="M257" s="257">
        <f t="shared" si="141"/>
        <v>0</v>
      </c>
      <c r="N257" s="186"/>
      <c r="O257" s="186"/>
      <c r="P257" s="186"/>
    </row>
    <row r="258" spans="1:16" x14ac:dyDescent="0.25">
      <c r="A258" s="654"/>
      <c r="B258" s="256">
        <v>17</v>
      </c>
      <c r="C258" s="257">
        <f>C183</f>
        <v>25</v>
      </c>
      <c r="D258" s="257">
        <f t="shared" ref="D258:F258" si="142">D183</f>
        <v>-0.2</v>
      </c>
      <c r="E258" s="257" t="str">
        <f t="shared" si="142"/>
        <v>-</v>
      </c>
      <c r="F258" s="257">
        <f t="shared" si="142"/>
        <v>0</v>
      </c>
      <c r="G258" s="186"/>
      <c r="H258" s="655"/>
      <c r="I258" s="256">
        <v>17</v>
      </c>
      <c r="J258" s="257">
        <f>I183</f>
        <v>50</v>
      </c>
      <c r="K258" s="257">
        <f t="shared" ref="K258:M258" si="143">J183</f>
        <v>-0.2</v>
      </c>
      <c r="L258" s="257" t="str">
        <f t="shared" si="143"/>
        <v>-</v>
      </c>
      <c r="M258" s="257">
        <f t="shared" si="143"/>
        <v>0</v>
      </c>
      <c r="N258" s="186"/>
      <c r="O258" s="186"/>
      <c r="P258" s="186"/>
    </row>
    <row r="259" spans="1:16" x14ac:dyDescent="0.25">
      <c r="A259" s="654"/>
      <c r="B259" s="256">
        <v>18</v>
      </c>
      <c r="C259" s="257">
        <f>C194</f>
        <v>25</v>
      </c>
      <c r="D259" s="257">
        <f t="shared" ref="D259:F259" si="144">D194</f>
        <v>0</v>
      </c>
      <c r="E259" s="257" t="str">
        <f t="shared" si="144"/>
        <v>-</v>
      </c>
      <c r="F259" s="257">
        <f t="shared" si="144"/>
        <v>0</v>
      </c>
      <c r="G259" s="186"/>
      <c r="H259" s="655"/>
      <c r="I259" s="256">
        <v>18</v>
      </c>
      <c r="J259" s="257">
        <f>I194</f>
        <v>50</v>
      </c>
      <c r="K259" s="257">
        <f t="shared" ref="K259:M259" si="145">J194</f>
        <v>0</v>
      </c>
      <c r="L259" s="257" t="str">
        <f t="shared" si="145"/>
        <v>-</v>
      </c>
      <c r="M259" s="257">
        <f t="shared" si="145"/>
        <v>0</v>
      </c>
      <c r="N259" s="186"/>
      <c r="O259" s="186"/>
      <c r="P259" s="186"/>
    </row>
    <row r="260" spans="1:16" x14ac:dyDescent="0.25">
      <c r="A260" s="262"/>
      <c r="B260" s="263"/>
      <c r="C260" s="269"/>
      <c r="D260" s="269"/>
      <c r="E260" s="269"/>
      <c r="F260" s="270"/>
      <c r="G260" s="266"/>
      <c r="H260" s="262"/>
      <c r="I260" s="272"/>
      <c r="J260" s="269"/>
      <c r="K260" s="269"/>
      <c r="L260" s="269"/>
      <c r="M260" s="270"/>
      <c r="N260" s="186"/>
      <c r="O260" s="186"/>
      <c r="P260" s="186"/>
    </row>
    <row r="261" spans="1:16" x14ac:dyDescent="0.25">
      <c r="A261" s="654" t="s">
        <v>302</v>
      </c>
      <c r="B261" s="256">
        <v>1</v>
      </c>
      <c r="C261" s="257">
        <f>C8</f>
        <v>30</v>
      </c>
      <c r="D261" s="257">
        <f t="shared" ref="D261:F261" si="146">D8</f>
        <v>-0.1</v>
      </c>
      <c r="E261" s="257">
        <f t="shared" si="146"/>
        <v>0</v>
      </c>
      <c r="F261" s="257">
        <f t="shared" si="146"/>
        <v>0.05</v>
      </c>
      <c r="G261" s="186"/>
      <c r="H261" s="655" t="s">
        <v>302</v>
      </c>
      <c r="I261" s="256">
        <v>1</v>
      </c>
      <c r="J261" s="257">
        <f>I8</f>
        <v>60</v>
      </c>
      <c r="K261" s="257">
        <f t="shared" ref="K261:M261" si="147">J8</f>
        <v>-6</v>
      </c>
      <c r="L261" s="257">
        <f t="shared" si="147"/>
        <v>-4.4000000000000004</v>
      </c>
      <c r="M261" s="257">
        <f t="shared" si="147"/>
        <v>0.79999999999999982</v>
      </c>
      <c r="N261" s="186"/>
      <c r="O261" s="186"/>
      <c r="P261" s="186"/>
    </row>
    <row r="262" spans="1:16" x14ac:dyDescent="0.25">
      <c r="A262" s="654"/>
      <c r="B262" s="256">
        <v>2</v>
      </c>
      <c r="C262" s="257">
        <f>C19</f>
        <v>30</v>
      </c>
      <c r="D262" s="257">
        <f t="shared" ref="D262:F262" si="148">D19</f>
        <v>-0.3</v>
      </c>
      <c r="E262" s="257">
        <f t="shared" si="148"/>
        <v>-1</v>
      </c>
      <c r="F262" s="257">
        <f t="shared" si="148"/>
        <v>0.35</v>
      </c>
      <c r="G262" s="186"/>
      <c r="H262" s="655"/>
      <c r="I262" s="256">
        <v>2</v>
      </c>
      <c r="J262" s="257">
        <f>I19</f>
        <v>60</v>
      </c>
      <c r="K262" s="257">
        <f t="shared" ref="K262:M262" si="149">J19</f>
        <v>-1.3</v>
      </c>
      <c r="L262" s="257">
        <f t="shared" si="149"/>
        <v>-1.3</v>
      </c>
      <c r="M262" s="257">
        <f t="shared" si="149"/>
        <v>0</v>
      </c>
      <c r="N262" s="186"/>
      <c r="O262" s="186"/>
      <c r="P262" s="186"/>
    </row>
    <row r="263" spans="1:16" x14ac:dyDescent="0.25">
      <c r="A263" s="654"/>
      <c r="B263" s="256">
        <v>3</v>
      </c>
      <c r="C263" s="257">
        <f>C30</f>
        <v>30</v>
      </c>
      <c r="D263" s="257">
        <f t="shared" ref="D263:F263" si="150">D30</f>
        <v>-0.3</v>
      </c>
      <c r="E263" s="257">
        <f t="shared" si="150"/>
        <v>-0.3</v>
      </c>
      <c r="F263" s="257">
        <f t="shared" si="150"/>
        <v>0</v>
      </c>
      <c r="G263" s="186"/>
      <c r="H263" s="655"/>
      <c r="I263" s="256">
        <v>3</v>
      </c>
      <c r="J263" s="257">
        <f>I30</f>
        <v>60</v>
      </c>
      <c r="K263" s="257">
        <f t="shared" ref="K263:M263" si="151">J30</f>
        <v>-4.3</v>
      </c>
      <c r="L263" s="257">
        <f t="shared" si="151"/>
        <v>-2.2000000000000002</v>
      </c>
      <c r="M263" s="257">
        <f t="shared" si="151"/>
        <v>1.0499999999999998</v>
      </c>
      <c r="N263" s="186"/>
      <c r="O263" s="186"/>
      <c r="P263" s="186"/>
    </row>
    <row r="264" spans="1:16" x14ac:dyDescent="0.25">
      <c r="A264" s="654"/>
      <c r="B264" s="256">
        <v>4</v>
      </c>
      <c r="C264" s="257">
        <f>C41</f>
        <v>30</v>
      </c>
      <c r="D264" s="257">
        <f t="shared" ref="D264:F264" si="152">D41</f>
        <v>-0.6</v>
      </c>
      <c r="E264" s="257">
        <f t="shared" si="152"/>
        <v>-1</v>
      </c>
      <c r="F264" s="257">
        <f t="shared" si="152"/>
        <v>0.2</v>
      </c>
      <c r="G264" s="186"/>
      <c r="H264" s="655"/>
      <c r="I264" s="256">
        <v>4</v>
      </c>
      <c r="J264" s="257">
        <f>I41</f>
        <v>60</v>
      </c>
      <c r="K264" s="257">
        <f t="shared" ref="K264:M264" si="153">J41</f>
        <v>-0.3</v>
      </c>
      <c r="L264" s="257">
        <f t="shared" si="153"/>
        <v>-0.9</v>
      </c>
      <c r="M264" s="257">
        <f t="shared" si="153"/>
        <v>0.30000000000000004</v>
      </c>
      <c r="N264" s="186"/>
      <c r="O264" s="186"/>
      <c r="P264" s="186"/>
    </row>
    <row r="265" spans="1:16" x14ac:dyDescent="0.25">
      <c r="A265" s="654"/>
      <c r="B265" s="256">
        <v>5</v>
      </c>
      <c r="C265" s="257">
        <f>C52</f>
        <v>30</v>
      </c>
      <c r="D265" s="257">
        <f t="shared" ref="D265:F265" si="154">D52</f>
        <v>0.6</v>
      </c>
      <c r="E265" s="257">
        <f t="shared" si="154"/>
        <v>0.1</v>
      </c>
      <c r="F265" s="257">
        <f t="shared" si="154"/>
        <v>0.25</v>
      </c>
      <c r="G265" s="186"/>
      <c r="H265" s="655"/>
      <c r="I265" s="256">
        <v>5</v>
      </c>
      <c r="J265" s="257">
        <f>I52</f>
        <v>60</v>
      </c>
      <c r="K265" s="257">
        <f t="shared" ref="K265:M265" si="155">J52</f>
        <v>-5.2</v>
      </c>
      <c r="L265" s="257">
        <f t="shared" si="155"/>
        <v>-4.2</v>
      </c>
      <c r="M265" s="257">
        <f t="shared" si="155"/>
        <v>0.5</v>
      </c>
      <c r="N265" s="186"/>
      <c r="O265" s="186"/>
      <c r="P265" s="186"/>
    </row>
    <row r="266" spans="1:16" x14ac:dyDescent="0.25">
      <c r="A266" s="654"/>
      <c r="B266" s="256">
        <v>6</v>
      </c>
      <c r="C266" s="257">
        <f>C63</f>
        <v>30</v>
      </c>
      <c r="D266" s="257">
        <f t="shared" ref="D266:F266" si="156">D63</f>
        <v>0.1</v>
      </c>
      <c r="E266" s="257">
        <f t="shared" si="156"/>
        <v>-0.5</v>
      </c>
      <c r="F266" s="257">
        <f t="shared" si="156"/>
        <v>0.3</v>
      </c>
      <c r="G266" s="186"/>
      <c r="H266" s="655"/>
      <c r="I266" s="256">
        <v>6</v>
      </c>
      <c r="J266" s="257">
        <f>I63</f>
        <v>60</v>
      </c>
      <c r="K266" s="257">
        <f t="shared" ref="K266:M266" si="157">J63</f>
        <v>-6.4</v>
      </c>
      <c r="L266" s="257">
        <f t="shared" si="157"/>
        <v>-2</v>
      </c>
      <c r="M266" s="257">
        <f t="shared" si="157"/>
        <v>2.2000000000000002</v>
      </c>
      <c r="N266" s="186"/>
      <c r="O266" s="186"/>
      <c r="P266" s="186"/>
    </row>
    <row r="267" spans="1:16" x14ac:dyDescent="0.25">
      <c r="A267" s="654"/>
      <c r="B267" s="256">
        <v>7</v>
      </c>
      <c r="C267" s="257">
        <f>C74</f>
        <v>30</v>
      </c>
      <c r="D267" s="257">
        <f t="shared" ref="D267:F267" si="158">D74</f>
        <v>-0.6</v>
      </c>
      <c r="E267" s="257">
        <f t="shared" si="158"/>
        <v>-0.1</v>
      </c>
      <c r="F267" s="257">
        <f t="shared" si="158"/>
        <v>0.25</v>
      </c>
      <c r="G267" s="186"/>
      <c r="H267" s="655"/>
      <c r="I267" s="256">
        <v>7</v>
      </c>
      <c r="J267" s="257">
        <f>I74</f>
        <v>60</v>
      </c>
      <c r="K267" s="257">
        <f t="shared" ref="K267:M267" si="159">J74</f>
        <v>0.7</v>
      </c>
      <c r="L267" s="257">
        <f t="shared" si="159"/>
        <v>1.5</v>
      </c>
      <c r="M267" s="257">
        <f t="shared" si="159"/>
        <v>0.4</v>
      </c>
      <c r="N267" s="186"/>
      <c r="O267" s="186"/>
      <c r="P267" s="186"/>
    </row>
    <row r="268" spans="1:16" x14ac:dyDescent="0.25">
      <c r="A268" s="654"/>
      <c r="B268" s="256">
        <v>8</v>
      </c>
      <c r="C268" s="257">
        <f>C85</f>
        <v>30</v>
      </c>
      <c r="D268" s="257">
        <f t="shared" ref="D268:F268" si="160">D85</f>
        <v>-0.1</v>
      </c>
      <c r="E268" s="257">
        <f t="shared" si="160"/>
        <v>-0.4</v>
      </c>
      <c r="F268" s="257">
        <f t="shared" si="160"/>
        <v>0.15000000000000002</v>
      </c>
      <c r="G268" s="186"/>
      <c r="H268" s="655"/>
      <c r="I268" s="256">
        <v>8</v>
      </c>
      <c r="J268" s="257">
        <f>I85</f>
        <v>60</v>
      </c>
      <c r="K268" s="257">
        <f t="shared" ref="K268:M268" si="161">J85</f>
        <v>-5.6</v>
      </c>
      <c r="L268" s="257">
        <f t="shared" si="161"/>
        <v>-1.1000000000000001</v>
      </c>
      <c r="M268" s="257">
        <f t="shared" si="161"/>
        <v>2.25</v>
      </c>
      <c r="N268" s="186"/>
      <c r="O268" s="186"/>
      <c r="P268" s="186"/>
    </row>
    <row r="269" spans="1:16" x14ac:dyDescent="0.25">
      <c r="A269" s="654"/>
      <c r="B269" s="256">
        <v>9</v>
      </c>
      <c r="C269" s="257">
        <f>C96</f>
        <v>30</v>
      </c>
      <c r="D269" s="257">
        <f t="shared" ref="D269:F269" si="162">D96</f>
        <v>-0.5</v>
      </c>
      <c r="E269" s="257" t="str">
        <f t="shared" si="162"/>
        <v>-</v>
      </c>
      <c r="F269" s="257">
        <f t="shared" si="162"/>
        <v>0</v>
      </c>
      <c r="G269" s="186"/>
      <c r="H269" s="655"/>
      <c r="I269" s="256">
        <v>9</v>
      </c>
      <c r="J269" s="257">
        <f>I96</f>
        <v>60</v>
      </c>
      <c r="K269" s="257">
        <f t="shared" ref="K269:M269" si="163">J96</f>
        <v>-0.8</v>
      </c>
      <c r="L269" s="257" t="str">
        <f t="shared" si="163"/>
        <v>-</v>
      </c>
      <c r="M269" s="257">
        <f t="shared" si="163"/>
        <v>0</v>
      </c>
      <c r="N269" s="186"/>
      <c r="O269" s="186"/>
      <c r="P269" s="186"/>
    </row>
    <row r="270" spans="1:16" x14ac:dyDescent="0.25">
      <c r="A270" s="654"/>
      <c r="B270" s="256">
        <v>10</v>
      </c>
      <c r="C270" s="257">
        <f>C107</f>
        <v>30</v>
      </c>
      <c r="D270" s="257">
        <f t="shared" ref="D270:F270" si="164">D107</f>
        <v>0.1</v>
      </c>
      <c r="E270" s="257">
        <f t="shared" si="164"/>
        <v>0.2</v>
      </c>
      <c r="F270" s="257">
        <f t="shared" si="164"/>
        <v>0.05</v>
      </c>
      <c r="G270" s="186"/>
      <c r="H270" s="655"/>
      <c r="I270" s="256">
        <v>10</v>
      </c>
      <c r="J270" s="257">
        <f>I107</f>
        <v>60</v>
      </c>
      <c r="K270" s="257">
        <f t="shared" ref="K270:M270" si="165">J107</f>
        <v>-2.1</v>
      </c>
      <c r="L270" s="257">
        <f t="shared" si="165"/>
        <v>-5.6</v>
      </c>
      <c r="M270" s="257">
        <f t="shared" si="165"/>
        <v>1.7499999999999998</v>
      </c>
      <c r="N270" s="186"/>
      <c r="O270" s="186"/>
      <c r="P270" s="186"/>
    </row>
    <row r="271" spans="1:16" x14ac:dyDescent="0.25">
      <c r="A271" s="654"/>
      <c r="B271" s="256">
        <v>11</v>
      </c>
      <c r="C271" s="257">
        <f>C118</f>
        <v>30</v>
      </c>
      <c r="D271" s="257">
        <f t="shared" ref="D271:F271" si="166">D118</f>
        <v>0.5</v>
      </c>
      <c r="E271" s="257" t="str">
        <f t="shared" si="166"/>
        <v>-</v>
      </c>
      <c r="F271" s="257">
        <f t="shared" si="166"/>
        <v>0</v>
      </c>
      <c r="G271" s="186"/>
      <c r="H271" s="655"/>
      <c r="I271" s="256">
        <v>11</v>
      </c>
      <c r="J271" s="257">
        <f>I118</f>
        <v>60</v>
      </c>
      <c r="K271" s="257">
        <f t="shared" ref="K271:M271" si="167">J118</f>
        <v>-4.8</v>
      </c>
      <c r="L271" s="257" t="str">
        <f t="shared" si="167"/>
        <v>-</v>
      </c>
      <c r="M271" s="257">
        <f t="shared" si="167"/>
        <v>0</v>
      </c>
      <c r="N271" s="186"/>
      <c r="O271" s="186"/>
      <c r="P271" s="186"/>
    </row>
    <row r="272" spans="1:16" x14ac:dyDescent="0.25">
      <c r="A272" s="654"/>
      <c r="B272" s="256">
        <v>12</v>
      </c>
      <c r="C272" s="257">
        <f>C129</f>
        <v>30</v>
      </c>
      <c r="D272" s="257">
        <f t="shared" ref="D272:F272" si="168">D129</f>
        <v>0.4</v>
      </c>
      <c r="E272" s="257">
        <f t="shared" si="168"/>
        <v>0.4</v>
      </c>
      <c r="F272" s="257">
        <f t="shared" si="168"/>
        <v>0</v>
      </c>
      <c r="G272" s="186"/>
      <c r="H272" s="655"/>
      <c r="I272" s="256">
        <v>12</v>
      </c>
      <c r="J272" s="257">
        <f>I129</f>
        <v>60</v>
      </c>
      <c r="K272" s="257">
        <f t="shared" ref="K272:M272" si="169">J129</f>
        <v>-2.2999999999999998</v>
      </c>
      <c r="L272" s="257">
        <f t="shared" si="169"/>
        <v>-1.1000000000000001</v>
      </c>
      <c r="M272" s="257">
        <f t="shared" si="169"/>
        <v>0.59999999999999987</v>
      </c>
      <c r="N272" s="186"/>
      <c r="O272" s="186"/>
      <c r="P272" s="186"/>
    </row>
    <row r="273" spans="1:16" x14ac:dyDescent="0.25">
      <c r="A273" s="654"/>
      <c r="B273" s="256">
        <v>13</v>
      </c>
      <c r="C273" s="257">
        <f>C140</f>
        <v>30</v>
      </c>
      <c r="D273" s="257">
        <f t="shared" ref="D273:F273" si="170">D140</f>
        <v>0.3</v>
      </c>
      <c r="E273" s="257">
        <f t="shared" si="170"/>
        <v>-0.4</v>
      </c>
      <c r="F273" s="257">
        <f t="shared" si="170"/>
        <v>0.35</v>
      </c>
      <c r="G273" s="186"/>
      <c r="H273" s="655"/>
      <c r="I273" s="256">
        <v>13</v>
      </c>
      <c r="J273" s="257">
        <f>I140</f>
        <v>60</v>
      </c>
      <c r="K273" s="257">
        <f t="shared" ref="K273:M273" si="171">J140</f>
        <v>-1.8</v>
      </c>
      <c r="L273" s="257">
        <f t="shared" si="171"/>
        <v>0.3</v>
      </c>
      <c r="M273" s="257">
        <f t="shared" si="171"/>
        <v>1.05</v>
      </c>
      <c r="N273" s="186"/>
      <c r="O273" s="186"/>
      <c r="P273" s="186"/>
    </row>
    <row r="274" spans="1:16" x14ac:dyDescent="0.25">
      <c r="A274" s="654"/>
      <c r="B274" s="256">
        <v>14</v>
      </c>
      <c r="C274" s="257">
        <f>C151</f>
        <v>30</v>
      </c>
      <c r="D274" s="257">
        <f t="shared" ref="D274:F274" si="172">D151</f>
        <v>0.4</v>
      </c>
      <c r="E274" s="257">
        <f t="shared" si="172"/>
        <v>-0.1</v>
      </c>
      <c r="F274" s="257">
        <f t="shared" si="172"/>
        <v>0.25</v>
      </c>
      <c r="G274" s="186"/>
      <c r="H274" s="655"/>
      <c r="I274" s="256">
        <v>14</v>
      </c>
      <c r="J274" s="257">
        <f>I151</f>
        <v>60</v>
      </c>
      <c r="K274" s="257">
        <f t="shared" ref="K274:M274" si="173">J151</f>
        <v>-1.6</v>
      </c>
      <c r="L274" s="257">
        <f t="shared" si="173"/>
        <v>-3.1</v>
      </c>
      <c r="M274" s="257">
        <f t="shared" si="173"/>
        <v>0.75</v>
      </c>
      <c r="N274" s="186"/>
      <c r="O274" s="186"/>
      <c r="P274" s="186"/>
    </row>
    <row r="275" spans="1:16" x14ac:dyDescent="0.25">
      <c r="A275" s="654"/>
      <c r="B275" s="256">
        <v>15</v>
      </c>
      <c r="C275" s="257">
        <f>C162</f>
        <v>30</v>
      </c>
      <c r="D275" s="257">
        <f t="shared" ref="D275:F275" si="174">D162</f>
        <v>-0.2</v>
      </c>
      <c r="E275" s="257" t="str">
        <f t="shared" si="174"/>
        <v>-</v>
      </c>
      <c r="F275" s="257">
        <f t="shared" si="174"/>
        <v>0</v>
      </c>
      <c r="G275" s="186"/>
      <c r="H275" s="655"/>
      <c r="I275" s="256">
        <v>15</v>
      </c>
      <c r="J275" s="257">
        <f>I162</f>
        <v>60</v>
      </c>
      <c r="K275" s="257">
        <f t="shared" ref="K275:M275" si="175">J162</f>
        <v>0</v>
      </c>
      <c r="L275" s="257" t="str">
        <f t="shared" si="175"/>
        <v>-</v>
      </c>
      <c r="M275" s="257">
        <f t="shared" si="175"/>
        <v>0</v>
      </c>
      <c r="N275" s="186"/>
      <c r="O275" s="186"/>
      <c r="P275" s="186"/>
    </row>
    <row r="276" spans="1:16" x14ac:dyDescent="0.25">
      <c r="A276" s="654"/>
      <c r="B276" s="256">
        <v>16</v>
      </c>
      <c r="C276" s="257">
        <f>C173</f>
        <v>30</v>
      </c>
      <c r="D276" s="257">
        <f t="shared" ref="D276:F276" si="176">D173</f>
        <v>0.2</v>
      </c>
      <c r="E276" s="257" t="str">
        <f t="shared" si="176"/>
        <v>-</v>
      </c>
      <c r="F276" s="257">
        <f t="shared" si="176"/>
        <v>0</v>
      </c>
      <c r="G276" s="186"/>
      <c r="H276" s="655"/>
      <c r="I276" s="256">
        <v>16</v>
      </c>
      <c r="J276" s="257">
        <f>I173</f>
        <v>60</v>
      </c>
      <c r="K276" s="257">
        <f t="shared" ref="K276:M276" si="177">J173</f>
        <v>-1.5</v>
      </c>
      <c r="L276" s="257" t="str">
        <f t="shared" si="177"/>
        <v>-</v>
      </c>
      <c r="M276" s="257">
        <f t="shared" si="177"/>
        <v>0</v>
      </c>
      <c r="N276" s="186"/>
      <c r="O276" s="186"/>
      <c r="P276" s="186"/>
    </row>
    <row r="277" spans="1:16" x14ac:dyDescent="0.25">
      <c r="A277" s="654"/>
      <c r="B277" s="256">
        <v>17</v>
      </c>
      <c r="C277" s="257">
        <f>C184</f>
        <v>30</v>
      </c>
      <c r="D277" s="257">
        <f t="shared" ref="D277:F277" si="178">D184</f>
        <v>-0.2</v>
      </c>
      <c r="E277" s="257" t="str">
        <f t="shared" si="178"/>
        <v>-</v>
      </c>
      <c r="F277" s="257">
        <f t="shared" si="178"/>
        <v>0</v>
      </c>
      <c r="G277" s="186"/>
      <c r="H277" s="655"/>
      <c r="I277" s="256">
        <v>17</v>
      </c>
      <c r="J277" s="257">
        <f>I184</f>
        <v>60</v>
      </c>
      <c r="K277" s="257">
        <f t="shared" ref="K277:M277" si="179">J184</f>
        <v>-0.2</v>
      </c>
      <c r="L277" s="257" t="str">
        <f t="shared" si="179"/>
        <v>-</v>
      </c>
      <c r="M277" s="257">
        <f t="shared" si="179"/>
        <v>0</v>
      </c>
      <c r="N277" s="186"/>
      <c r="O277" s="186"/>
      <c r="P277" s="186"/>
    </row>
    <row r="278" spans="1:16" x14ac:dyDescent="0.25">
      <c r="A278" s="654"/>
      <c r="B278" s="256">
        <v>18</v>
      </c>
      <c r="C278" s="257">
        <f>C195</f>
        <v>30</v>
      </c>
      <c r="D278" s="257">
        <f t="shared" ref="D278:F278" si="180">D195</f>
        <v>-0.1</v>
      </c>
      <c r="E278" s="257" t="str">
        <f t="shared" si="180"/>
        <v>-</v>
      </c>
      <c r="F278" s="257">
        <f t="shared" si="180"/>
        <v>0</v>
      </c>
      <c r="G278" s="186"/>
      <c r="H278" s="655"/>
      <c r="I278" s="256">
        <v>18</v>
      </c>
      <c r="J278" s="257">
        <f>I195</f>
        <v>60</v>
      </c>
      <c r="K278" s="257">
        <f t="shared" ref="K278:M278" si="181">J195</f>
        <v>0</v>
      </c>
      <c r="L278" s="257" t="str">
        <f t="shared" si="181"/>
        <v>-</v>
      </c>
      <c r="M278" s="257">
        <f t="shared" si="181"/>
        <v>0</v>
      </c>
      <c r="N278" s="186"/>
      <c r="O278" s="186"/>
      <c r="P278" s="186"/>
    </row>
    <row r="279" spans="1:16" x14ac:dyDescent="0.25">
      <c r="A279" s="262"/>
      <c r="B279" s="263"/>
      <c r="C279" s="269"/>
      <c r="D279" s="269"/>
      <c r="E279" s="269"/>
      <c r="F279" s="270"/>
      <c r="G279" s="266"/>
      <c r="H279" s="262"/>
      <c r="I279" s="272"/>
      <c r="J279" s="269"/>
      <c r="K279" s="269"/>
      <c r="L279" s="269"/>
      <c r="M279" s="270"/>
      <c r="N279" s="186"/>
      <c r="O279" s="186"/>
      <c r="P279" s="186"/>
    </row>
    <row r="280" spans="1:16" x14ac:dyDescent="0.25">
      <c r="A280" s="654" t="s">
        <v>303</v>
      </c>
      <c r="B280" s="256">
        <v>1</v>
      </c>
      <c r="C280" s="257">
        <f>C9</f>
        <v>35</v>
      </c>
      <c r="D280" s="257">
        <f t="shared" ref="D280:F280" si="182">D9</f>
        <v>0</v>
      </c>
      <c r="E280" s="257">
        <f t="shared" si="182"/>
        <v>-0.1</v>
      </c>
      <c r="F280" s="257">
        <f t="shared" si="182"/>
        <v>0.05</v>
      </c>
      <c r="G280" s="186"/>
      <c r="H280" s="655" t="s">
        <v>303</v>
      </c>
      <c r="I280" s="256">
        <v>1</v>
      </c>
      <c r="J280" s="257">
        <f>I20</f>
        <v>70</v>
      </c>
      <c r="K280" s="257">
        <f t="shared" ref="K280:M280" si="183">J20</f>
        <v>-1.1000000000000001</v>
      </c>
      <c r="L280" s="257">
        <f t="shared" si="183"/>
        <v>-1</v>
      </c>
      <c r="M280" s="257">
        <f t="shared" si="183"/>
        <v>5.0000000000000044E-2</v>
      </c>
      <c r="N280" s="186"/>
      <c r="O280" s="186"/>
      <c r="P280" s="186"/>
    </row>
    <row r="281" spans="1:16" x14ac:dyDescent="0.25">
      <c r="A281" s="654"/>
      <c r="B281" s="256">
        <v>2</v>
      </c>
      <c r="C281" s="257">
        <f>C20</f>
        <v>35</v>
      </c>
      <c r="D281" s="257">
        <f t="shared" ref="D281:F281" si="184">D20</f>
        <v>-0.3</v>
      </c>
      <c r="E281" s="257">
        <f t="shared" si="184"/>
        <v>-1.6</v>
      </c>
      <c r="F281" s="257">
        <f t="shared" si="184"/>
        <v>0.65</v>
      </c>
      <c r="G281" s="186"/>
      <c r="H281" s="655"/>
      <c r="I281" s="256">
        <v>2</v>
      </c>
      <c r="J281" s="257">
        <f>I20</f>
        <v>70</v>
      </c>
      <c r="K281" s="257">
        <f t="shared" ref="K281:M281" si="185">J20</f>
        <v>-1.1000000000000001</v>
      </c>
      <c r="L281" s="257">
        <f t="shared" si="185"/>
        <v>-1</v>
      </c>
      <c r="M281" s="257">
        <f t="shared" si="185"/>
        <v>5.0000000000000044E-2</v>
      </c>
      <c r="N281" s="186"/>
      <c r="O281" s="186"/>
      <c r="P281" s="186"/>
    </row>
    <row r="282" spans="1:16" x14ac:dyDescent="0.25">
      <c r="A282" s="654"/>
      <c r="B282" s="256">
        <v>3</v>
      </c>
      <c r="C282" s="257">
        <f>C31</f>
        <v>35</v>
      </c>
      <c r="D282" s="257">
        <f t="shared" ref="D282:F282" si="186">D31</f>
        <v>-0.5</v>
      </c>
      <c r="E282" s="257">
        <f t="shared" si="186"/>
        <v>-0.4</v>
      </c>
      <c r="F282" s="257">
        <f t="shared" si="186"/>
        <v>4.9999999999999989E-2</v>
      </c>
      <c r="G282" s="186"/>
      <c r="H282" s="655"/>
      <c r="I282" s="256">
        <v>3</v>
      </c>
      <c r="J282" s="257">
        <f>I31</f>
        <v>70</v>
      </c>
      <c r="K282" s="257">
        <f t="shared" ref="K282:M282" si="187">J31</f>
        <v>-3.6</v>
      </c>
      <c r="L282" s="257">
        <f t="shared" si="187"/>
        <v>-1.6</v>
      </c>
      <c r="M282" s="257">
        <f t="shared" si="187"/>
        <v>1</v>
      </c>
      <c r="N282" s="186"/>
      <c r="O282" s="186"/>
      <c r="P282" s="186"/>
    </row>
    <row r="283" spans="1:16" x14ac:dyDescent="0.25">
      <c r="A283" s="654"/>
      <c r="B283" s="256">
        <v>4</v>
      </c>
      <c r="C283" s="257">
        <f>C42</f>
        <v>35</v>
      </c>
      <c r="D283" s="257">
        <f t="shared" ref="D283:F283" si="188">D42</f>
        <v>-0.6</v>
      </c>
      <c r="E283" s="257">
        <f t="shared" si="188"/>
        <v>-1.5</v>
      </c>
      <c r="F283" s="257">
        <f t="shared" si="188"/>
        <v>0.45</v>
      </c>
      <c r="G283" s="186"/>
      <c r="H283" s="655"/>
      <c r="I283" s="256">
        <v>4</v>
      </c>
      <c r="J283" s="257">
        <f>I42</f>
        <v>70</v>
      </c>
      <c r="K283" s="257">
        <f t="shared" ref="K283:M283" si="189">J42</f>
        <v>0.7</v>
      </c>
      <c r="L283" s="257">
        <f t="shared" si="189"/>
        <v>-0.7</v>
      </c>
      <c r="M283" s="257">
        <f t="shared" si="189"/>
        <v>0.7</v>
      </c>
      <c r="N283" s="186"/>
      <c r="O283" s="186"/>
      <c r="P283" s="186"/>
    </row>
    <row r="284" spans="1:16" x14ac:dyDescent="0.25">
      <c r="A284" s="654"/>
      <c r="B284" s="256">
        <v>5</v>
      </c>
      <c r="C284" s="257">
        <f>C53</f>
        <v>35</v>
      </c>
      <c r="D284" s="257">
        <f t="shared" ref="D284:F284" si="190">D53</f>
        <v>0.7</v>
      </c>
      <c r="E284" s="257">
        <f t="shared" si="190"/>
        <v>0</v>
      </c>
      <c r="F284" s="257">
        <f t="shared" si="190"/>
        <v>0.35</v>
      </c>
      <c r="G284" s="186"/>
      <c r="H284" s="655"/>
      <c r="I284" s="256">
        <v>5</v>
      </c>
      <c r="J284" s="257">
        <f>I53</f>
        <v>70</v>
      </c>
      <c r="K284" s="257">
        <f t="shared" ref="K284:M284" si="191">J53</f>
        <v>-4.0999999999999996</v>
      </c>
      <c r="L284" s="257">
        <f t="shared" si="191"/>
        <v>-2.1</v>
      </c>
      <c r="M284" s="257">
        <f t="shared" si="191"/>
        <v>0.99999999999999978</v>
      </c>
      <c r="N284" s="186"/>
      <c r="O284" s="186"/>
      <c r="P284" s="186"/>
    </row>
    <row r="285" spans="1:16" x14ac:dyDescent="0.25">
      <c r="A285" s="654"/>
      <c r="B285" s="256">
        <v>6</v>
      </c>
      <c r="C285" s="257">
        <f>C64</f>
        <v>35</v>
      </c>
      <c r="D285" s="257">
        <f t="shared" ref="D285:F285" si="192">D64</f>
        <v>0.1</v>
      </c>
      <c r="E285" s="257">
        <f t="shared" si="192"/>
        <v>-0.9</v>
      </c>
      <c r="F285" s="257">
        <f t="shared" si="192"/>
        <v>0.5</v>
      </c>
      <c r="G285" s="186"/>
      <c r="H285" s="655"/>
      <c r="I285" s="256">
        <v>6</v>
      </c>
      <c r="J285" s="257">
        <f>I64</f>
        <v>70</v>
      </c>
      <c r="K285" s="257">
        <f t="shared" ref="K285:M285" si="193">J64</f>
        <v>-6.7</v>
      </c>
      <c r="L285" s="257">
        <f t="shared" si="193"/>
        <v>-2.1</v>
      </c>
      <c r="M285" s="257">
        <f t="shared" si="193"/>
        <v>2.2999999999999998</v>
      </c>
      <c r="N285" s="186"/>
      <c r="O285" s="186"/>
      <c r="P285" s="186"/>
    </row>
    <row r="286" spans="1:16" x14ac:dyDescent="0.25">
      <c r="A286" s="654"/>
      <c r="B286" s="256">
        <v>7</v>
      </c>
      <c r="C286" s="257">
        <f>C75</f>
        <v>35</v>
      </c>
      <c r="D286" s="257">
        <f t="shared" ref="D286:F286" si="194">D75</f>
        <v>-1.1000000000000001</v>
      </c>
      <c r="E286" s="257">
        <f t="shared" si="194"/>
        <v>-0.1</v>
      </c>
      <c r="F286" s="257">
        <f t="shared" si="194"/>
        <v>0.5</v>
      </c>
      <c r="G286" s="186"/>
      <c r="H286" s="655"/>
      <c r="I286" s="256">
        <v>7</v>
      </c>
      <c r="J286" s="257">
        <f>I75</f>
        <v>70</v>
      </c>
      <c r="K286" s="257">
        <f t="shared" ref="K286:M286" si="195">J75</f>
        <v>0.9</v>
      </c>
      <c r="L286" s="257">
        <f t="shared" si="195"/>
        <v>2.8</v>
      </c>
      <c r="M286" s="257">
        <f t="shared" si="195"/>
        <v>0.95</v>
      </c>
      <c r="N286" s="186"/>
      <c r="O286" s="186"/>
      <c r="P286" s="186"/>
    </row>
    <row r="287" spans="1:16" x14ac:dyDescent="0.25">
      <c r="A287" s="654"/>
      <c r="B287" s="256">
        <v>8</v>
      </c>
      <c r="C287" s="257">
        <f>C86</f>
        <v>35</v>
      </c>
      <c r="D287" s="257">
        <f t="shared" ref="D287:F287" si="196">D86</f>
        <v>-0.1</v>
      </c>
      <c r="E287" s="257">
        <f t="shared" si="196"/>
        <v>-0.5</v>
      </c>
      <c r="F287" s="257">
        <f t="shared" si="196"/>
        <v>0.2</v>
      </c>
      <c r="G287" s="186"/>
      <c r="H287" s="655"/>
      <c r="I287" s="256">
        <v>8</v>
      </c>
      <c r="J287" s="257">
        <f>I86</f>
        <v>70</v>
      </c>
      <c r="K287" s="257">
        <f t="shared" ref="K287:M287" si="197">J86</f>
        <v>-6.5</v>
      </c>
      <c r="L287" s="257">
        <f t="shared" si="197"/>
        <v>-1.2</v>
      </c>
      <c r="M287" s="257">
        <f t="shared" si="197"/>
        <v>2.65</v>
      </c>
      <c r="N287" s="186"/>
      <c r="O287" s="186"/>
      <c r="P287" s="186"/>
    </row>
    <row r="288" spans="1:16" x14ac:dyDescent="0.25">
      <c r="A288" s="654"/>
      <c r="B288" s="256">
        <v>9</v>
      </c>
      <c r="C288" s="257">
        <f>C97</f>
        <v>35</v>
      </c>
      <c r="D288" s="257">
        <f t="shared" ref="D288:F288" si="198">D97</f>
        <v>-0.5</v>
      </c>
      <c r="E288" s="257" t="str">
        <f t="shared" si="198"/>
        <v>-</v>
      </c>
      <c r="F288" s="257">
        <f t="shared" si="198"/>
        <v>0</v>
      </c>
      <c r="G288" s="186"/>
      <c r="H288" s="655"/>
      <c r="I288" s="256">
        <v>9</v>
      </c>
      <c r="J288" s="257">
        <f>I97</f>
        <v>70</v>
      </c>
      <c r="K288" s="257">
        <f t="shared" ref="K288:M288" si="199">J97</f>
        <v>-0.6</v>
      </c>
      <c r="L288" s="257" t="str">
        <f t="shared" si="199"/>
        <v>-</v>
      </c>
      <c r="M288" s="257">
        <f t="shared" si="199"/>
        <v>0</v>
      </c>
      <c r="N288" s="186"/>
      <c r="O288" s="186"/>
      <c r="P288" s="186"/>
    </row>
    <row r="289" spans="1:16" x14ac:dyDescent="0.25">
      <c r="A289" s="654"/>
      <c r="B289" s="256">
        <v>10</v>
      </c>
      <c r="C289" s="257">
        <f>C108</f>
        <v>35</v>
      </c>
      <c r="D289" s="257">
        <f t="shared" ref="D289:F289" si="200">D108</f>
        <v>0.2</v>
      </c>
      <c r="E289" s="257">
        <f t="shared" si="200"/>
        <v>0.8</v>
      </c>
      <c r="F289" s="257">
        <f t="shared" si="200"/>
        <v>0.30000000000000004</v>
      </c>
      <c r="G289" s="186"/>
      <c r="H289" s="655"/>
      <c r="I289" s="256">
        <v>10</v>
      </c>
      <c r="J289" s="257">
        <f>I108</f>
        <v>70</v>
      </c>
      <c r="K289" s="257">
        <f t="shared" ref="K289:M289" si="201">J108</f>
        <v>-0.3</v>
      </c>
      <c r="L289" s="257">
        <f t="shared" si="201"/>
        <v>-5.0999999999999996</v>
      </c>
      <c r="M289" s="257">
        <f t="shared" si="201"/>
        <v>2.4</v>
      </c>
      <c r="N289" s="186"/>
      <c r="O289" s="186"/>
      <c r="P289" s="186"/>
    </row>
    <row r="290" spans="1:16" x14ac:dyDescent="0.25">
      <c r="A290" s="654"/>
      <c r="B290" s="256">
        <v>11</v>
      </c>
      <c r="C290" s="257">
        <f>C119</f>
        <v>35</v>
      </c>
      <c r="D290" s="257">
        <f t="shared" ref="D290:F290" si="202">D119</f>
        <v>0.5</v>
      </c>
      <c r="E290" s="257" t="str">
        <f t="shared" si="202"/>
        <v>-</v>
      </c>
      <c r="F290" s="257">
        <f t="shared" si="202"/>
        <v>0</v>
      </c>
      <c r="G290" s="186"/>
      <c r="H290" s="655"/>
      <c r="I290" s="256">
        <v>11</v>
      </c>
      <c r="J290" s="257">
        <f>I119</f>
        <v>70</v>
      </c>
      <c r="K290" s="257">
        <f t="shared" ref="K290:M290" si="203">J119</f>
        <v>-3.4</v>
      </c>
      <c r="L290" s="257" t="str">
        <f t="shared" si="203"/>
        <v>-</v>
      </c>
      <c r="M290" s="257">
        <f t="shared" si="203"/>
        <v>0</v>
      </c>
      <c r="N290" s="186"/>
      <c r="O290" s="186"/>
      <c r="P290" s="186"/>
    </row>
    <row r="291" spans="1:16" x14ac:dyDescent="0.25">
      <c r="A291" s="654"/>
      <c r="B291" s="256">
        <v>12</v>
      </c>
      <c r="C291" s="257">
        <f>C130</f>
        <v>35</v>
      </c>
      <c r="D291" s="257">
        <f t="shared" ref="D291:F291" si="204">D130</f>
        <v>0.5</v>
      </c>
      <c r="E291" s="257">
        <f t="shared" si="204"/>
        <v>0.8</v>
      </c>
      <c r="F291" s="257">
        <f t="shared" si="204"/>
        <v>0.15000000000000002</v>
      </c>
      <c r="G291" s="186"/>
      <c r="H291" s="655"/>
      <c r="I291" s="256">
        <v>12</v>
      </c>
      <c r="J291" s="257">
        <f>I130</f>
        <v>70</v>
      </c>
      <c r="K291" s="257">
        <f t="shared" ref="K291:M291" si="205">J130</f>
        <v>-1.6</v>
      </c>
      <c r="L291" s="257">
        <f t="shared" si="205"/>
        <v>-0.7</v>
      </c>
      <c r="M291" s="257">
        <f t="shared" si="205"/>
        <v>0.45000000000000007</v>
      </c>
      <c r="N291" s="186"/>
      <c r="O291" s="186"/>
      <c r="P291" s="186"/>
    </row>
    <row r="292" spans="1:16" x14ac:dyDescent="0.25">
      <c r="A292" s="654"/>
      <c r="B292" s="256">
        <v>13</v>
      </c>
      <c r="C292" s="257">
        <f>C141</f>
        <v>35</v>
      </c>
      <c r="D292" s="257">
        <f t="shared" ref="D292:F292" si="206">D141</f>
        <v>0.3</v>
      </c>
      <c r="E292" s="257">
        <f t="shared" si="206"/>
        <v>-0.6</v>
      </c>
      <c r="F292" s="257">
        <f t="shared" si="206"/>
        <v>0.44999999999999996</v>
      </c>
      <c r="G292" s="186"/>
      <c r="H292" s="655"/>
      <c r="I292" s="256">
        <v>13</v>
      </c>
      <c r="J292" s="257">
        <f>I141</f>
        <v>70</v>
      </c>
      <c r="K292" s="257">
        <f t="shared" ref="K292:M292" si="207">J141</f>
        <v>-0.6</v>
      </c>
      <c r="L292" s="257">
        <f t="shared" si="207"/>
        <v>0.7</v>
      </c>
      <c r="M292" s="257">
        <f t="shared" si="207"/>
        <v>0.64999999999999991</v>
      </c>
      <c r="N292" s="186"/>
      <c r="O292" s="186"/>
      <c r="P292" s="186"/>
    </row>
    <row r="293" spans="1:16" x14ac:dyDescent="0.25">
      <c r="A293" s="654"/>
      <c r="B293" s="256">
        <v>14</v>
      </c>
      <c r="C293" s="257">
        <f>C152</f>
        <v>35</v>
      </c>
      <c r="D293" s="257">
        <f t="shared" ref="D293:F293" si="208">D152</f>
        <v>0.5</v>
      </c>
      <c r="E293" s="257">
        <f t="shared" si="208"/>
        <v>-0.2</v>
      </c>
      <c r="F293" s="257">
        <f t="shared" si="208"/>
        <v>0.35</v>
      </c>
      <c r="G293" s="186"/>
      <c r="H293" s="655"/>
      <c r="I293" s="256">
        <v>14</v>
      </c>
      <c r="J293" s="257">
        <f>I152</f>
        <v>70</v>
      </c>
      <c r="K293" s="257">
        <f t="shared" ref="K293:M293" si="209">J152</f>
        <v>-1.4</v>
      </c>
      <c r="L293" s="257">
        <f t="shared" si="209"/>
        <v>-2.2999999999999998</v>
      </c>
      <c r="M293" s="257">
        <f t="shared" si="209"/>
        <v>0.44999999999999996</v>
      </c>
      <c r="N293" s="186"/>
      <c r="O293" s="186"/>
      <c r="P293" s="186"/>
    </row>
    <row r="294" spans="1:16" x14ac:dyDescent="0.25">
      <c r="A294" s="654"/>
      <c r="B294" s="256">
        <v>15</v>
      </c>
      <c r="C294" s="257">
        <f>C163</f>
        <v>35</v>
      </c>
      <c r="D294" s="257">
        <f t="shared" ref="D294:F294" si="210">D163</f>
        <v>-0.5</v>
      </c>
      <c r="E294" s="257" t="str">
        <f t="shared" si="210"/>
        <v>-</v>
      </c>
      <c r="F294" s="257">
        <f t="shared" si="210"/>
        <v>0</v>
      </c>
      <c r="G294" s="186"/>
      <c r="H294" s="655"/>
      <c r="I294" s="256">
        <v>15</v>
      </c>
      <c r="J294" s="257">
        <f>I163</f>
        <v>70</v>
      </c>
      <c r="K294" s="257">
        <f t="shared" ref="K294:M294" si="211">J163</f>
        <v>-0.3</v>
      </c>
      <c r="L294" s="257" t="str">
        <f t="shared" si="211"/>
        <v>-</v>
      </c>
      <c r="M294" s="257">
        <f t="shared" si="211"/>
        <v>0</v>
      </c>
      <c r="N294" s="186"/>
      <c r="O294" s="186"/>
      <c r="P294" s="186"/>
    </row>
    <row r="295" spans="1:16" x14ac:dyDescent="0.25">
      <c r="A295" s="654"/>
      <c r="B295" s="256">
        <v>16</v>
      </c>
      <c r="C295" s="257">
        <f>C174</f>
        <v>35</v>
      </c>
      <c r="D295" s="257">
        <f t="shared" ref="D295:F295" si="212">D174</f>
        <v>0.1</v>
      </c>
      <c r="E295" s="257" t="str">
        <f t="shared" si="212"/>
        <v>-</v>
      </c>
      <c r="F295" s="257">
        <f t="shared" si="212"/>
        <v>0</v>
      </c>
      <c r="G295" s="186"/>
      <c r="H295" s="655"/>
      <c r="I295" s="256">
        <v>16</v>
      </c>
      <c r="J295" s="257">
        <f>I174</f>
        <v>70</v>
      </c>
      <c r="K295" s="257">
        <f t="shared" ref="K295:M295" si="213">J174</f>
        <v>-1.8</v>
      </c>
      <c r="L295" s="257" t="str">
        <f t="shared" si="213"/>
        <v>-</v>
      </c>
      <c r="M295" s="257">
        <f t="shared" si="213"/>
        <v>0</v>
      </c>
      <c r="N295" s="186"/>
      <c r="O295" s="186"/>
      <c r="P295" s="186"/>
    </row>
    <row r="296" spans="1:16" x14ac:dyDescent="0.25">
      <c r="A296" s="654"/>
      <c r="B296" s="256">
        <v>17</v>
      </c>
      <c r="C296" s="257">
        <f>C185</f>
        <v>35</v>
      </c>
      <c r="D296" s="257">
        <f t="shared" ref="D296:F296" si="214">D185</f>
        <v>-0.3</v>
      </c>
      <c r="E296" s="257" t="str">
        <f t="shared" si="214"/>
        <v>-</v>
      </c>
      <c r="F296" s="257">
        <f t="shared" si="214"/>
        <v>0</v>
      </c>
      <c r="G296" s="186"/>
      <c r="H296" s="655"/>
      <c r="I296" s="256">
        <v>17</v>
      </c>
      <c r="J296" s="257">
        <f>I185</f>
        <v>70</v>
      </c>
      <c r="K296" s="257">
        <f t="shared" ref="K296:M296" si="215">J185</f>
        <v>-0.3</v>
      </c>
      <c r="L296" s="257" t="str">
        <f t="shared" si="215"/>
        <v>-</v>
      </c>
      <c r="M296" s="257">
        <f t="shared" si="215"/>
        <v>0</v>
      </c>
      <c r="N296" s="186"/>
      <c r="O296" s="186"/>
      <c r="P296" s="186"/>
    </row>
    <row r="297" spans="1:16" x14ac:dyDescent="0.25">
      <c r="A297" s="654"/>
      <c r="B297" s="256">
        <v>18</v>
      </c>
      <c r="C297" s="257">
        <f>C196</f>
        <v>35</v>
      </c>
      <c r="D297" s="257">
        <f t="shared" ref="D297:F297" si="216">D196</f>
        <v>-0.2</v>
      </c>
      <c r="E297" s="257" t="str">
        <f t="shared" si="216"/>
        <v>-</v>
      </c>
      <c r="F297" s="257">
        <f t="shared" si="216"/>
        <v>0</v>
      </c>
      <c r="G297" s="186"/>
      <c r="H297" s="655"/>
      <c r="I297" s="256">
        <v>18</v>
      </c>
      <c r="J297" s="257">
        <f>I196</f>
        <v>70</v>
      </c>
      <c r="K297" s="257">
        <f t="shared" ref="K297:M297" si="217">J196</f>
        <v>-0.1</v>
      </c>
      <c r="L297" s="257" t="str">
        <f t="shared" si="217"/>
        <v>-</v>
      </c>
      <c r="M297" s="257">
        <f t="shared" si="217"/>
        <v>0</v>
      </c>
      <c r="N297" s="186"/>
      <c r="O297" s="186"/>
      <c r="P297" s="186"/>
    </row>
    <row r="298" spans="1:16" x14ac:dyDescent="0.25">
      <c r="A298" s="262"/>
      <c r="B298" s="263"/>
      <c r="C298" s="269"/>
      <c r="D298" s="269"/>
      <c r="E298" s="269"/>
      <c r="F298" s="270"/>
      <c r="G298" s="266"/>
      <c r="H298" s="262"/>
      <c r="I298" s="263"/>
      <c r="J298" s="269"/>
      <c r="K298" s="269"/>
      <c r="L298" s="269"/>
      <c r="M298" s="270"/>
      <c r="N298" s="186"/>
      <c r="O298" s="186"/>
      <c r="P298" s="186"/>
    </row>
    <row r="299" spans="1:16" x14ac:dyDescent="0.25">
      <c r="A299" s="654" t="s">
        <v>304</v>
      </c>
      <c r="B299" s="256">
        <v>1</v>
      </c>
      <c r="C299" s="257">
        <f>C10</f>
        <v>37</v>
      </c>
      <c r="D299" s="257">
        <f t="shared" ref="D299:F299" si="218">D10</f>
        <v>0.1</v>
      </c>
      <c r="E299" s="257">
        <f t="shared" si="218"/>
        <v>-0.2</v>
      </c>
      <c r="F299" s="257">
        <f t="shared" si="218"/>
        <v>0.15000000000000002</v>
      </c>
      <c r="G299" s="186"/>
      <c r="H299" s="655" t="s">
        <v>304</v>
      </c>
      <c r="I299" s="256">
        <v>1</v>
      </c>
      <c r="J299" s="257">
        <f>I10</f>
        <v>80</v>
      </c>
      <c r="K299" s="257">
        <f t="shared" ref="K299:M299" si="219">J10</f>
        <v>-0.7</v>
      </c>
      <c r="L299" s="257">
        <f t="shared" si="219"/>
        <v>-1.6</v>
      </c>
      <c r="M299" s="257">
        <f t="shared" si="219"/>
        <v>0.45000000000000007</v>
      </c>
      <c r="N299" s="186"/>
      <c r="O299" s="186"/>
      <c r="P299" s="186"/>
    </row>
    <row r="300" spans="1:16" x14ac:dyDescent="0.25">
      <c r="A300" s="654"/>
      <c r="B300" s="256">
        <v>2</v>
      </c>
      <c r="C300" s="257">
        <f>C21</f>
        <v>37</v>
      </c>
      <c r="D300" s="257">
        <f t="shared" ref="D300:F300" si="220">D21</f>
        <v>-0.3</v>
      </c>
      <c r="E300" s="257">
        <f t="shared" si="220"/>
        <v>-1.8</v>
      </c>
      <c r="F300" s="257">
        <f t="shared" si="220"/>
        <v>0.75</v>
      </c>
      <c r="G300" s="186"/>
      <c r="H300" s="655"/>
      <c r="I300" s="256">
        <v>2</v>
      </c>
      <c r="J300" s="257">
        <f>I21</f>
        <v>80</v>
      </c>
      <c r="K300" s="257">
        <f t="shared" ref="K300:M300" si="221">J21</f>
        <v>-0.7</v>
      </c>
      <c r="L300" s="257">
        <f t="shared" si="221"/>
        <v>-0.4</v>
      </c>
      <c r="M300" s="257">
        <f t="shared" si="221"/>
        <v>0.14999999999999997</v>
      </c>
      <c r="N300" s="186"/>
      <c r="O300" s="186"/>
      <c r="P300" s="186"/>
    </row>
    <row r="301" spans="1:16" x14ac:dyDescent="0.25">
      <c r="A301" s="654"/>
      <c r="B301" s="256">
        <v>3</v>
      </c>
      <c r="C301" s="257">
        <f>C32</f>
        <v>37</v>
      </c>
      <c r="D301" s="257">
        <f t="shared" ref="D301:F301" si="222">D32</f>
        <v>-0.6</v>
      </c>
      <c r="E301" s="257">
        <f t="shared" si="222"/>
        <v>-0.5</v>
      </c>
      <c r="F301" s="257">
        <f t="shared" si="222"/>
        <v>4.9999999999999989E-2</v>
      </c>
      <c r="G301" s="186"/>
      <c r="H301" s="655"/>
      <c r="I301" s="256">
        <v>3</v>
      </c>
      <c r="J301" s="257">
        <f>I32</f>
        <v>80</v>
      </c>
      <c r="K301" s="257">
        <f t="shared" ref="K301:M301" si="223">J32</f>
        <v>-2.9</v>
      </c>
      <c r="L301" s="257">
        <f t="shared" si="223"/>
        <v>-0.6</v>
      </c>
      <c r="M301" s="257">
        <f t="shared" si="223"/>
        <v>1.1499999999999999</v>
      </c>
      <c r="N301" s="186"/>
      <c r="O301" s="186"/>
      <c r="P301" s="186"/>
    </row>
    <row r="302" spans="1:16" x14ac:dyDescent="0.25">
      <c r="A302" s="654"/>
      <c r="B302" s="256">
        <v>4</v>
      </c>
      <c r="C302" s="257">
        <f>C43</f>
        <v>37</v>
      </c>
      <c r="D302" s="257">
        <f t="shared" ref="D302:F302" si="224">D43</f>
        <v>-0.6</v>
      </c>
      <c r="E302" s="257">
        <f t="shared" si="224"/>
        <v>-1.8</v>
      </c>
      <c r="F302" s="257">
        <f t="shared" si="224"/>
        <v>0.60000000000000009</v>
      </c>
      <c r="G302" s="186"/>
      <c r="H302" s="655"/>
      <c r="I302" s="256">
        <v>4</v>
      </c>
      <c r="J302" s="257">
        <f>I43</f>
        <v>80</v>
      </c>
      <c r="K302" s="257">
        <f t="shared" ref="K302:M302" si="225">J43</f>
        <v>1.9</v>
      </c>
      <c r="L302" s="257">
        <f t="shared" si="225"/>
        <v>-0.4</v>
      </c>
      <c r="M302" s="257">
        <f t="shared" si="225"/>
        <v>1.1499999999999999</v>
      </c>
      <c r="N302" s="186"/>
      <c r="O302" s="186"/>
      <c r="P302" s="186"/>
    </row>
    <row r="303" spans="1:16" x14ac:dyDescent="0.25">
      <c r="A303" s="654"/>
      <c r="B303" s="256">
        <v>5</v>
      </c>
      <c r="C303" s="257">
        <f>C54</f>
        <v>37</v>
      </c>
      <c r="D303" s="257">
        <f t="shared" ref="D303:F303" si="226">D54</f>
        <v>0.7</v>
      </c>
      <c r="E303" s="257">
        <f t="shared" si="226"/>
        <v>0</v>
      </c>
      <c r="F303" s="257">
        <f t="shared" si="226"/>
        <v>0.35</v>
      </c>
      <c r="G303" s="186"/>
      <c r="H303" s="655"/>
      <c r="I303" s="256">
        <v>5</v>
      </c>
      <c r="J303" s="257">
        <f>I54</f>
        <v>80</v>
      </c>
      <c r="K303" s="257">
        <f t="shared" ref="K303:M303" si="227">J54</f>
        <v>-3</v>
      </c>
      <c r="L303" s="257">
        <f t="shared" si="227"/>
        <v>0.2</v>
      </c>
      <c r="M303" s="257">
        <f t="shared" si="227"/>
        <v>1.6</v>
      </c>
      <c r="N303" s="186"/>
      <c r="O303" s="186"/>
      <c r="P303" s="186"/>
    </row>
    <row r="304" spans="1:16" x14ac:dyDescent="0.25">
      <c r="A304" s="654"/>
      <c r="B304" s="256">
        <v>6</v>
      </c>
      <c r="C304" s="257">
        <f>C65</f>
        <v>37</v>
      </c>
      <c r="D304" s="257">
        <f t="shared" ref="D304:F304" si="228">D65</f>
        <v>0.1</v>
      </c>
      <c r="E304" s="257">
        <f t="shared" si="228"/>
        <v>-1.1000000000000001</v>
      </c>
      <c r="F304" s="257">
        <f t="shared" si="228"/>
        <v>0.60000000000000009</v>
      </c>
      <c r="G304" s="186"/>
      <c r="H304" s="655"/>
      <c r="I304" s="256">
        <v>6</v>
      </c>
      <c r="J304" s="257">
        <f>I65</f>
        <v>80</v>
      </c>
      <c r="K304" s="257">
        <f t="shared" ref="K304:M304" si="229">J65</f>
        <v>-6.3</v>
      </c>
      <c r="L304" s="257">
        <f t="shared" si="229"/>
        <v>-2.6</v>
      </c>
      <c r="M304" s="257">
        <f t="shared" si="229"/>
        <v>1.8499999999999999</v>
      </c>
      <c r="N304" s="186"/>
      <c r="O304" s="186"/>
      <c r="P304" s="186"/>
    </row>
    <row r="305" spans="1:16" x14ac:dyDescent="0.25">
      <c r="A305" s="654"/>
      <c r="B305" s="256">
        <v>7</v>
      </c>
      <c r="C305" s="257">
        <f>C76</f>
        <v>37</v>
      </c>
      <c r="D305" s="257">
        <f t="shared" ref="D305:F305" si="230">D76</f>
        <v>-1.4</v>
      </c>
      <c r="E305" s="257">
        <f t="shared" si="230"/>
        <v>-0.1</v>
      </c>
      <c r="F305" s="257">
        <f t="shared" si="230"/>
        <v>0.64999999999999991</v>
      </c>
      <c r="G305" s="186"/>
      <c r="H305" s="655"/>
      <c r="I305" s="256">
        <v>7</v>
      </c>
      <c r="J305" s="257">
        <f>I76</f>
        <v>80</v>
      </c>
      <c r="K305" s="257">
        <f t="shared" ref="K305:M305" si="231">J76</f>
        <v>1.2</v>
      </c>
      <c r="L305" s="257">
        <f t="shared" si="231"/>
        <v>4.4000000000000004</v>
      </c>
      <c r="M305" s="257">
        <f t="shared" si="231"/>
        <v>1.6</v>
      </c>
      <c r="N305" s="186"/>
      <c r="O305" s="186"/>
      <c r="P305" s="186"/>
    </row>
    <row r="306" spans="1:16" x14ac:dyDescent="0.25">
      <c r="A306" s="654"/>
      <c r="B306" s="256">
        <v>8</v>
      </c>
      <c r="C306" s="257">
        <f>C87</f>
        <v>37</v>
      </c>
      <c r="D306" s="257">
        <f t="shared" ref="D306:F306" si="232">D87</f>
        <v>-0.1</v>
      </c>
      <c r="E306" s="257">
        <f t="shared" si="232"/>
        <v>-0.5</v>
      </c>
      <c r="F306" s="257">
        <f t="shared" si="232"/>
        <v>0.2</v>
      </c>
      <c r="G306" s="186"/>
      <c r="H306" s="655"/>
      <c r="I306" s="256">
        <v>8</v>
      </c>
      <c r="J306" s="257">
        <f>I87</f>
        <v>80</v>
      </c>
      <c r="K306" s="257">
        <f t="shared" ref="K306:M306" si="233">J87</f>
        <v>-7.6</v>
      </c>
      <c r="L306" s="257">
        <f t="shared" si="233"/>
        <v>-1.2</v>
      </c>
      <c r="M306" s="257">
        <f t="shared" si="233"/>
        <v>3.1999999999999997</v>
      </c>
      <c r="N306" s="186"/>
      <c r="O306" s="186"/>
      <c r="P306" s="186"/>
    </row>
    <row r="307" spans="1:16" x14ac:dyDescent="0.25">
      <c r="A307" s="654"/>
      <c r="B307" s="256">
        <v>9</v>
      </c>
      <c r="C307" s="257">
        <f>C98</f>
        <v>37</v>
      </c>
      <c r="D307" s="257">
        <f t="shared" ref="D307:F307" si="234">D98</f>
        <v>-0.5</v>
      </c>
      <c r="E307" s="257" t="str">
        <f t="shared" si="234"/>
        <v>-</v>
      </c>
      <c r="F307" s="257">
        <f t="shared" si="234"/>
        <v>0</v>
      </c>
      <c r="G307" s="186"/>
      <c r="H307" s="655"/>
      <c r="I307" s="256">
        <v>9</v>
      </c>
      <c r="J307" s="257">
        <f>I98</f>
        <v>80</v>
      </c>
      <c r="K307" s="257">
        <f t="shared" ref="K307:M307" si="235">J98</f>
        <v>-0.5</v>
      </c>
      <c r="L307" s="257" t="str">
        <f t="shared" si="235"/>
        <v>-</v>
      </c>
      <c r="M307" s="257">
        <f t="shared" si="235"/>
        <v>0</v>
      </c>
      <c r="N307" s="186"/>
      <c r="O307" s="186"/>
      <c r="P307" s="186"/>
    </row>
    <row r="308" spans="1:16" x14ac:dyDescent="0.25">
      <c r="A308" s="654"/>
      <c r="B308" s="256">
        <v>10</v>
      </c>
      <c r="C308" s="257">
        <f>C109</f>
        <v>37</v>
      </c>
      <c r="D308" s="257">
        <f t="shared" ref="D308:F308" si="236">D109</f>
        <v>0.2</v>
      </c>
      <c r="E308" s="257">
        <f t="shared" si="236"/>
        <v>0.4</v>
      </c>
      <c r="F308" s="257">
        <f t="shared" si="236"/>
        <v>0.1</v>
      </c>
      <c r="G308" s="186"/>
      <c r="H308" s="655"/>
      <c r="I308" s="256">
        <v>10</v>
      </c>
      <c r="J308" s="257">
        <f>I109</f>
        <v>80</v>
      </c>
      <c r="K308" s="257">
        <f t="shared" ref="K308:M308" si="237">J109</f>
        <v>2.2000000000000002</v>
      </c>
      <c r="L308" s="257">
        <f t="shared" si="237"/>
        <v>-4.7</v>
      </c>
      <c r="M308" s="257">
        <f t="shared" si="237"/>
        <v>3.45</v>
      </c>
      <c r="N308" s="186"/>
      <c r="O308" s="186"/>
      <c r="P308" s="186"/>
    </row>
    <row r="309" spans="1:16" x14ac:dyDescent="0.25">
      <c r="A309" s="654"/>
      <c r="B309" s="256">
        <v>11</v>
      </c>
      <c r="C309" s="257">
        <f>C120</f>
        <v>37</v>
      </c>
      <c r="D309" s="257">
        <f t="shared" ref="D309:F309" si="238">D120</f>
        <v>0.5</v>
      </c>
      <c r="E309" s="257" t="str">
        <f t="shared" si="238"/>
        <v>-</v>
      </c>
      <c r="F309" s="257">
        <f t="shared" si="238"/>
        <v>0</v>
      </c>
      <c r="G309" s="186"/>
      <c r="H309" s="655"/>
      <c r="I309" s="256">
        <v>11</v>
      </c>
      <c r="J309" s="257">
        <f>I120</f>
        <v>80</v>
      </c>
      <c r="K309" s="257">
        <f t="shared" ref="K309:M309" si="239">J120</f>
        <v>-1.4</v>
      </c>
      <c r="L309" s="257" t="str">
        <f t="shared" si="239"/>
        <v>-</v>
      </c>
      <c r="M309" s="257">
        <f t="shared" si="239"/>
        <v>0</v>
      </c>
      <c r="N309" s="186"/>
      <c r="O309" s="186"/>
      <c r="P309" s="186"/>
    </row>
    <row r="310" spans="1:16" x14ac:dyDescent="0.25">
      <c r="A310" s="654"/>
      <c r="B310" s="256">
        <v>12</v>
      </c>
      <c r="C310" s="257">
        <f>C131</f>
        <v>37</v>
      </c>
      <c r="D310" s="257">
        <f t="shared" ref="D310:F310" si="240">D131</f>
        <v>0.5</v>
      </c>
      <c r="E310" s="257">
        <f t="shared" si="240"/>
        <v>1</v>
      </c>
      <c r="F310" s="257">
        <f t="shared" si="240"/>
        <v>0.25</v>
      </c>
      <c r="G310" s="186"/>
      <c r="H310" s="655"/>
      <c r="I310" s="256">
        <v>12</v>
      </c>
      <c r="J310" s="257">
        <f>I131</f>
        <v>80</v>
      </c>
      <c r="K310" s="257">
        <f t="shared" ref="K310:M310" si="241">J131</f>
        <v>-7.0000000000000007E-2</v>
      </c>
      <c r="L310" s="257">
        <f t="shared" si="241"/>
        <v>-0.4</v>
      </c>
      <c r="M310" s="257">
        <f t="shared" si="241"/>
        <v>0.16500000000000001</v>
      </c>
      <c r="N310" s="186"/>
      <c r="O310" s="186"/>
      <c r="P310" s="186"/>
    </row>
    <row r="311" spans="1:16" x14ac:dyDescent="0.25">
      <c r="A311" s="654"/>
      <c r="B311" s="256">
        <v>13</v>
      </c>
      <c r="C311" s="257">
        <f>C142</f>
        <v>37</v>
      </c>
      <c r="D311" s="257">
        <f t="shared" ref="D311:F311" si="242">D142</f>
        <v>0.4</v>
      </c>
      <c r="E311" s="257">
        <f t="shared" si="242"/>
        <v>-0.7</v>
      </c>
      <c r="F311" s="257">
        <f t="shared" si="242"/>
        <v>0.55000000000000004</v>
      </c>
      <c r="G311" s="186"/>
      <c r="H311" s="655"/>
      <c r="I311" s="256">
        <v>13</v>
      </c>
      <c r="J311" s="257">
        <f>I142</f>
        <v>80</v>
      </c>
      <c r="K311" s="257">
        <f t="shared" ref="K311:M311" si="243">J142</f>
        <v>0.6</v>
      </c>
      <c r="L311" s="257">
        <f t="shared" si="243"/>
        <v>1.1000000000000001</v>
      </c>
      <c r="M311" s="257">
        <f t="shared" si="243"/>
        <v>0.25000000000000006</v>
      </c>
      <c r="N311" s="186"/>
      <c r="O311" s="186"/>
      <c r="P311" s="186"/>
    </row>
    <row r="312" spans="1:16" x14ac:dyDescent="0.25">
      <c r="A312" s="654"/>
      <c r="B312" s="256">
        <v>14</v>
      </c>
      <c r="C312" s="257">
        <f>C153</f>
        <v>37</v>
      </c>
      <c r="D312" s="257">
        <f t="shared" ref="D312:F312" si="244">D153</f>
        <v>0.6</v>
      </c>
      <c r="E312" s="257">
        <f t="shared" si="244"/>
        <v>-0.2</v>
      </c>
      <c r="F312" s="257">
        <f t="shared" si="244"/>
        <v>0.4</v>
      </c>
      <c r="G312" s="186"/>
      <c r="H312" s="655"/>
      <c r="I312" s="256">
        <v>14</v>
      </c>
      <c r="J312" s="257">
        <f>I153</f>
        <v>80</v>
      </c>
      <c r="K312" s="257">
        <f t="shared" ref="K312:M312" si="245">J153</f>
        <v>-1.2</v>
      </c>
      <c r="L312" s="257">
        <f t="shared" si="245"/>
        <v>-1.5</v>
      </c>
      <c r="M312" s="257">
        <f t="shared" si="245"/>
        <v>0.15000000000000002</v>
      </c>
      <c r="N312" s="186"/>
      <c r="O312" s="186"/>
      <c r="P312" s="186"/>
    </row>
    <row r="313" spans="1:16" x14ac:dyDescent="0.25">
      <c r="A313" s="654"/>
      <c r="B313" s="256">
        <v>15</v>
      </c>
      <c r="C313" s="257">
        <f>C164</f>
        <v>37</v>
      </c>
      <c r="D313" s="257">
        <f t="shared" ref="D313:F313" si="246">D164</f>
        <v>-0.6</v>
      </c>
      <c r="E313" s="257" t="str">
        <f t="shared" si="246"/>
        <v>-</v>
      </c>
      <c r="F313" s="257">
        <f t="shared" si="246"/>
        <v>0</v>
      </c>
      <c r="G313" s="186"/>
      <c r="H313" s="655"/>
      <c r="I313" s="256">
        <v>15</v>
      </c>
      <c r="J313" s="257">
        <f>I164</f>
        <v>80</v>
      </c>
      <c r="K313" s="257">
        <f t="shared" ref="K313:M313" si="247">J164</f>
        <v>-0.8</v>
      </c>
      <c r="L313" s="257" t="str">
        <f t="shared" si="247"/>
        <v>-</v>
      </c>
      <c r="M313" s="257">
        <f t="shared" si="247"/>
        <v>0</v>
      </c>
      <c r="N313" s="186"/>
      <c r="O313" s="186"/>
      <c r="P313" s="186"/>
    </row>
    <row r="314" spans="1:16" x14ac:dyDescent="0.25">
      <c r="A314" s="654"/>
      <c r="B314" s="256">
        <v>16</v>
      </c>
      <c r="C314" s="257">
        <f>C175</f>
        <v>37</v>
      </c>
      <c r="D314" s="257">
        <f t="shared" ref="D314:F314" si="248">D175</f>
        <v>0</v>
      </c>
      <c r="E314" s="257" t="str">
        <f t="shared" si="248"/>
        <v>-</v>
      </c>
      <c r="F314" s="257">
        <f t="shared" si="248"/>
        <v>0</v>
      </c>
      <c r="G314" s="186"/>
      <c r="H314" s="655"/>
      <c r="I314" s="256">
        <v>16</v>
      </c>
      <c r="J314" s="257">
        <f>I175</f>
        <v>80</v>
      </c>
      <c r="K314" s="257">
        <f t="shared" ref="K314:M314" si="249">J175</f>
        <v>-2.2999999999999998</v>
      </c>
      <c r="L314" s="257" t="str">
        <f t="shared" si="249"/>
        <v>-</v>
      </c>
      <c r="M314" s="257">
        <f t="shared" si="249"/>
        <v>0</v>
      </c>
      <c r="N314" s="186"/>
      <c r="O314" s="186"/>
      <c r="P314" s="186"/>
    </row>
    <row r="315" spans="1:16" x14ac:dyDescent="0.25">
      <c r="A315" s="654"/>
      <c r="B315" s="256">
        <v>17</v>
      </c>
      <c r="C315" s="257">
        <f>C186</f>
        <v>37</v>
      </c>
      <c r="D315" s="257">
        <f t="shared" ref="D315:F315" si="250">D186</f>
        <v>-0.3</v>
      </c>
      <c r="E315" s="257" t="str">
        <f t="shared" si="250"/>
        <v>-</v>
      </c>
      <c r="F315" s="257">
        <f t="shared" si="250"/>
        <v>0</v>
      </c>
      <c r="G315" s="186"/>
      <c r="H315" s="655"/>
      <c r="I315" s="256">
        <v>17</v>
      </c>
      <c r="J315" s="257">
        <f>I186</f>
        <v>80</v>
      </c>
      <c r="K315" s="257">
        <f t="shared" ref="K315:M315" si="251">J186</f>
        <v>-0.5</v>
      </c>
      <c r="L315" s="257" t="str">
        <f t="shared" si="251"/>
        <v>-</v>
      </c>
      <c r="M315" s="257">
        <f t="shared" si="251"/>
        <v>0</v>
      </c>
      <c r="N315" s="257"/>
      <c r="O315" s="186"/>
      <c r="P315" s="186"/>
    </row>
    <row r="316" spans="1:16" x14ac:dyDescent="0.25">
      <c r="A316" s="654"/>
      <c r="B316" s="256">
        <v>18</v>
      </c>
      <c r="C316" s="257">
        <f>C197</f>
        <v>37</v>
      </c>
      <c r="D316" s="257">
        <f t="shared" ref="D316:F316" si="252">D197</f>
        <v>-0.3</v>
      </c>
      <c r="E316" s="257" t="str">
        <f t="shared" si="252"/>
        <v>-</v>
      </c>
      <c r="F316" s="257">
        <f t="shared" si="252"/>
        <v>0</v>
      </c>
      <c r="G316" s="186"/>
      <c r="H316" s="655"/>
      <c r="I316" s="256">
        <v>18</v>
      </c>
      <c r="J316" s="257">
        <f>I197</f>
        <v>80</v>
      </c>
      <c r="K316" s="257">
        <f t="shared" ref="K316:M316" si="253">J197</f>
        <v>-0.5</v>
      </c>
      <c r="L316" s="257" t="str">
        <f t="shared" si="253"/>
        <v>-</v>
      </c>
      <c r="M316" s="257">
        <f t="shared" si="253"/>
        <v>0</v>
      </c>
      <c r="N316" s="186"/>
      <c r="O316" s="186"/>
      <c r="P316" s="186"/>
    </row>
    <row r="317" spans="1:16" x14ac:dyDescent="0.25">
      <c r="A317" s="262"/>
      <c r="B317" s="263"/>
      <c r="C317" s="269"/>
      <c r="D317" s="269"/>
      <c r="E317" s="269"/>
      <c r="F317" s="270"/>
      <c r="G317" s="266"/>
      <c r="H317" s="273"/>
      <c r="I317" s="263"/>
      <c r="J317" s="269"/>
      <c r="K317" s="269"/>
      <c r="L317" s="269"/>
      <c r="M317" s="270"/>
      <c r="N317" s="186"/>
      <c r="O317" s="186"/>
      <c r="P317" s="186"/>
    </row>
    <row r="318" spans="1:16" x14ac:dyDescent="0.25">
      <c r="A318" s="654" t="s">
        <v>305</v>
      </c>
      <c r="B318" s="256">
        <v>1</v>
      </c>
      <c r="C318" s="257">
        <f>C11</f>
        <v>40</v>
      </c>
      <c r="D318" s="257">
        <f t="shared" ref="D318:F318" si="254">D11</f>
        <v>0.3</v>
      </c>
      <c r="E318" s="257">
        <f t="shared" si="254"/>
        <v>-0.3</v>
      </c>
      <c r="F318" s="257">
        <f t="shared" si="254"/>
        <v>0.3</v>
      </c>
      <c r="G318" s="186"/>
      <c r="H318" s="655" t="s">
        <v>305</v>
      </c>
      <c r="I318" s="256">
        <v>1</v>
      </c>
      <c r="J318" s="257">
        <f>I11</f>
        <v>90</v>
      </c>
      <c r="K318" s="257">
        <f t="shared" ref="K318:M318" si="255">J11</f>
        <v>4</v>
      </c>
      <c r="L318" s="257">
        <f t="shared" si="255"/>
        <v>0.3</v>
      </c>
      <c r="M318" s="257">
        <f t="shared" si="255"/>
        <v>1.85</v>
      </c>
      <c r="N318" s="186"/>
      <c r="O318" s="186"/>
      <c r="P318" s="186"/>
    </row>
    <row r="319" spans="1:16" x14ac:dyDescent="0.25">
      <c r="A319" s="654"/>
      <c r="B319" s="256">
        <v>2</v>
      </c>
      <c r="C319" s="257">
        <f>C22</f>
        <v>40</v>
      </c>
      <c r="D319" s="257">
        <f t="shared" ref="D319:F319" si="256">D22</f>
        <v>-0.3</v>
      </c>
      <c r="E319" s="257">
        <f t="shared" si="256"/>
        <v>-2.1</v>
      </c>
      <c r="F319" s="257">
        <f t="shared" si="256"/>
        <v>0.9</v>
      </c>
      <c r="G319" s="186"/>
      <c r="H319" s="655"/>
      <c r="I319" s="256">
        <v>2</v>
      </c>
      <c r="J319" s="257">
        <f>I22</f>
        <v>90</v>
      </c>
      <c r="K319" s="257">
        <f t="shared" ref="K319:M319" si="257">J22</f>
        <v>-0.3</v>
      </c>
      <c r="L319" s="257">
        <f t="shared" si="257"/>
        <v>0.6</v>
      </c>
      <c r="M319" s="257">
        <f t="shared" si="257"/>
        <v>0.44999999999999996</v>
      </c>
      <c r="N319" s="186"/>
      <c r="O319" s="186"/>
      <c r="P319" s="186"/>
    </row>
    <row r="320" spans="1:16" x14ac:dyDescent="0.25">
      <c r="A320" s="654"/>
      <c r="B320" s="256">
        <v>3</v>
      </c>
      <c r="C320" s="257">
        <f>C33</f>
        <v>40</v>
      </c>
      <c r="D320" s="257">
        <f t="shared" ref="D320:F320" si="258">D33</f>
        <v>-0.7</v>
      </c>
      <c r="E320" s="257">
        <f t="shared" si="258"/>
        <v>-0.5</v>
      </c>
      <c r="F320" s="257">
        <f t="shared" si="258"/>
        <v>9.9999999999999978E-2</v>
      </c>
      <c r="G320" s="186"/>
      <c r="H320" s="655"/>
      <c r="I320" s="256">
        <v>3</v>
      </c>
      <c r="J320" s="257">
        <f>I33</f>
        <v>90</v>
      </c>
      <c r="K320" s="257">
        <f t="shared" ref="K320:M320" si="259">J33</f>
        <v>-2</v>
      </c>
      <c r="L320" s="257">
        <f t="shared" si="259"/>
        <v>0.9</v>
      </c>
      <c r="M320" s="257">
        <f t="shared" si="259"/>
        <v>1.45</v>
      </c>
      <c r="N320" s="186"/>
      <c r="O320" s="186"/>
      <c r="P320" s="186"/>
    </row>
    <row r="321" spans="1:16" x14ac:dyDescent="0.25">
      <c r="A321" s="654"/>
      <c r="B321" s="256">
        <v>4</v>
      </c>
      <c r="C321" s="257">
        <f>C44</f>
        <v>40</v>
      </c>
      <c r="D321" s="257">
        <f t="shared" ref="D321:F321" si="260">D44</f>
        <v>-0.6</v>
      </c>
      <c r="E321" s="257">
        <f t="shared" si="260"/>
        <v>-2.1</v>
      </c>
      <c r="F321" s="257">
        <f t="shared" si="260"/>
        <v>0.75</v>
      </c>
      <c r="G321" s="186"/>
      <c r="H321" s="655"/>
      <c r="I321" s="256">
        <v>4</v>
      </c>
      <c r="J321" s="257">
        <f>I44</f>
        <v>90</v>
      </c>
      <c r="K321" s="257">
        <f t="shared" ref="K321:M321" si="261">J44</f>
        <v>3.3</v>
      </c>
      <c r="L321" s="257">
        <f t="shared" si="261"/>
        <v>0.2</v>
      </c>
      <c r="M321" s="257">
        <f t="shared" si="261"/>
        <v>1.5499999999999998</v>
      </c>
      <c r="N321" s="186"/>
      <c r="O321" s="186"/>
      <c r="P321" s="186"/>
    </row>
    <row r="322" spans="1:16" x14ac:dyDescent="0.25">
      <c r="A322" s="654"/>
      <c r="B322" s="256">
        <v>5</v>
      </c>
      <c r="C322" s="257">
        <f>C55</f>
        <v>40</v>
      </c>
      <c r="D322" s="257">
        <f t="shared" ref="D322:F322" si="262">D55</f>
        <v>0.7</v>
      </c>
      <c r="E322" s="257">
        <f t="shared" si="262"/>
        <v>-0.1</v>
      </c>
      <c r="F322" s="257">
        <f t="shared" si="262"/>
        <v>0.39999999999999997</v>
      </c>
      <c r="G322" s="186"/>
      <c r="H322" s="655"/>
      <c r="I322" s="256">
        <v>5</v>
      </c>
      <c r="J322" s="257">
        <f>I55</f>
        <v>90</v>
      </c>
      <c r="K322" s="257">
        <f t="shared" ref="K322:M322" si="263">J55</f>
        <v>-1.8</v>
      </c>
      <c r="L322" s="257">
        <f t="shared" si="263"/>
        <v>2.7</v>
      </c>
      <c r="M322" s="257">
        <f t="shared" si="263"/>
        <v>2.25</v>
      </c>
      <c r="N322" s="186"/>
      <c r="O322" s="186"/>
      <c r="P322" s="186"/>
    </row>
    <row r="323" spans="1:16" x14ac:dyDescent="0.25">
      <c r="A323" s="654"/>
      <c r="B323" s="256">
        <v>6</v>
      </c>
      <c r="C323" s="257">
        <f>C66</f>
        <v>40</v>
      </c>
      <c r="D323" s="257">
        <f t="shared" ref="D323:F323" si="264">D66</f>
        <v>0.1</v>
      </c>
      <c r="E323" s="257">
        <f t="shared" si="264"/>
        <v>-1.4</v>
      </c>
      <c r="F323" s="257">
        <f t="shared" si="264"/>
        <v>0.75</v>
      </c>
      <c r="G323" s="186"/>
      <c r="H323" s="655"/>
      <c r="I323" s="256">
        <v>6</v>
      </c>
      <c r="J323" s="257">
        <f>I66</f>
        <v>90</v>
      </c>
      <c r="K323" s="257">
        <f t="shared" ref="K323:M323" si="265">J66</f>
        <v>-5.2</v>
      </c>
      <c r="L323" s="257">
        <f t="shared" si="265"/>
        <v>-2.6</v>
      </c>
      <c r="M323" s="257">
        <f t="shared" si="265"/>
        <v>1.3</v>
      </c>
      <c r="N323" s="186"/>
      <c r="O323" s="186"/>
      <c r="P323" s="186"/>
    </row>
    <row r="324" spans="1:16" x14ac:dyDescent="0.25">
      <c r="A324" s="654"/>
      <c r="B324" s="256">
        <v>7</v>
      </c>
      <c r="C324" s="257">
        <f>C77</f>
        <v>40</v>
      </c>
      <c r="D324" s="257">
        <f t="shared" ref="D324:F324" si="266">D77</f>
        <v>-1.7</v>
      </c>
      <c r="E324" s="257">
        <f t="shared" si="266"/>
        <v>-0.1</v>
      </c>
      <c r="F324" s="257">
        <f t="shared" si="266"/>
        <v>0.79999999999999993</v>
      </c>
      <c r="G324" s="186"/>
      <c r="H324" s="655"/>
      <c r="I324" s="256">
        <v>7</v>
      </c>
      <c r="J324" s="257">
        <f>I77</f>
        <v>90</v>
      </c>
      <c r="K324" s="257">
        <f t="shared" ref="K324:M324" si="267">J77</f>
        <v>1.8</v>
      </c>
      <c r="L324" s="257">
        <f t="shared" si="267"/>
        <v>4.4000000000000004</v>
      </c>
      <c r="M324" s="257">
        <f t="shared" si="267"/>
        <v>1.3000000000000003</v>
      </c>
      <c r="N324" s="186"/>
      <c r="O324" s="186"/>
      <c r="P324" s="186"/>
    </row>
    <row r="325" spans="1:16" x14ac:dyDescent="0.25">
      <c r="A325" s="654"/>
      <c r="B325" s="256">
        <v>8</v>
      </c>
      <c r="C325" s="257">
        <f>C88</f>
        <v>40</v>
      </c>
      <c r="D325" s="257">
        <f t="shared" ref="D325:F325" si="268">D88</f>
        <v>-0.1</v>
      </c>
      <c r="E325" s="257">
        <f t="shared" si="268"/>
        <v>-0.4</v>
      </c>
      <c r="F325" s="257">
        <f t="shared" si="268"/>
        <v>0.15000000000000002</v>
      </c>
      <c r="G325" s="186"/>
      <c r="H325" s="655"/>
      <c r="I325" s="256">
        <v>8</v>
      </c>
      <c r="J325" s="257">
        <f>I88</f>
        <v>90</v>
      </c>
      <c r="K325" s="257">
        <f t="shared" ref="K325:M325" si="269">J88</f>
        <v>-9.1</v>
      </c>
      <c r="L325" s="257">
        <f t="shared" si="269"/>
        <v>-1.3</v>
      </c>
      <c r="M325" s="257">
        <f t="shared" si="269"/>
        <v>3.9</v>
      </c>
      <c r="N325" s="186"/>
      <c r="O325" s="186"/>
      <c r="P325" s="186"/>
    </row>
    <row r="326" spans="1:16" x14ac:dyDescent="0.25">
      <c r="A326" s="654"/>
      <c r="B326" s="256">
        <v>9</v>
      </c>
      <c r="C326" s="257">
        <f>C99</f>
        <v>40</v>
      </c>
      <c r="D326" s="257">
        <f t="shared" ref="D326:F326" si="270">D99</f>
        <v>-0.4</v>
      </c>
      <c r="E326" s="257" t="str">
        <f t="shared" si="270"/>
        <v>-</v>
      </c>
      <c r="F326" s="257">
        <f t="shared" si="270"/>
        <v>0</v>
      </c>
      <c r="G326" s="186"/>
      <c r="H326" s="655"/>
      <c r="I326" s="256">
        <v>9</v>
      </c>
      <c r="J326" s="257">
        <f>I99</f>
        <v>90</v>
      </c>
      <c r="K326" s="257">
        <f t="shared" ref="K326:M326" si="271">J99</f>
        <v>-0.2</v>
      </c>
      <c r="L326" s="257" t="str">
        <f t="shared" si="271"/>
        <v>-</v>
      </c>
      <c r="M326" s="257">
        <f t="shared" si="271"/>
        <v>0</v>
      </c>
      <c r="N326" s="186"/>
      <c r="O326" s="186"/>
      <c r="P326" s="186"/>
    </row>
    <row r="327" spans="1:16" x14ac:dyDescent="0.25">
      <c r="A327" s="654"/>
      <c r="B327" s="256">
        <v>10</v>
      </c>
      <c r="C327" s="257">
        <f>C110</f>
        <v>40</v>
      </c>
      <c r="D327" s="257">
        <f t="shared" ref="D327:F327" si="272">D110</f>
        <v>0.2</v>
      </c>
      <c r="E327" s="257">
        <f t="shared" si="272"/>
        <v>0</v>
      </c>
      <c r="F327" s="257">
        <f t="shared" si="272"/>
        <v>0.1</v>
      </c>
      <c r="G327" s="186"/>
      <c r="H327" s="655"/>
      <c r="I327" s="256">
        <v>10</v>
      </c>
      <c r="J327" s="257">
        <f>I110</f>
        <v>90</v>
      </c>
      <c r="K327" s="257">
        <f t="shared" ref="K327:M327" si="273">J110</f>
        <v>5.4</v>
      </c>
      <c r="L327" s="257">
        <f t="shared" si="273"/>
        <v>0</v>
      </c>
      <c r="M327" s="257">
        <f t="shared" si="273"/>
        <v>2.7</v>
      </c>
      <c r="N327" s="186"/>
      <c r="O327" s="186"/>
      <c r="P327" s="186"/>
    </row>
    <row r="328" spans="1:16" x14ac:dyDescent="0.25">
      <c r="A328" s="654"/>
      <c r="B328" s="256">
        <v>11</v>
      </c>
      <c r="C328" s="257">
        <f>C121</f>
        <v>40</v>
      </c>
      <c r="D328" s="257">
        <f t="shared" ref="D328:F328" si="274">D121</f>
        <v>0.5</v>
      </c>
      <c r="E328" s="257" t="str">
        <f t="shared" si="274"/>
        <v>-</v>
      </c>
      <c r="F328" s="257">
        <f t="shared" si="274"/>
        <v>0</v>
      </c>
      <c r="G328" s="186"/>
      <c r="H328" s="655"/>
      <c r="I328" s="256">
        <v>11</v>
      </c>
      <c r="J328" s="257">
        <f>I121</f>
        <v>90</v>
      </c>
      <c r="K328" s="257">
        <f t="shared" ref="K328:M328" si="275">J121</f>
        <v>1.3</v>
      </c>
      <c r="L328" s="257" t="str">
        <f t="shared" si="275"/>
        <v>-</v>
      </c>
      <c r="M328" s="257">
        <f t="shared" si="275"/>
        <v>0</v>
      </c>
      <c r="N328" s="186"/>
      <c r="O328" s="186"/>
      <c r="P328" s="186"/>
    </row>
    <row r="329" spans="1:16" x14ac:dyDescent="0.25">
      <c r="A329" s="654"/>
      <c r="B329" s="256">
        <v>12</v>
      </c>
      <c r="C329" s="257">
        <f>C132</f>
        <v>40</v>
      </c>
      <c r="D329" s="257">
        <f t="shared" ref="D329:F329" si="276">D132</f>
        <v>0.6</v>
      </c>
      <c r="E329" s="257">
        <f t="shared" si="276"/>
        <v>1.4</v>
      </c>
      <c r="F329" s="257">
        <f t="shared" si="276"/>
        <v>0.39999999999999997</v>
      </c>
      <c r="G329" s="186"/>
      <c r="H329" s="655"/>
      <c r="I329" s="256">
        <v>12</v>
      </c>
      <c r="J329" s="257">
        <f>I132</f>
        <v>90</v>
      </c>
      <c r="K329" s="257">
        <f t="shared" ref="K329:M329" si="277">J132</f>
        <v>0.1</v>
      </c>
      <c r="L329" s="257">
        <f t="shared" si="277"/>
        <v>-0.1</v>
      </c>
      <c r="M329" s="257">
        <f t="shared" si="277"/>
        <v>0.1</v>
      </c>
      <c r="N329" s="186"/>
      <c r="O329" s="186"/>
      <c r="P329" s="186"/>
    </row>
    <row r="330" spans="1:16" x14ac:dyDescent="0.25">
      <c r="A330" s="654"/>
      <c r="B330" s="256">
        <v>13</v>
      </c>
      <c r="C330" s="257">
        <f>C143</f>
        <v>40</v>
      </c>
      <c r="D330" s="257">
        <f t="shared" ref="D330:F330" si="278">D143</f>
        <v>0.4</v>
      </c>
      <c r="E330" s="257">
        <f t="shared" si="278"/>
        <v>-0.8</v>
      </c>
      <c r="F330" s="257">
        <f t="shared" si="278"/>
        <v>0.60000000000000009</v>
      </c>
      <c r="G330" s="186"/>
      <c r="H330" s="655"/>
      <c r="I330" s="256">
        <v>13</v>
      </c>
      <c r="J330" s="257">
        <f>I143</f>
        <v>90</v>
      </c>
      <c r="K330" s="257">
        <f t="shared" ref="K330:M330" si="279">J143</f>
        <v>1.9</v>
      </c>
      <c r="L330" s="257">
        <f t="shared" si="279"/>
        <v>1.5</v>
      </c>
      <c r="M330" s="257">
        <f t="shared" si="279"/>
        <v>0.19999999999999996</v>
      </c>
      <c r="N330" s="186"/>
      <c r="O330" s="186"/>
      <c r="P330" s="186"/>
    </row>
    <row r="331" spans="1:16" x14ac:dyDescent="0.25">
      <c r="A331" s="654"/>
      <c r="B331" s="256">
        <v>14</v>
      </c>
      <c r="C331" s="257">
        <f>C154</f>
        <v>40</v>
      </c>
      <c r="D331" s="257">
        <f t="shared" ref="D331:F331" si="280">D154</f>
        <v>0.7</v>
      </c>
      <c r="E331" s="257">
        <f t="shared" si="280"/>
        <v>-0.2</v>
      </c>
      <c r="F331" s="257">
        <f t="shared" si="280"/>
        <v>0.44999999999999996</v>
      </c>
      <c r="G331" s="186"/>
      <c r="H331" s="655"/>
      <c r="I331" s="256">
        <v>14</v>
      </c>
      <c r="J331" s="257">
        <f>I154</f>
        <v>90</v>
      </c>
      <c r="K331" s="257">
        <f t="shared" ref="K331:M331" si="281">J154</f>
        <v>-1</v>
      </c>
      <c r="L331" s="257">
        <f t="shared" si="281"/>
        <v>-0.4</v>
      </c>
      <c r="M331" s="257">
        <f t="shared" si="281"/>
        <v>0.3</v>
      </c>
      <c r="N331" s="186"/>
      <c r="O331" s="186"/>
      <c r="P331" s="186"/>
    </row>
    <row r="332" spans="1:16" x14ac:dyDescent="0.25">
      <c r="A332" s="654"/>
      <c r="B332" s="256">
        <v>15</v>
      </c>
      <c r="C332" s="257">
        <f>C165</f>
        <v>40</v>
      </c>
      <c r="D332" s="257">
        <f t="shared" ref="D332:F332" si="282">D165</f>
        <v>-0.8</v>
      </c>
      <c r="E332" s="257" t="str">
        <f t="shared" si="282"/>
        <v>-</v>
      </c>
      <c r="F332" s="257">
        <f t="shared" si="282"/>
        <v>0</v>
      </c>
      <c r="G332" s="186"/>
      <c r="H332" s="655"/>
      <c r="I332" s="256">
        <v>15</v>
      </c>
      <c r="J332" s="257">
        <f>I165</f>
        <v>90</v>
      </c>
      <c r="K332" s="257">
        <f t="shared" ref="K332:M332" si="283">J165</f>
        <v>-1.4</v>
      </c>
      <c r="L332" s="257" t="str">
        <f t="shared" si="283"/>
        <v>-</v>
      </c>
      <c r="M332" s="257">
        <f t="shared" si="283"/>
        <v>0</v>
      </c>
      <c r="N332" s="186"/>
      <c r="O332" s="186"/>
      <c r="P332" s="186"/>
    </row>
    <row r="333" spans="1:16" x14ac:dyDescent="0.25">
      <c r="A333" s="654"/>
      <c r="B333" s="256">
        <v>16</v>
      </c>
      <c r="C333" s="257">
        <f>C176</f>
        <v>40</v>
      </c>
      <c r="D333" s="257">
        <f t="shared" ref="D333:F333" si="284">D176</f>
        <v>0</v>
      </c>
      <c r="E333" s="257" t="str">
        <f t="shared" si="284"/>
        <v>-</v>
      </c>
      <c r="F333" s="257">
        <f t="shared" si="284"/>
        <v>0</v>
      </c>
      <c r="G333" s="186"/>
      <c r="H333" s="655"/>
      <c r="I333" s="256">
        <v>16</v>
      </c>
      <c r="J333" s="257">
        <f>I176</f>
        <v>90</v>
      </c>
      <c r="K333" s="257">
        <f t="shared" ref="K333:M333" si="285">J176</f>
        <v>-3</v>
      </c>
      <c r="L333" s="257" t="str">
        <f t="shared" si="285"/>
        <v>-</v>
      </c>
      <c r="M333" s="257">
        <f t="shared" si="285"/>
        <v>0</v>
      </c>
      <c r="N333" s="186"/>
      <c r="O333" s="186"/>
      <c r="P333" s="186"/>
    </row>
    <row r="334" spans="1:16" x14ac:dyDescent="0.25">
      <c r="A334" s="654"/>
      <c r="B334" s="256">
        <v>17</v>
      </c>
      <c r="C334" s="257">
        <f>C187</f>
        <v>40</v>
      </c>
      <c r="D334" s="257">
        <f t="shared" ref="D334:F334" si="286">D187</f>
        <v>-0.4</v>
      </c>
      <c r="E334" s="257" t="str">
        <f t="shared" si="286"/>
        <v>-</v>
      </c>
      <c r="F334" s="257">
        <f t="shared" si="286"/>
        <v>0</v>
      </c>
      <c r="G334" s="186"/>
      <c r="H334" s="655"/>
      <c r="I334" s="256">
        <v>17</v>
      </c>
      <c r="J334" s="257">
        <f>I187</f>
        <v>90</v>
      </c>
      <c r="K334" s="257">
        <f t="shared" ref="K334:M334" si="287">J187</f>
        <v>-0.8</v>
      </c>
      <c r="L334" s="257" t="str">
        <f t="shared" si="287"/>
        <v>-</v>
      </c>
      <c r="M334" s="257">
        <f t="shared" si="287"/>
        <v>0</v>
      </c>
      <c r="N334" s="186"/>
      <c r="O334" s="186"/>
      <c r="P334" s="186"/>
    </row>
    <row r="335" spans="1:16" x14ac:dyDescent="0.25">
      <c r="A335" s="654"/>
      <c r="B335" s="256">
        <v>18</v>
      </c>
      <c r="C335" s="257">
        <f>C198</f>
        <v>40</v>
      </c>
      <c r="D335" s="257">
        <f t="shared" ref="D335:F335" si="288">D198</f>
        <v>-0.4</v>
      </c>
      <c r="E335" s="257" t="str">
        <f t="shared" si="288"/>
        <v>-</v>
      </c>
      <c r="F335" s="257">
        <f t="shared" si="288"/>
        <v>0</v>
      </c>
      <c r="G335" s="186"/>
      <c r="H335" s="655"/>
      <c r="I335" s="256">
        <v>18</v>
      </c>
      <c r="J335" s="257">
        <f>I198</f>
        <v>90</v>
      </c>
      <c r="K335" s="257">
        <f t="shared" ref="K335:M335" si="289">J198</f>
        <v>-0.9</v>
      </c>
      <c r="L335" s="257" t="str">
        <f t="shared" si="289"/>
        <v>-</v>
      </c>
      <c r="M335" s="257">
        <f t="shared" si="289"/>
        <v>0</v>
      </c>
      <c r="N335" s="186"/>
      <c r="O335" s="186"/>
      <c r="P335" s="186"/>
    </row>
    <row r="336" spans="1:16" ht="13.8" thickBot="1" x14ac:dyDescent="0.3">
      <c r="A336" s="274"/>
      <c r="B336" s="275"/>
      <c r="C336" s="266"/>
      <c r="D336" s="266"/>
      <c r="E336" s="266"/>
      <c r="F336" s="266"/>
      <c r="G336" s="266"/>
      <c r="H336" s="186"/>
      <c r="I336" s="276"/>
      <c r="J336" s="275"/>
      <c r="K336" s="266"/>
      <c r="L336" s="266"/>
      <c r="M336" s="266"/>
      <c r="N336" s="266"/>
      <c r="O336" s="266"/>
      <c r="P336" s="186"/>
    </row>
    <row r="337" spans="1:16" ht="29.25" customHeight="1" x14ac:dyDescent="0.25">
      <c r="A337" s="277">
        <f>A375</f>
        <v>1</v>
      </c>
      <c r="B337" s="656" t="str">
        <f>A356</f>
        <v>Thermohygrolight, Merek : KIMO, Model : KH-210-AO, SN : 15062873</v>
      </c>
      <c r="C337" s="656"/>
      <c r="D337" s="657"/>
      <c r="E337" s="278"/>
      <c r="F337" s="277">
        <f>A337</f>
        <v>1</v>
      </c>
      <c r="G337" s="656" t="str">
        <f>B337</f>
        <v>Thermohygrolight, Merek : KIMO, Model : KH-210-AO, SN : 15062873</v>
      </c>
      <c r="H337" s="656"/>
      <c r="I337" s="657"/>
      <c r="J337" s="278"/>
      <c r="K337" s="277">
        <f>A337</f>
        <v>1</v>
      </c>
      <c r="L337" s="644" t="str">
        <f>G337</f>
        <v>Thermohygrolight, Merek : KIMO, Model : KH-210-AO, SN : 15062873</v>
      </c>
      <c r="M337" s="645"/>
      <c r="N337" s="645"/>
      <c r="O337" s="646"/>
      <c r="P337" s="186"/>
    </row>
    <row r="338" spans="1:16" ht="13.8" x14ac:dyDescent="0.25">
      <c r="A338" s="279" t="s">
        <v>274</v>
      </c>
      <c r="B338" s="647" t="s">
        <v>217</v>
      </c>
      <c r="C338" s="647"/>
      <c r="D338" s="648" t="s">
        <v>275</v>
      </c>
      <c r="E338" s="266"/>
      <c r="F338" s="279" t="s">
        <v>276</v>
      </c>
      <c r="G338" s="647" t="s">
        <v>217</v>
      </c>
      <c r="H338" s="647"/>
      <c r="I338" s="648" t="s">
        <v>275</v>
      </c>
      <c r="J338" s="266"/>
      <c r="K338" s="649"/>
      <c r="L338" s="652" t="s">
        <v>306</v>
      </c>
      <c r="M338" s="652" t="s">
        <v>307</v>
      </c>
      <c r="N338" s="652" t="s">
        <v>308</v>
      </c>
      <c r="O338" s="653" t="s">
        <v>219</v>
      </c>
      <c r="P338" s="186"/>
    </row>
    <row r="339" spans="1:16" ht="14.4" x14ac:dyDescent="0.25">
      <c r="A339" s="280" t="s">
        <v>299</v>
      </c>
      <c r="B339" s="281">
        <f>VLOOKUP(B337,A357:K374,9,FALSE)</f>
        <v>2020</v>
      </c>
      <c r="C339" s="281">
        <f>VLOOKUP(B337,A357:K374,10,FALSE)</f>
        <v>2017</v>
      </c>
      <c r="D339" s="648"/>
      <c r="E339" s="266"/>
      <c r="F339" s="282" t="s">
        <v>278</v>
      </c>
      <c r="G339" s="281">
        <f>B339</f>
        <v>2020</v>
      </c>
      <c r="H339" s="281">
        <f>C339</f>
        <v>2017</v>
      </c>
      <c r="I339" s="648"/>
      <c r="J339" s="266"/>
      <c r="K339" s="650"/>
      <c r="L339" s="652"/>
      <c r="M339" s="652"/>
      <c r="N339" s="652"/>
      <c r="O339" s="653"/>
      <c r="P339" s="186"/>
    </row>
    <row r="340" spans="1:16" x14ac:dyDescent="0.25">
      <c r="A340" s="283">
        <f>VLOOKUP($A$337,$B$204:$F$221,2,FALSE)</f>
        <v>15</v>
      </c>
      <c r="B340" s="284">
        <f>VLOOKUP($A$337,$B$204:$F$221,3,FALSE)</f>
        <v>0.3</v>
      </c>
      <c r="C340" s="284">
        <f>VLOOKUP($A$337,$B$204:$F$221,4,FALSE)</f>
        <v>-0.5</v>
      </c>
      <c r="D340" s="285">
        <f>VLOOKUP($A$337,$B$204:$F$221,5,FALSE)</f>
        <v>0.4</v>
      </c>
      <c r="E340" s="266"/>
      <c r="F340" s="283">
        <f>VLOOKUP($F$337,$I$204:$M$221,2,FALSE)</f>
        <v>35</v>
      </c>
      <c r="G340" s="284">
        <f>VLOOKUP($F$337,$I$204:$M$221,3,FALSE)</f>
        <v>-5</v>
      </c>
      <c r="H340" s="284">
        <f>VLOOKUP($F$337,$I$204:$M$221,4,FALSE)</f>
        <v>-6</v>
      </c>
      <c r="I340" s="285">
        <f>VLOOKUP($F$337,$I$204:$M$221,5,FALSE)</f>
        <v>0.5</v>
      </c>
      <c r="J340" s="266"/>
      <c r="K340" s="651"/>
      <c r="L340" s="652"/>
      <c r="M340" s="652"/>
      <c r="N340" s="652"/>
      <c r="O340" s="653"/>
      <c r="P340" s="186"/>
    </row>
    <row r="341" spans="1:16" x14ac:dyDescent="0.25">
      <c r="A341" s="283">
        <f>VLOOKUP($A$337,$B$223:$F$240,2,FALSE)</f>
        <v>20</v>
      </c>
      <c r="B341" s="284">
        <f>VLOOKUP($A$337,$B$223:$F$240,3,FALSE)</f>
        <v>0</v>
      </c>
      <c r="C341" s="284">
        <f>VLOOKUP($A$337,$B$223:$F$240,4,FALSE)</f>
        <v>-0.2</v>
      </c>
      <c r="D341" s="285">
        <f>VLOOKUP($A$337,$B$223:$F$240,5,FALSE)</f>
        <v>0.1</v>
      </c>
      <c r="E341" s="266"/>
      <c r="F341" s="283">
        <f>VLOOKUP($F$337,$I$223:$M$240,2,FALSE)</f>
        <v>40</v>
      </c>
      <c r="G341" s="284">
        <f>VLOOKUP($F$337,$I$223:$M$240,3,FALSE)</f>
        <v>-7.2</v>
      </c>
      <c r="H341" s="284">
        <f>VLOOKUP($F$337,$I$223:$M$240,4,FALSE)</f>
        <v>-8</v>
      </c>
      <c r="I341" s="285">
        <f>VLOOKUP($F$337,$I$223:$M$240,5,FALSE)</f>
        <v>0.39999999999999991</v>
      </c>
      <c r="J341" s="266"/>
      <c r="K341" s="286" t="s">
        <v>274</v>
      </c>
      <c r="L341" s="287">
        <f>ID!F16</f>
        <v>27</v>
      </c>
      <c r="M341" s="288">
        <f>L341+C350</f>
        <v>26.9</v>
      </c>
      <c r="N341" s="288">
        <v>0.70710678118654757</v>
      </c>
      <c r="O341" s="289">
        <f>VLOOKUP(K337,O203:P221,2,(FALSE))</f>
        <v>0.5</v>
      </c>
      <c r="P341" s="290"/>
    </row>
    <row r="342" spans="1:16" ht="13.8" thickBot="1" x14ac:dyDescent="0.3">
      <c r="A342" s="283">
        <f>VLOOKUP($A$337,$B$242:$F$259,2,FALSE)</f>
        <v>25</v>
      </c>
      <c r="B342" s="284">
        <f>VLOOKUP($A$337,$B$242:$F$259,3,FALSE)</f>
        <v>-0.1</v>
      </c>
      <c r="C342" s="284">
        <f>VLOOKUP($A$337,$B$242:$F$259,4,FALSE)</f>
        <v>0</v>
      </c>
      <c r="D342" s="285">
        <f>VLOOKUP($A$337,$B$242:$F$259,5,FALSE)</f>
        <v>0.05</v>
      </c>
      <c r="E342" s="266"/>
      <c r="F342" s="283">
        <f>VLOOKUP($F$337,$I$242:$M$259,2,FALSE)</f>
        <v>50</v>
      </c>
      <c r="G342" s="284">
        <f>VLOOKUP($F$337,$I$242:$M$259,3,FALSE)</f>
        <v>-6.6</v>
      </c>
      <c r="H342" s="284">
        <f>VLOOKUP($F$337,$I$242:$M$259,4,FALSE)</f>
        <v>-5.3</v>
      </c>
      <c r="I342" s="285">
        <f>VLOOKUP($F$337,$I$242:$M$259,5,FALSE)</f>
        <v>0.64999999999999991</v>
      </c>
      <c r="J342" s="266"/>
      <c r="K342" s="291" t="s">
        <v>278</v>
      </c>
      <c r="L342" s="292">
        <f>ID!F17</f>
        <v>69</v>
      </c>
      <c r="M342" s="293">
        <f>L342+H350</f>
        <v>67.41</v>
      </c>
      <c r="N342" s="288">
        <v>0.91923881554250975</v>
      </c>
      <c r="O342" s="294">
        <f>VLOOKUP(K337,O225:P243,2,(FALSE))</f>
        <v>2.6</v>
      </c>
      <c r="P342" s="290"/>
    </row>
    <row r="343" spans="1:16" x14ac:dyDescent="0.25">
      <c r="A343" s="283">
        <f>VLOOKUP($A$337,$B$261:$F$278,2,FALSE)</f>
        <v>30</v>
      </c>
      <c r="B343" s="284">
        <f>VLOOKUP($A$337,$B$261:$F$278,3,FALSE)</f>
        <v>-0.1</v>
      </c>
      <c r="C343" s="284">
        <f>VLOOKUP($A$337,$B$261:$F$278,4,FALSE)</f>
        <v>0</v>
      </c>
      <c r="D343" s="285">
        <f>VLOOKUP($A$337,$B$261:$F$278,5,FALSE)</f>
        <v>0.05</v>
      </c>
      <c r="E343" s="266"/>
      <c r="F343" s="283">
        <f>VLOOKUP($F$337,$I$261:$M$278,2,FALSE)</f>
        <v>60</v>
      </c>
      <c r="G343" s="284">
        <f>VLOOKUP($F$337,$I$261:$M$278,3,FALSE)</f>
        <v>-6</v>
      </c>
      <c r="H343" s="284">
        <f>VLOOKUP($F$337,$I$261:$M$278,4,FALSE)</f>
        <v>-4.4000000000000004</v>
      </c>
      <c r="I343" s="285">
        <f>VLOOKUP($F$337,$I$261:$M$278,5,FALSE)</f>
        <v>0.79999999999999982</v>
      </c>
      <c r="J343" s="266"/>
      <c r="K343" s="266"/>
      <c r="L343" s="295"/>
      <c r="M343" s="296"/>
      <c r="N343" s="295"/>
      <c r="O343" s="297"/>
      <c r="P343" s="290"/>
    </row>
    <row r="344" spans="1:16" ht="13.8" thickBot="1" x14ac:dyDescent="0.3">
      <c r="A344" s="283">
        <f>VLOOKUP($A$337,$B$280:$F$297,2,FALSE)</f>
        <v>35</v>
      </c>
      <c r="B344" s="284">
        <f>VLOOKUP($A$337,$B$280:$F$297,3,FALSE)</f>
        <v>0</v>
      </c>
      <c r="C344" s="284">
        <f>VLOOKUP($A$337,$B$280:$F$297,4,FALSE)</f>
        <v>-0.1</v>
      </c>
      <c r="D344" s="285">
        <f>VLOOKUP($A$337,$B$280:$F$297,5,FALSE)</f>
        <v>0.05</v>
      </c>
      <c r="E344" s="266"/>
      <c r="F344" s="283">
        <f>VLOOKUP($F$337,$I$280:$M$297,2,FALSE)</f>
        <v>70</v>
      </c>
      <c r="G344" s="284">
        <f>VLOOKUP($F$337,$I$280:$M$297,3,FALSE)</f>
        <v>-1.1000000000000001</v>
      </c>
      <c r="H344" s="284">
        <f>VLOOKUP($F$337,$I$280:$M$297,4,FALSE)</f>
        <v>-1</v>
      </c>
      <c r="I344" s="285">
        <f>VLOOKUP($F$337,$I$280:$M$297,5,FALSE)</f>
        <v>5.0000000000000044E-2</v>
      </c>
      <c r="J344" s="266"/>
      <c r="K344" s="266"/>
      <c r="O344" s="298"/>
      <c r="P344" s="290"/>
    </row>
    <row r="345" spans="1:16" ht="13.8" x14ac:dyDescent="0.25">
      <c r="A345" s="283">
        <f>VLOOKUP($A$337,$B$299:$F$316,2,FALSE)</f>
        <v>37</v>
      </c>
      <c r="B345" s="284">
        <f>VLOOKUP($A$337,$B$299:$F$316,3,FALSE)</f>
        <v>0.1</v>
      </c>
      <c r="C345" s="284">
        <f>VLOOKUP($A$337,$B$299:$F$316,4,FALSE)</f>
        <v>-0.2</v>
      </c>
      <c r="D345" s="285">
        <f>VLOOKUP($A$337,$B$299:$F$316,5,FALSE)</f>
        <v>0.15000000000000002</v>
      </c>
      <c r="E345" s="266"/>
      <c r="F345" s="283">
        <f>VLOOKUP($F$337,$I$299:$M$316,2,FALSE)</f>
        <v>80</v>
      </c>
      <c r="G345" s="284">
        <f>VLOOKUP($F$337,$I$299:$M$316,3,FALSE)</f>
        <v>-0.7</v>
      </c>
      <c r="H345" s="284">
        <f>VLOOKUP($F$337,$I$299:$M$316,4,FALSE)</f>
        <v>-1.6</v>
      </c>
      <c r="I345" s="285">
        <f>VLOOKUP($F$337,$I$299:$M$316,5,FALSE)</f>
        <v>0.45000000000000007</v>
      </c>
      <c r="J345" s="266"/>
      <c r="K345" s="630" t="s">
        <v>309</v>
      </c>
      <c r="L345" s="188" t="str">
        <f>M359&amp;M357&amp;N359&amp;N357&amp;O359&amp;O357</f>
        <v>( 26.9 ± 0.5 ) °C</v>
      </c>
      <c r="M345" s="299"/>
      <c r="O345" s="300"/>
      <c r="P345" s="301"/>
    </row>
    <row r="346" spans="1:16" ht="14.4" thickBot="1" x14ac:dyDescent="0.3">
      <c r="A346" s="302">
        <f>VLOOKUP($A$337,$B$318:$F$335,2,FALSE)</f>
        <v>40</v>
      </c>
      <c r="B346" s="303">
        <f>VLOOKUP($A$337,$B$318:$F$335,3,FALSE)</f>
        <v>0.3</v>
      </c>
      <c r="C346" s="303">
        <f>VLOOKUP($A$337,$B$318:$F$335,4,FALSE)</f>
        <v>-0.3</v>
      </c>
      <c r="D346" s="304">
        <f>VLOOKUP($A$337,$B$318:$F$335,5,FALSE)</f>
        <v>0.3</v>
      </c>
      <c r="E346" s="266"/>
      <c r="F346" s="302">
        <f>VLOOKUP($F$337,$I$318:$M$335,2,FALSE)</f>
        <v>90</v>
      </c>
      <c r="G346" s="303">
        <f>VLOOKUP($F$337,$I$318:$M$335,3,FALSE)</f>
        <v>4</v>
      </c>
      <c r="H346" s="303">
        <f>VLOOKUP($F$337,$I$318:$M$335,4,FALSE)</f>
        <v>0.3</v>
      </c>
      <c r="I346" s="304">
        <f>VLOOKUP($F$337,$I$318:$M$335,5,FALSE)</f>
        <v>1.85</v>
      </c>
      <c r="J346" s="266"/>
      <c r="K346" s="631"/>
      <c r="L346" s="201" t="str">
        <f>M359&amp;M358&amp;N359&amp;N358&amp;O359&amp;O358</f>
        <v>( 67.4 ± 2.6 ) %RH</v>
      </c>
      <c r="M346" s="202"/>
      <c r="O346" s="300"/>
      <c r="P346" s="290"/>
    </row>
    <row r="347" spans="1:16" ht="16.2" thickBot="1" x14ac:dyDescent="0.35">
      <c r="A347" s="305"/>
      <c r="B347" s="266"/>
      <c r="C347" s="266"/>
      <c r="D347" s="266"/>
      <c r="E347" s="266"/>
      <c r="F347" s="266"/>
      <c r="G347" s="266"/>
      <c r="H347" s="266"/>
      <c r="I347" s="266"/>
      <c r="J347" s="266"/>
      <c r="K347" s="266"/>
      <c r="O347" s="300"/>
      <c r="P347" s="306"/>
    </row>
    <row r="348" spans="1:16" ht="14.4" thickBot="1" x14ac:dyDescent="0.3">
      <c r="A348" s="632" t="s">
        <v>310</v>
      </c>
      <c r="B348" s="633"/>
      <c r="C348" s="633"/>
      <c r="D348" s="634"/>
      <c r="E348" s="307"/>
      <c r="F348" s="632" t="s">
        <v>311</v>
      </c>
      <c r="G348" s="633"/>
      <c r="H348" s="633"/>
      <c r="I348" s="634"/>
      <c r="J348" s="266"/>
      <c r="K348" s="266"/>
      <c r="L348" s="266"/>
      <c r="M348" s="308"/>
      <c r="N348" s="309"/>
      <c r="O348" s="300"/>
      <c r="P348" s="310"/>
    </row>
    <row r="349" spans="1:16" ht="13.8" x14ac:dyDescent="0.25">
      <c r="A349" s="311"/>
      <c r="B349" s="312">
        <f>IF(A350&lt;=A341,A340,IF(A350&lt;=A342,A341,IF(A350&lt;=A343,A342,IF(A350&lt;=A344,A343,IF(A350&lt;=A345,A344,IF(A350&lt;=A346,A345))))))</f>
        <v>25</v>
      </c>
      <c r="C349" s="312"/>
      <c r="D349" s="313">
        <f>IF(A350&lt;=A341,B340,IF(A350&lt;=A342,B341,IF(A350&lt;=A343,B342,IF(A350&lt;=A344,B343,IF(A350&lt;=A345,B344,IF(A350&lt;=A346,B345))))))</f>
        <v>-0.1</v>
      </c>
      <c r="E349" s="314"/>
      <c r="F349" s="315"/>
      <c r="G349" s="312">
        <f>IF(F350&lt;=F341,F340,IF(F350&lt;=F342,F341,IF(F350&lt;=F343,F342,IF(F350&lt;=F344,F343,IF(F350&lt;=F345,F344,IF(F350&lt;=F346,F345))))))</f>
        <v>60</v>
      </c>
      <c r="H349" s="312"/>
      <c r="I349" s="313">
        <f>IF(F350&lt;=F341,G340,IF(F350&lt;=F342,G341,IF(F350&lt;=F343,G342,IF(F350&lt;=F344,G343,IF(F350&lt;=F345,G344,IF(F350&lt;=F346,G345))))))</f>
        <v>-6</v>
      </c>
      <c r="J349" s="266"/>
      <c r="K349" s="266"/>
      <c r="L349" s="266"/>
      <c r="M349" s="266"/>
      <c r="N349" s="266"/>
      <c r="O349" s="316"/>
      <c r="P349" s="317"/>
    </row>
    <row r="350" spans="1:16" ht="14.4" x14ac:dyDescent="0.3">
      <c r="A350" s="318">
        <f>L341</f>
        <v>27</v>
      </c>
      <c r="B350" s="319"/>
      <c r="C350" s="319">
        <f>((A350-B349)/(B351-B349)*(D351-D349)+D349)</f>
        <v>-0.1</v>
      </c>
      <c r="D350" s="320"/>
      <c r="E350" s="314"/>
      <c r="F350" s="318">
        <f>L342</f>
        <v>69</v>
      </c>
      <c r="G350" s="319"/>
      <c r="H350" s="319">
        <f>((F350-G349)/(G351-G349)*(I351-I349)+I349)</f>
        <v>-1.5899999999999999</v>
      </c>
      <c r="I350" s="320"/>
      <c r="J350" s="266"/>
      <c r="K350" s="266"/>
      <c r="L350" s="266"/>
      <c r="M350" s="266"/>
      <c r="N350" s="266"/>
      <c r="O350" s="316"/>
      <c r="P350" s="321"/>
    </row>
    <row r="351" spans="1:16" ht="13.8" thickBot="1" x14ac:dyDescent="0.3">
      <c r="A351" s="322"/>
      <c r="B351" s="323">
        <f>IF(A350&lt;=A341,A341,IF(A350&lt;=A342,A342,IF(A350&lt;=A343,A343,IF(A350&lt;=A344,A344,IF(A350&lt;=A345,A345,IF(A350&lt;=A346,A346))))))</f>
        <v>30</v>
      </c>
      <c r="C351" s="324"/>
      <c r="D351" s="325">
        <f>IF(A350&lt;=A341,B341,IF(A350&lt;=A342,B342,IF(A350&lt;=A343,B343,IF(A350&lt;=A344,B344,IF(A350&lt;=A345,B345,IF(A350&lt;=A346,B346))))))</f>
        <v>-0.1</v>
      </c>
      <c r="E351" s="326"/>
      <c r="F351" s="322"/>
      <c r="G351" s="323">
        <f>IF(F350&lt;=F341,F341,IF(F350&lt;=F342,F342,IF(F350&lt;=F343,F343,IF(F350&lt;=F344,F344,IF(F350&lt;=F345,F345,IF(F350&lt;=F346,F346))))))</f>
        <v>70</v>
      </c>
      <c r="H351" s="324"/>
      <c r="I351" s="325">
        <f>IF(F350&lt;=F341,G341,IF(F350&lt;=F342,G342,IF(F350&lt;=F343,G343,IF(F350&lt;=F344,G344,IF(F350&lt;=F345,G345,IF(F350&lt;=F346,G346))))))</f>
        <v>-1.1000000000000001</v>
      </c>
      <c r="J351" s="327"/>
      <c r="K351" s="327"/>
      <c r="L351" s="327"/>
      <c r="M351" s="327"/>
      <c r="N351" s="327"/>
      <c r="O351" s="328"/>
      <c r="P351" s="329"/>
    </row>
    <row r="355" spans="1:15" ht="13.8" thickBot="1" x14ac:dyDescent="0.3"/>
    <row r="356" spans="1:15" s="330" customFormat="1" ht="13.8" thickBot="1" x14ac:dyDescent="0.3">
      <c r="A356" s="635" t="str">
        <f>ID!B67</f>
        <v>Thermohygrolight, Merek : KIMO, Model : KH-210-AO, SN : 15062873</v>
      </c>
      <c r="B356" s="636"/>
      <c r="C356" s="636"/>
      <c r="D356" s="636"/>
      <c r="E356" s="636"/>
      <c r="F356" s="636"/>
      <c r="G356" s="636"/>
      <c r="H356" s="636"/>
      <c r="I356" s="637"/>
      <c r="J356" s="637"/>
      <c r="K356" s="638"/>
      <c r="M356" s="639" t="s">
        <v>312</v>
      </c>
      <c r="N356" s="639"/>
      <c r="O356" s="639"/>
    </row>
    <row r="357" spans="1:15" s="330" customFormat="1" ht="15.6" x14ac:dyDescent="0.25">
      <c r="A357" s="374" t="s">
        <v>438</v>
      </c>
      <c r="B357" s="331"/>
      <c r="C357" s="331"/>
      <c r="D357" s="332"/>
      <c r="E357" s="332"/>
      <c r="F357" s="332"/>
      <c r="G357" s="333"/>
      <c r="H357" s="334"/>
      <c r="I357" s="335">
        <f>D4</f>
        <v>2020</v>
      </c>
      <c r="J357" s="336">
        <f>E4</f>
        <v>2017</v>
      </c>
      <c r="K357" s="337">
        <v>1</v>
      </c>
      <c r="M357" s="338" t="str">
        <f>TEXT(M341,"0.0")</f>
        <v>26.9</v>
      </c>
      <c r="N357" s="338" t="str">
        <f>TEXT(O341,"0.0")</f>
        <v>0.5</v>
      </c>
      <c r="O357" s="339" t="s">
        <v>313</v>
      </c>
    </row>
    <row r="358" spans="1:15" s="330" customFormat="1" ht="15.6" x14ac:dyDescent="0.25">
      <c r="A358" s="374" t="s">
        <v>439</v>
      </c>
      <c r="B358" s="331"/>
      <c r="C358" s="331"/>
      <c r="D358" s="332"/>
      <c r="E358" s="332"/>
      <c r="F358" s="332"/>
      <c r="G358" s="333"/>
      <c r="H358" s="334"/>
      <c r="I358" s="340">
        <f>D15</f>
        <v>2018</v>
      </c>
      <c r="J358" s="341">
        <f>E15</f>
        <v>2017</v>
      </c>
      <c r="K358" s="337">
        <v>2</v>
      </c>
      <c r="M358" s="338" t="str">
        <f>TEXT(M342,"0.0")</f>
        <v>67.4</v>
      </c>
      <c r="N358" s="338" t="str">
        <f>TEXT(O342,"0.0")</f>
        <v>2.6</v>
      </c>
      <c r="O358" s="339" t="s">
        <v>314</v>
      </c>
    </row>
    <row r="359" spans="1:15" s="330" customFormat="1" ht="15.6" x14ac:dyDescent="0.25">
      <c r="A359" s="374" t="s">
        <v>315</v>
      </c>
      <c r="B359" s="331"/>
      <c r="C359" s="331"/>
      <c r="D359" s="332"/>
      <c r="E359" s="332"/>
      <c r="F359" s="332"/>
      <c r="G359" s="333"/>
      <c r="H359" s="334"/>
      <c r="I359" s="340">
        <f>D26</f>
        <v>2018</v>
      </c>
      <c r="J359" s="341">
        <f>E26</f>
        <v>2017</v>
      </c>
      <c r="K359" s="337">
        <v>3</v>
      </c>
      <c r="M359" s="342" t="s">
        <v>316</v>
      </c>
      <c r="N359" s="343" t="s">
        <v>317</v>
      </c>
      <c r="O359" s="343" t="s">
        <v>318</v>
      </c>
    </row>
    <row r="360" spans="1:15" s="330" customFormat="1" x14ac:dyDescent="0.25">
      <c r="A360" s="374" t="s">
        <v>440</v>
      </c>
      <c r="B360" s="331"/>
      <c r="C360" s="331"/>
      <c r="D360" s="332"/>
      <c r="E360" s="332"/>
      <c r="F360" s="332"/>
      <c r="G360" s="333"/>
      <c r="H360" s="334"/>
      <c r="I360" s="340">
        <f>D37</f>
        <v>2017</v>
      </c>
      <c r="J360" s="341">
        <f>E37</f>
        <v>2015</v>
      </c>
      <c r="K360" s="337">
        <v>4</v>
      </c>
    </row>
    <row r="361" spans="1:15" s="330" customFormat="1" x14ac:dyDescent="0.25">
      <c r="A361" s="374" t="s">
        <v>441</v>
      </c>
      <c r="B361" s="331"/>
      <c r="C361" s="331"/>
      <c r="D361" s="332"/>
      <c r="E361" s="332"/>
      <c r="F361" s="332"/>
      <c r="G361" s="333"/>
      <c r="H361" s="334"/>
      <c r="I361" s="340">
        <f>D48</f>
        <v>2020</v>
      </c>
      <c r="J361" s="341">
        <f>E48</f>
        <v>2017</v>
      </c>
      <c r="K361" s="337">
        <v>5</v>
      </c>
    </row>
    <row r="362" spans="1:15" s="330" customFormat="1" x14ac:dyDescent="0.25">
      <c r="A362" s="374" t="s">
        <v>390</v>
      </c>
      <c r="B362" s="331"/>
      <c r="C362" s="331"/>
      <c r="D362" s="332"/>
      <c r="E362" s="332"/>
      <c r="F362" s="332"/>
      <c r="G362" s="333"/>
      <c r="H362" s="334"/>
      <c r="I362" s="340">
        <f>D59</f>
        <v>2019</v>
      </c>
      <c r="J362" s="341">
        <f>E59</f>
        <v>2018</v>
      </c>
      <c r="K362" s="337">
        <v>6</v>
      </c>
    </row>
    <row r="363" spans="1:15" s="330" customFormat="1" x14ac:dyDescent="0.25">
      <c r="A363" s="374" t="s">
        <v>391</v>
      </c>
      <c r="B363" s="331"/>
      <c r="C363" s="331"/>
      <c r="D363" s="332"/>
      <c r="E363" s="332"/>
      <c r="F363" s="332"/>
      <c r="G363" s="333"/>
      <c r="H363" s="334"/>
      <c r="I363" s="340">
        <f>D70</f>
        <v>2018</v>
      </c>
      <c r="J363" s="341">
        <f>E70</f>
        <v>2017</v>
      </c>
      <c r="K363" s="337">
        <v>7</v>
      </c>
    </row>
    <row r="364" spans="1:15" s="330" customFormat="1" x14ac:dyDescent="0.25">
      <c r="A364" s="374" t="s">
        <v>392</v>
      </c>
      <c r="B364" s="331"/>
      <c r="C364" s="331"/>
      <c r="D364" s="332"/>
      <c r="E364" s="332"/>
      <c r="F364" s="332"/>
      <c r="G364" s="333"/>
      <c r="H364" s="334"/>
      <c r="I364" s="340">
        <f>D81</f>
        <v>2019</v>
      </c>
      <c r="J364" s="341">
        <f>E81</f>
        <v>2017</v>
      </c>
      <c r="K364" s="337">
        <v>8</v>
      </c>
    </row>
    <row r="365" spans="1:15" s="330" customFormat="1" x14ac:dyDescent="0.25">
      <c r="A365" s="374" t="s">
        <v>393</v>
      </c>
      <c r="B365" s="331"/>
      <c r="C365" s="331"/>
      <c r="D365" s="332"/>
      <c r="E365" s="332"/>
      <c r="F365" s="332"/>
      <c r="G365" s="333"/>
      <c r="H365" s="334"/>
      <c r="I365" s="340">
        <f>D92</f>
        <v>2019</v>
      </c>
      <c r="J365" s="341" t="str">
        <f>E92</f>
        <v>-</v>
      </c>
      <c r="K365" s="337">
        <v>9</v>
      </c>
    </row>
    <row r="366" spans="1:15" s="330" customFormat="1" x14ac:dyDescent="0.25">
      <c r="A366" s="374" t="s">
        <v>319</v>
      </c>
      <c r="B366" s="331"/>
      <c r="C366" s="331"/>
      <c r="D366" s="332"/>
      <c r="E366" s="332"/>
      <c r="F366" s="332"/>
      <c r="G366" s="333"/>
      <c r="H366" s="334"/>
      <c r="I366" s="340">
        <f>D103</f>
        <v>2019</v>
      </c>
      <c r="J366" s="341">
        <f>E103</f>
        <v>2016</v>
      </c>
      <c r="K366" s="337">
        <v>10</v>
      </c>
    </row>
    <row r="367" spans="1:15" s="330" customFormat="1" x14ac:dyDescent="0.25">
      <c r="A367" s="374" t="s">
        <v>320</v>
      </c>
      <c r="B367" s="331"/>
      <c r="C367" s="331"/>
      <c r="D367" s="332"/>
      <c r="E367" s="332"/>
      <c r="F367" s="332"/>
      <c r="G367" s="333"/>
      <c r="H367" s="334"/>
      <c r="I367" s="340">
        <f>D114</f>
        <v>2020</v>
      </c>
      <c r="J367" s="341" t="str">
        <f>E114</f>
        <v>-</v>
      </c>
      <c r="K367" s="337">
        <v>11</v>
      </c>
    </row>
    <row r="368" spans="1:15" s="330" customFormat="1" x14ac:dyDescent="0.25">
      <c r="A368" s="374" t="s">
        <v>394</v>
      </c>
      <c r="B368" s="331"/>
      <c r="C368" s="331"/>
      <c r="D368" s="332"/>
      <c r="E368" s="332"/>
      <c r="F368" s="332"/>
      <c r="G368" s="333"/>
      <c r="H368" s="334"/>
      <c r="I368" s="374">
        <f>D125</f>
        <v>2023</v>
      </c>
      <c r="J368" s="374">
        <f>E125</f>
        <v>2022</v>
      </c>
      <c r="K368" s="337">
        <v>12</v>
      </c>
    </row>
    <row r="369" spans="1:11" s="330" customFormat="1" x14ac:dyDescent="0.25">
      <c r="A369" s="374" t="s">
        <v>395</v>
      </c>
      <c r="B369" s="331"/>
      <c r="C369" s="331"/>
      <c r="D369" s="332"/>
      <c r="E369" s="332"/>
      <c r="F369" s="332"/>
      <c r="G369" s="333"/>
      <c r="H369" s="334"/>
      <c r="I369" s="374">
        <f>D136</f>
        <v>2023</v>
      </c>
      <c r="J369" s="374">
        <f>E136</f>
        <v>2022</v>
      </c>
      <c r="K369" s="337">
        <v>13</v>
      </c>
    </row>
    <row r="370" spans="1:11" s="330" customFormat="1" x14ac:dyDescent="0.25">
      <c r="A370" s="374" t="s">
        <v>396</v>
      </c>
      <c r="B370" s="331"/>
      <c r="C370" s="331"/>
      <c r="D370" s="332"/>
      <c r="E370" s="332"/>
      <c r="F370" s="332"/>
      <c r="G370" s="333"/>
      <c r="H370" s="334"/>
      <c r="I370" s="374">
        <f>D147</f>
        <v>2023</v>
      </c>
      <c r="J370" s="374">
        <f>E147</f>
        <v>2022</v>
      </c>
      <c r="K370" s="337">
        <v>14</v>
      </c>
    </row>
    <row r="371" spans="1:11" s="330" customFormat="1" x14ac:dyDescent="0.25">
      <c r="A371" s="374" t="s">
        <v>397</v>
      </c>
      <c r="B371" s="331"/>
      <c r="C371" s="331"/>
      <c r="D371" s="332"/>
      <c r="E371" s="332"/>
      <c r="F371" s="332"/>
      <c r="G371" s="333"/>
      <c r="H371" s="334"/>
      <c r="I371" s="374">
        <f>D158</f>
        <v>2020</v>
      </c>
      <c r="J371" s="374" t="str">
        <f>E158</f>
        <v>-</v>
      </c>
      <c r="K371" s="337">
        <v>15</v>
      </c>
    </row>
    <row r="372" spans="1:11" s="330" customFormat="1" x14ac:dyDescent="0.25">
      <c r="A372" s="374" t="s">
        <v>398</v>
      </c>
      <c r="B372" s="331"/>
      <c r="C372" s="331"/>
      <c r="D372" s="332"/>
      <c r="E372" s="332"/>
      <c r="F372" s="332"/>
      <c r="G372" s="333"/>
      <c r="H372" s="334"/>
      <c r="I372" s="374">
        <f>D169</f>
        <v>2020</v>
      </c>
      <c r="J372" s="374" t="str">
        <f>E169</f>
        <v>-</v>
      </c>
      <c r="K372" s="337">
        <v>16</v>
      </c>
    </row>
    <row r="373" spans="1:11" s="330" customFormat="1" x14ac:dyDescent="0.25">
      <c r="A373" s="374" t="s">
        <v>399</v>
      </c>
      <c r="B373" s="331"/>
      <c r="C373" s="331"/>
      <c r="D373" s="332"/>
      <c r="E373" s="332"/>
      <c r="F373" s="332"/>
      <c r="G373" s="333"/>
      <c r="H373" s="334"/>
      <c r="I373" s="374">
        <f>D180</f>
        <v>2020</v>
      </c>
      <c r="J373" s="374" t="str">
        <f>E180</f>
        <v>-</v>
      </c>
      <c r="K373" s="337">
        <v>17</v>
      </c>
    </row>
    <row r="374" spans="1:11" s="330" customFormat="1" ht="13.8" thickBot="1" x14ac:dyDescent="0.3">
      <c r="A374" s="374" t="s">
        <v>400</v>
      </c>
      <c r="B374" s="331"/>
      <c r="C374" s="331"/>
      <c r="D374" s="332"/>
      <c r="E374" s="332"/>
      <c r="F374" s="332"/>
      <c r="G374" s="333"/>
      <c r="H374" s="334"/>
      <c r="I374" s="344">
        <f>D191</f>
        <v>2017</v>
      </c>
      <c r="J374" s="345" t="str">
        <f>E191</f>
        <v>-</v>
      </c>
      <c r="K374" s="337">
        <v>18</v>
      </c>
    </row>
    <row r="375" spans="1:11" s="330" customFormat="1" ht="13.8" thickBot="1" x14ac:dyDescent="0.3">
      <c r="A375" s="640">
        <f>VLOOKUP(A356,A357:K374,11,(FALSE))</f>
        <v>1</v>
      </c>
      <c r="B375" s="641"/>
      <c r="C375" s="641"/>
      <c r="D375" s="641"/>
      <c r="E375" s="641"/>
      <c r="F375" s="641"/>
      <c r="G375" s="641"/>
      <c r="H375" s="641"/>
      <c r="I375" s="642"/>
      <c r="J375" s="642"/>
      <c r="K375" s="643"/>
    </row>
  </sheetData>
  <mergeCells count="263">
    <mergeCell ref="A178:A187"/>
    <mergeCell ref="B178:F178"/>
    <mergeCell ref="H178:L178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67:A176"/>
    <mergeCell ref="B167:F167"/>
    <mergeCell ref="H167:L167"/>
    <mergeCell ref="N167:O167"/>
    <mergeCell ref="B168:C168"/>
    <mergeCell ref="D168:E168"/>
    <mergeCell ref="F168:F169"/>
    <mergeCell ref="H168:I168"/>
    <mergeCell ref="J168:K168"/>
    <mergeCell ref="L168:L169"/>
    <mergeCell ref="B169:C169"/>
    <mergeCell ref="H169:I169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B158:C158"/>
    <mergeCell ref="H158:I158"/>
    <mergeCell ref="A145:A154"/>
    <mergeCell ref="B145:F145"/>
    <mergeCell ref="H145:L145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A134:A143"/>
    <mergeCell ref="B134:F134"/>
    <mergeCell ref="H134:L134"/>
    <mergeCell ref="N134:O134"/>
    <mergeCell ref="B135:C135"/>
    <mergeCell ref="D135:E135"/>
    <mergeCell ref="F135:F136"/>
    <mergeCell ref="H135:I135"/>
    <mergeCell ref="J135:K135"/>
    <mergeCell ref="L135:L136"/>
    <mergeCell ref="B136:C136"/>
    <mergeCell ref="H136:I136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B125:C125"/>
    <mergeCell ref="H125:I125"/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N68:O68"/>
    <mergeCell ref="B69:C69"/>
    <mergeCell ref="D69:E69"/>
    <mergeCell ref="F69:F70"/>
    <mergeCell ref="H69:I69"/>
    <mergeCell ref="A57:A66"/>
    <mergeCell ref="B57:F57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J102:K102"/>
    <mergeCell ref="L102:L103"/>
    <mergeCell ref="B103:C103"/>
    <mergeCell ref="H103:I103"/>
    <mergeCell ref="A79:A88"/>
    <mergeCell ref="B79:F79"/>
    <mergeCell ref="H79:L79"/>
    <mergeCell ref="B59:C59"/>
    <mergeCell ref="H59:I59"/>
    <mergeCell ref="A68:A77"/>
    <mergeCell ref="B68:F68"/>
    <mergeCell ref="H68:L68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89:O189"/>
    <mergeCell ref="N101:O101"/>
    <mergeCell ref="B102:C102"/>
    <mergeCell ref="D102:E102"/>
    <mergeCell ref="F102:F103"/>
    <mergeCell ref="H102:I102"/>
    <mergeCell ref="A90:A99"/>
    <mergeCell ref="B90:F90"/>
    <mergeCell ref="H90:L90"/>
    <mergeCell ref="N90:O90"/>
    <mergeCell ref="B91:C91"/>
    <mergeCell ref="D91:E91"/>
    <mergeCell ref="F91:F92"/>
    <mergeCell ref="H91:I91"/>
    <mergeCell ref="J91:K91"/>
    <mergeCell ref="L91:L92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A189:A198"/>
    <mergeCell ref="B189:F189"/>
    <mergeCell ref="H189:L189"/>
    <mergeCell ref="A204:A221"/>
    <mergeCell ref="H204:H221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A223:A240"/>
    <mergeCell ref="H223:H240"/>
    <mergeCell ref="O223:P223"/>
    <mergeCell ref="O224:P224"/>
    <mergeCell ref="J201:M20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299:A316"/>
    <mergeCell ref="H299:H316"/>
    <mergeCell ref="A318:A335"/>
    <mergeCell ref="H318:H335"/>
    <mergeCell ref="B337:D337"/>
    <mergeCell ref="G337:I337"/>
    <mergeCell ref="A242:A259"/>
    <mergeCell ref="H242:H259"/>
    <mergeCell ref="A261:A278"/>
    <mergeCell ref="H261:H278"/>
    <mergeCell ref="A280:A297"/>
    <mergeCell ref="H280:H297"/>
    <mergeCell ref="K345:K346"/>
    <mergeCell ref="A348:D348"/>
    <mergeCell ref="F348:I348"/>
    <mergeCell ref="A356:K356"/>
    <mergeCell ref="M356:O356"/>
    <mergeCell ref="A375:K375"/>
    <mergeCell ref="L337:O337"/>
    <mergeCell ref="B338:C338"/>
    <mergeCell ref="D338:D339"/>
    <mergeCell ref="G338:H338"/>
    <mergeCell ref="I338:I339"/>
    <mergeCell ref="K338:K340"/>
    <mergeCell ref="L338:L340"/>
    <mergeCell ref="M338:M340"/>
    <mergeCell ref="N338:N340"/>
    <mergeCell ref="O338:O3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6"/>
  <sheetViews>
    <sheetView showGridLines="0" view="pageBreakPreview" zoomScale="116" zoomScaleNormal="100" zoomScaleSheetLayoutView="100" workbookViewId="0">
      <selection activeCell="E37" sqref="E37"/>
    </sheetView>
  </sheetViews>
  <sheetFormatPr defaultColWidth="9.21875" defaultRowHeight="14.4" x14ac:dyDescent="0.3"/>
  <cols>
    <col min="1" max="1" width="3.44140625" style="104" customWidth="1"/>
    <col min="2" max="2" width="13" style="104" customWidth="1"/>
    <col min="3" max="4" width="12.21875" style="104" customWidth="1"/>
    <col min="5" max="5" width="12.77734375" style="104" customWidth="1"/>
    <col min="6" max="6" width="9.21875" style="104" customWidth="1"/>
    <col min="7" max="8" width="12.21875" style="104" customWidth="1"/>
    <col min="9" max="9" width="16.5546875" style="104" customWidth="1"/>
    <col min="10" max="10" width="14" style="104" customWidth="1"/>
    <col min="11" max="11" width="11.77734375" style="104" customWidth="1"/>
    <col min="12" max="12" width="28.21875" style="104" customWidth="1"/>
    <col min="13" max="13" width="9.5546875" style="104" customWidth="1"/>
    <col min="14" max="14" width="9.77734375" style="104" customWidth="1"/>
    <col min="15" max="15" width="11.44140625" style="104" customWidth="1"/>
    <col min="16" max="16" width="9.21875" style="104"/>
    <col min="17" max="17" width="11.5546875" style="104" customWidth="1"/>
    <col min="18" max="16384" width="9.21875" style="104"/>
  </cols>
  <sheetData>
    <row r="1" spans="1:11" ht="16.5" customHeight="1" x14ac:dyDescent="0.3">
      <c r="A1" s="502" t="s">
        <v>30</v>
      </c>
      <c r="B1" s="502"/>
      <c r="C1" s="502"/>
      <c r="D1" s="502"/>
      <c r="E1" s="502"/>
      <c r="F1" s="502"/>
      <c r="G1" s="502"/>
      <c r="H1" s="502"/>
      <c r="I1" s="502"/>
      <c r="J1" s="412"/>
      <c r="K1" s="412"/>
    </row>
    <row r="2" spans="1:11" ht="17.399999999999999" x14ac:dyDescent="0.3">
      <c r="A2" s="503" t="s">
        <v>31</v>
      </c>
      <c r="B2" s="503"/>
      <c r="C2" s="503"/>
      <c r="D2" s="503"/>
      <c r="E2" s="503"/>
      <c r="F2" s="503"/>
      <c r="G2" s="503"/>
      <c r="H2" s="503"/>
      <c r="I2" s="503"/>
      <c r="J2" s="105"/>
      <c r="K2" s="412"/>
    </row>
    <row r="3" spans="1:11" ht="9" customHeight="1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</row>
    <row r="4" spans="1:11" ht="15" customHeight="1" x14ac:dyDescent="0.3">
      <c r="A4" s="412" t="s">
        <v>32</v>
      </c>
      <c r="B4" s="412"/>
      <c r="C4" s="413" t="s">
        <v>33</v>
      </c>
      <c r="D4" s="414"/>
      <c r="E4" s="414"/>
      <c r="F4" s="414"/>
      <c r="G4" s="412"/>
      <c r="H4" s="412"/>
      <c r="I4" s="415"/>
      <c r="J4" s="416"/>
      <c r="K4" s="412"/>
    </row>
    <row r="5" spans="1:11" x14ac:dyDescent="0.3">
      <c r="A5" s="412" t="s">
        <v>34</v>
      </c>
      <c r="B5" s="412"/>
      <c r="C5" s="413" t="s">
        <v>33</v>
      </c>
      <c r="D5" s="414"/>
      <c r="E5" s="414"/>
      <c r="F5" s="414"/>
      <c r="G5" s="412"/>
      <c r="H5" s="416"/>
      <c r="I5" s="417"/>
      <c r="J5" s="418"/>
      <c r="K5" s="416"/>
    </row>
    <row r="6" spans="1:11" x14ac:dyDescent="0.3">
      <c r="A6" s="412" t="s">
        <v>35</v>
      </c>
      <c r="B6" s="412"/>
      <c r="C6" s="413" t="s">
        <v>33</v>
      </c>
      <c r="D6" s="419"/>
      <c r="E6" s="419"/>
      <c r="F6" s="419"/>
      <c r="G6" s="412"/>
      <c r="H6" s="416"/>
      <c r="I6" s="420"/>
      <c r="J6" s="418"/>
      <c r="K6" s="416"/>
    </row>
    <row r="7" spans="1:11" x14ac:dyDescent="0.3">
      <c r="A7" s="412" t="s">
        <v>36</v>
      </c>
      <c r="B7" s="412"/>
      <c r="C7" s="413" t="s">
        <v>33</v>
      </c>
      <c r="D7" s="419"/>
      <c r="E7" s="419" t="s">
        <v>37</v>
      </c>
      <c r="F7" s="419"/>
      <c r="G7" s="412" t="s">
        <v>38</v>
      </c>
      <c r="H7" s="416"/>
      <c r="I7" s="420"/>
      <c r="J7" s="418"/>
      <c r="K7" s="416"/>
    </row>
    <row r="8" spans="1:11" x14ac:dyDescent="0.3">
      <c r="A8" s="412" t="s">
        <v>39</v>
      </c>
      <c r="B8" s="412"/>
      <c r="C8" s="413" t="s">
        <v>33</v>
      </c>
      <c r="D8" s="419"/>
      <c r="E8" s="419"/>
      <c r="F8" s="419"/>
      <c r="G8" s="412"/>
      <c r="H8" s="416"/>
      <c r="I8" s="420"/>
      <c r="J8" s="418"/>
      <c r="K8" s="416"/>
    </row>
    <row r="9" spans="1:11" x14ac:dyDescent="0.3">
      <c r="A9" s="412" t="s">
        <v>40</v>
      </c>
      <c r="B9" s="412"/>
      <c r="C9" s="413" t="s">
        <v>33</v>
      </c>
      <c r="D9" s="419"/>
      <c r="E9" s="419"/>
      <c r="F9" s="419"/>
      <c r="G9" s="412"/>
      <c r="H9" s="416"/>
      <c r="I9" s="417"/>
      <c r="J9" s="418"/>
      <c r="K9" s="416"/>
    </row>
    <row r="10" spans="1:11" x14ac:dyDescent="0.3">
      <c r="A10" s="412" t="s">
        <v>41</v>
      </c>
      <c r="B10" s="412"/>
      <c r="C10" s="413" t="s">
        <v>33</v>
      </c>
      <c r="D10" s="419"/>
      <c r="E10" s="419"/>
      <c r="F10" s="419"/>
      <c r="G10" s="412"/>
      <c r="H10" s="412"/>
      <c r="I10" s="412"/>
      <c r="J10" s="412"/>
      <c r="K10" s="412"/>
    </row>
    <row r="11" spans="1:11" hidden="1" x14ac:dyDescent="0.3">
      <c r="A11" s="412" t="s">
        <v>42</v>
      </c>
      <c r="B11" s="412"/>
      <c r="C11" s="413" t="s">
        <v>33</v>
      </c>
      <c r="D11" s="419"/>
      <c r="E11" s="419"/>
      <c r="F11" s="419"/>
      <c r="G11" s="412"/>
      <c r="H11" s="412"/>
      <c r="I11" s="412"/>
      <c r="J11" s="412"/>
      <c r="K11" s="412"/>
    </row>
    <row r="12" spans="1:11" ht="4.5" customHeight="1" x14ac:dyDescent="0.3">
      <c r="A12" s="412"/>
      <c r="B12" s="412"/>
      <c r="C12" s="412"/>
      <c r="D12" s="412"/>
      <c r="E12" s="412"/>
      <c r="F12" s="412"/>
      <c r="G12" s="412"/>
      <c r="H12" s="412"/>
      <c r="I12" s="412"/>
      <c r="J12" s="412"/>
      <c r="K12" s="412"/>
    </row>
    <row r="13" spans="1:11" ht="11.55" customHeight="1" x14ac:dyDescent="0.3">
      <c r="A13" s="23" t="s">
        <v>43</v>
      </c>
      <c r="B13" s="105" t="s">
        <v>44</v>
      </c>
      <c r="C13" s="412"/>
      <c r="D13" s="412"/>
      <c r="E13" s="412"/>
      <c r="F13" s="412"/>
      <c r="G13" s="412"/>
      <c r="H13" s="412"/>
      <c r="I13" s="412"/>
      <c r="J13" s="412"/>
      <c r="K13" s="412"/>
    </row>
    <row r="14" spans="1:11" x14ac:dyDescent="0.3">
      <c r="A14" s="412"/>
      <c r="B14" s="412" t="s">
        <v>45</v>
      </c>
      <c r="C14" s="413" t="s">
        <v>33</v>
      </c>
      <c r="D14" s="414" t="s">
        <v>46</v>
      </c>
      <c r="E14" s="421" t="s">
        <v>47</v>
      </c>
      <c r="F14" s="414"/>
      <c r="G14" s="412"/>
      <c r="H14" s="412"/>
      <c r="I14" s="412"/>
      <c r="J14" s="412"/>
      <c r="K14" s="412"/>
    </row>
    <row r="15" spans="1:11" x14ac:dyDescent="0.3">
      <c r="A15" s="412"/>
      <c r="B15" s="412" t="s">
        <v>48</v>
      </c>
      <c r="C15" s="413" t="s">
        <v>33</v>
      </c>
      <c r="D15" s="419" t="s">
        <v>46</v>
      </c>
      <c r="E15" s="422" t="s">
        <v>47</v>
      </c>
      <c r="F15" s="419"/>
      <c r="G15" s="412"/>
      <c r="H15" s="412"/>
      <c r="I15" s="412"/>
      <c r="J15" s="412"/>
      <c r="K15" s="412"/>
    </row>
    <row r="16" spans="1:11" ht="7.05" customHeight="1" x14ac:dyDescent="0.3">
      <c r="A16" s="412"/>
      <c r="B16" s="412"/>
      <c r="C16" s="412"/>
      <c r="D16" s="412"/>
      <c r="E16" s="412"/>
      <c r="F16" s="412"/>
      <c r="G16" s="412"/>
      <c r="H16" s="412"/>
      <c r="I16" s="412"/>
      <c r="J16" s="412"/>
      <c r="K16" s="412"/>
    </row>
    <row r="17" spans="1:14" ht="16.5" customHeight="1" x14ac:dyDescent="0.3">
      <c r="A17" s="105" t="s">
        <v>49</v>
      </c>
      <c r="B17" s="105" t="s">
        <v>50</v>
      </c>
      <c r="C17" s="412"/>
      <c r="D17" s="412"/>
      <c r="E17" s="412"/>
      <c r="F17" s="412"/>
      <c r="G17" s="412"/>
      <c r="H17" s="412"/>
      <c r="I17" s="412"/>
      <c r="J17" s="412"/>
      <c r="K17" s="423"/>
      <c r="L17" s="423"/>
      <c r="M17" s="424"/>
      <c r="N17" s="423"/>
    </row>
    <row r="18" spans="1:14" x14ac:dyDescent="0.3">
      <c r="A18" s="412"/>
      <c r="B18" s="412" t="s">
        <v>51</v>
      </c>
      <c r="C18" s="413" t="s">
        <v>33</v>
      </c>
      <c r="D18" s="412" t="s">
        <v>52</v>
      </c>
      <c r="E18" s="412"/>
      <c r="F18" s="412"/>
      <c r="G18" s="412"/>
      <c r="H18" s="412"/>
      <c r="I18" s="412"/>
      <c r="J18" s="412"/>
      <c r="K18" s="412"/>
      <c r="L18" s="412"/>
      <c r="M18" s="425"/>
      <c r="N18" s="426"/>
    </row>
    <row r="19" spans="1:14" x14ac:dyDescent="0.3">
      <c r="A19" s="412"/>
      <c r="B19" s="412" t="s">
        <v>53</v>
      </c>
      <c r="C19" s="413" t="s">
        <v>33</v>
      </c>
      <c r="D19" s="412" t="s">
        <v>52</v>
      </c>
      <c r="E19" s="412"/>
      <c r="F19" s="412"/>
      <c r="G19" s="412"/>
      <c r="H19" s="412"/>
      <c r="I19" s="412"/>
      <c r="J19" s="412"/>
      <c r="K19" s="412"/>
      <c r="L19" s="412"/>
      <c r="M19" s="425"/>
      <c r="N19" s="426"/>
    </row>
    <row r="20" spans="1:14" ht="8.1" customHeight="1" x14ac:dyDescent="0.3">
      <c r="A20" s="412"/>
      <c r="B20" s="412"/>
      <c r="C20" s="413"/>
      <c r="D20" s="412"/>
      <c r="E20" s="412"/>
      <c r="F20" s="412"/>
      <c r="G20" s="412"/>
      <c r="H20" s="412"/>
      <c r="I20" s="412"/>
      <c r="J20" s="412"/>
      <c r="K20" s="412"/>
      <c r="L20" s="412"/>
      <c r="M20" s="425"/>
      <c r="N20" s="426"/>
    </row>
    <row r="21" spans="1:14" x14ac:dyDescent="0.3">
      <c r="A21" s="105" t="s">
        <v>54</v>
      </c>
      <c r="B21" s="105" t="s">
        <v>55</v>
      </c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25"/>
      <c r="N21" s="426"/>
    </row>
    <row r="22" spans="1:14" x14ac:dyDescent="0.3">
      <c r="A22" s="412"/>
      <c r="B22" s="105" t="s">
        <v>327</v>
      </c>
      <c r="C22" s="412"/>
      <c r="D22" s="412"/>
      <c r="E22" s="412"/>
      <c r="F22" s="412"/>
      <c r="G22" s="412"/>
      <c r="H22" s="412"/>
      <c r="I22" s="412"/>
      <c r="J22" s="412"/>
      <c r="K22" s="412"/>
      <c r="L22" s="412"/>
      <c r="M22" s="425"/>
      <c r="N22" s="426"/>
    </row>
    <row r="23" spans="1:14" x14ac:dyDescent="0.3">
      <c r="A23" s="412"/>
      <c r="B23" s="505" t="s">
        <v>56</v>
      </c>
      <c r="C23" s="507" t="s">
        <v>57</v>
      </c>
      <c r="D23" s="507"/>
      <c r="E23" s="507" t="s">
        <v>58</v>
      </c>
      <c r="F23" s="507"/>
      <c r="G23" s="412"/>
      <c r="H23" s="507" t="s">
        <v>187</v>
      </c>
      <c r="I23" s="507"/>
      <c r="J23" s="105"/>
      <c r="K23" s="412"/>
      <c r="L23" s="412"/>
      <c r="M23" s="412"/>
      <c r="N23" s="412"/>
    </row>
    <row r="24" spans="1:14" x14ac:dyDescent="0.3">
      <c r="A24" s="412"/>
      <c r="B24" s="506"/>
      <c r="C24" s="5" t="s">
        <v>59</v>
      </c>
      <c r="D24" s="5" t="s">
        <v>60</v>
      </c>
      <c r="E24" s="5" t="s">
        <v>59</v>
      </c>
      <c r="F24" s="5" t="s">
        <v>60</v>
      </c>
      <c r="G24" s="412"/>
      <c r="H24" s="507" t="s">
        <v>328</v>
      </c>
      <c r="I24" s="507"/>
      <c r="J24" s="23"/>
      <c r="K24" s="412"/>
      <c r="L24" s="412"/>
      <c r="M24" s="412"/>
      <c r="N24" s="412"/>
    </row>
    <row r="25" spans="1:14" x14ac:dyDescent="0.3">
      <c r="A25" s="412"/>
      <c r="B25" s="427">
        <v>1</v>
      </c>
      <c r="C25" s="427"/>
      <c r="D25" s="428"/>
      <c r="E25" s="428"/>
      <c r="F25" s="429"/>
      <c r="G25" s="412"/>
      <c r="H25" s="423"/>
      <c r="I25" s="430"/>
      <c r="J25" s="430"/>
      <c r="K25" s="412"/>
      <c r="L25" s="412"/>
      <c r="M25" s="412"/>
      <c r="N25" s="412"/>
    </row>
    <row r="26" spans="1:14" x14ac:dyDescent="0.3">
      <c r="A26" s="412"/>
      <c r="B26" s="427">
        <v>2</v>
      </c>
      <c r="C26" s="427"/>
      <c r="D26" s="428"/>
      <c r="E26" s="428"/>
      <c r="F26" s="429"/>
      <c r="G26" s="412"/>
      <c r="H26" s="423"/>
      <c r="I26" s="430"/>
      <c r="J26" s="430"/>
      <c r="K26" s="412"/>
      <c r="L26" s="412"/>
      <c r="M26" s="412"/>
      <c r="N26" s="412"/>
    </row>
    <row r="27" spans="1:14" x14ac:dyDescent="0.3">
      <c r="A27" s="412"/>
      <c r="B27" s="427">
        <v>3</v>
      </c>
      <c r="C27" s="427"/>
      <c r="D27" s="428"/>
      <c r="E27" s="428"/>
      <c r="F27" s="429"/>
      <c r="G27" s="412"/>
      <c r="H27" s="423"/>
      <c r="I27" s="430"/>
      <c r="J27" s="430"/>
      <c r="K27" s="412"/>
      <c r="L27" s="412"/>
      <c r="M27" s="412"/>
      <c r="N27" s="412"/>
    </row>
    <row r="28" spans="1:14" x14ac:dyDescent="0.3">
      <c r="A28" s="412"/>
      <c r="B28" s="427">
        <v>4</v>
      </c>
      <c r="C28" s="427"/>
      <c r="D28" s="428"/>
      <c r="E28" s="428"/>
      <c r="F28" s="429"/>
      <c r="G28" s="412"/>
      <c r="H28" s="423"/>
      <c r="I28" s="430"/>
      <c r="J28" s="430"/>
      <c r="K28" s="412"/>
      <c r="L28" s="412"/>
      <c r="M28" s="412"/>
      <c r="N28" s="412"/>
    </row>
    <row r="29" spans="1:14" x14ac:dyDescent="0.3">
      <c r="A29" s="412"/>
      <c r="B29" s="427">
        <v>5</v>
      </c>
      <c r="C29" s="427"/>
      <c r="D29" s="428"/>
      <c r="E29" s="428"/>
      <c r="F29" s="429"/>
      <c r="G29" s="412"/>
      <c r="H29" s="423"/>
      <c r="I29" s="430"/>
      <c r="J29" s="430"/>
      <c r="K29" s="412"/>
      <c r="L29" s="412"/>
      <c r="M29" s="412"/>
      <c r="N29" s="412"/>
    </row>
    <row r="30" spans="1:14" x14ac:dyDescent="0.3">
      <c r="A30" s="412"/>
      <c r="B30" s="427">
        <v>6</v>
      </c>
      <c r="C30" s="427"/>
      <c r="D30" s="428"/>
      <c r="E30" s="428"/>
      <c r="F30" s="429"/>
      <c r="G30" s="412"/>
      <c r="H30" s="423"/>
      <c r="I30" s="430"/>
      <c r="J30" s="430"/>
      <c r="K30" s="412"/>
      <c r="L30" s="412"/>
      <c r="M30" s="412"/>
      <c r="N30" s="412"/>
    </row>
    <row r="31" spans="1:14" x14ac:dyDescent="0.3">
      <c r="A31" s="412"/>
      <c r="B31" s="427">
        <v>7</v>
      </c>
      <c r="C31" s="427"/>
      <c r="D31" s="428"/>
      <c r="E31" s="428"/>
      <c r="F31" s="429"/>
      <c r="G31" s="412"/>
      <c r="H31" s="423"/>
      <c r="I31" s="430"/>
      <c r="J31" s="430"/>
      <c r="K31" s="412"/>
      <c r="L31" s="412"/>
      <c r="M31" s="412"/>
      <c r="N31" s="412"/>
    </row>
    <row r="32" spans="1:14" x14ac:dyDescent="0.3">
      <c r="A32" s="412"/>
      <c r="B32" s="427">
        <v>8</v>
      </c>
      <c r="C32" s="427"/>
      <c r="D32" s="428"/>
      <c r="E32" s="428"/>
      <c r="F32" s="429"/>
      <c r="G32" s="412"/>
      <c r="H32" s="423"/>
      <c r="I32" s="430"/>
      <c r="J32" s="430"/>
      <c r="K32" s="412"/>
      <c r="L32" s="412"/>
      <c r="M32" s="412"/>
      <c r="N32" s="412"/>
    </row>
    <row r="33" spans="2:13" x14ac:dyDescent="0.3">
      <c r="B33" s="427">
        <v>9</v>
      </c>
      <c r="C33" s="427"/>
      <c r="D33" s="428"/>
      <c r="E33" s="428"/>
      <c r="F33" s="429"/>
      <c r="G33" s="412"/>
      <c r="H33" s="423"/>
      <c r="I33" s="430"/>
      <c r="J33" s="430"/>
      <c r="K33" s="412"/>
      <c r="L33" s="412"/>
      <c r="M33" s="412"/>
    </row>
    <row r="34" spans="2:13" x14ac:dyDescent="0.3">
      <c r="B34" s="427">
        <v>10</v>
      </c>
      <c r="C34" s="427"/>
      <c r="D34" s="428"/>
      <c r="E34" s="428"/>
      <c r="F34" s="429"/>
      <c r="G34" s="412"/>
      <c r="H34" s="423"/>
      <c r="I34" s="430"/>
      <c r="J34" s="430"/>
      <c r="K34" s="412"/>
      <c r="L34" s="412"/>
      <c r="M34" s="412"/>
    </row>
    <row r="35" spans="2:13" ht="4.05" customHeight="1" x14ac:dyDescent="0.3">
      <c r="B35" s="423"/>
      <c r="C35" s="430"/>
      <c r="D35" s="430"/>
      <c r="E35" s="430"/>
      <c r="F35" s="412"/>
      <c r="G35" s="423"/>
      <c r="H35" s="430"/>
      <c r="I35" s="430"/>
      <c r="J35" s="430"/>
      <c r="K35" s="412"/>
      <c r="L35" s="412"/>
      <c r="M35" s="412"/>
    </row>
    <row r="36" spans="2:13" x14ac:dyDescent="0.3">
      <c r="B36" s="105" t="s">
        <v>140</v>
      </c>
      <c r="C36" s="430"/>
      <c r="D36" s="430"/>
      <c r="E36" s="412"/>
      <c r="F36" s="412"/>
      <c r="G36" s="412"/>
      <c r="H36" s="412"/>
      <c r="I36" s="412"/>
      <c r="J36" s="412"/>
      <c r="K36" s="412"/>
      <c r="L36" s="412"/>
      <c r="M36" s="412"/>
    </row>
    <row r="37" spans="2:13" ht="29.25" customHeight="1" x14ac:dyDescent="0.3">
      <c r="B37" s="5" t="s">
        <v>61</v>
      </c>
      <c r="C37" s="6" t="s">
        <v>62</v>
      </c>
      <c r="D37" s="6" t="s">
        <v>63</v>
      </c>
      <c r="E37" s="5" t="s">
        <v>64</v>
      </c>
      <c r="F37" s="5" t="s">
        <v>65</v>
      </c>
      <c r="G37" s="24" t="s">
        <v>66</v>
      </c>
      <c r="H37" s="431"/>
      <c r="I37" s="412"/>
      <c r="J37" s="412"/>
      <c r="K37" s="412"/>
      <c r="L37" s="412"/>
      <c r="M37" s="412"/>
    </row>
    <row r="38" spans="2:13" ht="14.1" customHeight="1" x14ac:dyDescent="0.3">
      <c r="B38" s="5">
        <v>1</v>
      </c>
      <c r="C38" s="6"/>
      <c r="D38" s="6"/>
      <c r="E38" s="5"/>
      <c r="F38" s="5"/>
      <c r="G38" s="427">
        <v>1</v>
      </c>
      <c r="H38" s="431"/>
      <c r="I38" s="412"/>
      <c r="J38" s="412"/>
      <c r="K38" s="412"/>
      <c r="L38" s="412"/>
      <c r="M38" s="412"/>
    </row>
    <row r="39" spans="2:13" ht="16.05" customHeight="1" x14ac:dyDescent="0.3">
      <c r="B39" s="5">
        <v>2</v>
      </c>
      <c r="C39" s="6"/>
      <c r="D39" s="6"/>
      <c r="E39" s="5"/>
      <c r="F39" s="5"/>
      <c r="G39" s="427">
        <v>2</v>
      </c>
      <c r="H39" s="431"/>
      <c r="I39" s="412"/>
      <c r="J39" s="412"/>
      <c r="K39" s="412"/>
      <c r="L39" s="412"/>
      <c r="M39" s="412"/>
    </row>
    <row r="40" spans="2:13" ht="14.55" customHeight="1" x14ac:dyDescent="0.3">
      <c r="B40" s="5">
        <v>3</v>
      </c>
      <c r="C40" s="6"/>
      <c r="D40" s="6"/>
      <c r="E40" s="5"/>
      <c r="F40" s="5"/>
      <c r="G40" s="427" t="s">
        <v>67</v>
      </c>
      <c r="H40" s="431"/>
      <c r="I40" s="412"/>
      <c r="J40" s="412"/>
      <c r="K40" s="412"/>
      <c r="L40" s="412"/>
      <c r="M40" s="412"/>
    </row>
    <row r="41" spans="2:13" ht="13.05" customHeight="1" x14ac:dyDescent="0.3">
      <c r="B41" s="5">
        <v>5</v>
      </c>
      <c r="C41" s="6"/>
      <c r="D41" s="6"/>
      <c r="E41" s="5"/>
      <c r="F41" s="5"/>
      <c r="G41" s="432">
        <v>5</v>
      </c>
      <c r="H41" s="431"/>
      <c r="I41" s="412"/>
      <c r="J41" s="412"/>
      <c r="K41" s="412"/>
      <c r="L41" s="412"/>
      <c r="M41" s="412"/>
    </row>
    <row r="42" spans="2:13" x14ac:dyDescent="0.3">
      <c r="B42" s="5">
        <v>10</v>
      </c>
      <c r="C42" s="428"/>
      <c r="D42" s="428"/>
      <c r="E42" s="428"/>
      <c r="F42" s="428"/>
      <c r="G42" s="427" t="s">
        <v>68</v>
      </c>
      <c r="H42" s="412"/>
      <c r="I42" s="412"/>
      <c r="J42" s="412"/>
      <c r="K42" s="416"/>
      <c r="L42" s="425"/>
      <c r="M42" s="426"/>
    </row>
    <row r="43" spans="2:13" ht="9.6" customHeight="1" x14ac:dyDescent="0.3">
      <c r="B43" s="412"/>
      <c r="C43" s="430"/>
      <c r="D43" s="430"/>
      <c r="E43" s="430"/>
      <c r="F43" s="430"/>
      <c r="G43" s="416"/>
      <c r="H43" s="412"/>
      <c r="I43" s="412"/>
      <c r="J43" s="412"/>
      <c r="K43" s="416"/>
      <c r="L43" s="425"/>
      <c r="M43" s="426"/>
    </row>
    <row r="44" spans="2:13" ht="15" customHeight="1" x14ac:dyDescent="0.3">
      <c r="B44" s="105" t="s">
        <v>69</v>
      </c>
      <c r="C44" s="412"/>
      <c r="D44" s="412"/>
      <c r="E44" s="106" t="s">
        <v>70</v>
      </c>
      <c r="F44" s="23">
        <v>5</v>
      </c>
      <c r="G44" s="105" t="s">
        <v>37</v>
      </c>
      <c r="H44" s="504" t="s">
        <v>71</v>
      </c>
      <c r="I44" s="504"/>
      <c r="J44" s="412"/>
      <c r="K44" s="416"/>
      <c r="L44" s="425"/>
      <c r="M44" s="426"/>
    </row>
    <row r="45" spans="2:13" x14ac:dyDescent="0.3">
      <c r="B45" s="5" t="s">
        <v>72</v>
      </c>
      <c r="C45" s="5">
        <v>0</v>
      </c>
      <c r="D45" s="5">
        <v>1</v>
      </c>
      <c r="E45" s="5">
        <v>2</v>
      </c>
      <c r="F45" s="5">
        <v>3</v>
      </c>
      <c r="G45" s="5">
        <v>4</v>
      </c>
      <c r="H45" s="412"/>
      <c r="I45" s="412"/>
      <c r="J45" s="412"/>
      <c r="K45" s="412"/>
      <c r="L45" s="412"/>
      <c r="M45" s="412"/>
    </row>
    <row r="46" spans="2:13" x14ac:dyDescent="0.3">
      <c r="B46" s="5" t="s">
        <v>73</v>
      </c>
      <c r="C46" s="433"/>
      <c r="D46" s="433"/>
      <c r="E46" s="433"/>
      <c r="F46" s="433"/>
      <c r="G46" s="433"/>
      <c r="H46" s="412"/>
      <c r="I46" s="429"/>
      <c r="J46" s="412"/>
      <c r="K46" s="412"/>
      <c r="L46" s="412"/>
      <c r="M46" s="412"/>
    </row>
    <row r="47" spans="2:13" x14ac:dyDescent="0.3">
      <c r="B47" s="5" t="s">
        <v>74</v>
      </c>
      <c r="C47" s="433"/>
      <c r="D47" s="433"/>
      <c r="E47" s="433"/>
      <c r="F47" s="433"/>
      <c r="G47" s="433"/>
      <c r="H47" s="412"/>
      <c r="I47" s="412"/>
      <c r="J47" s="412"/>
      <c r="K47" s="412"/>
      <c r="L47" s="412"/>
      <c r="M47" s="412"/>
    </row>
    <row r="48" spans="2:13" ht="8.1" customHeight="1" x14ac:dyDescent="0.3"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</row>
    <row r="49" spans="1:9" x14ac:dyDescent="0.3">
      <c r="A49" s="105" t="s">
        <v>75</v>
      </c>
      <c r="B49" s="105" t="s">
        <v>76</v>
      </c>
      <c r="C49" s="412"/>
      <c r="D49" s="412"/>
      <c r="E49" s="412"/>
      <c r="F49" s="412"/>
      <c r="G49" s="412"/>
      <c r="H49" s="412"/>
      <c r="I49" s="412"/>
    </row>
    <row r="50" spans="1:9" ht="12" customHeight="1" x14ac:dyDescent="0.3">
      <c r="A50" s="412"/>
      <c r="B50" s="412" t="s">
        <v>77</v>
      </c>
      <c r="C50" s="412"/>
      <c r="D50" s="412"/>
      <c r="E50" s="412"/>
      <c r="F50" s="412"/>
      <c r="G50" s="412"/>
      <c r="H50" s="412"/>
      <c r="I50" s="429"/>
    </row>
    <row r="51" spans="1:9" x14ac:dyDescent="0.3">
      <c r="A51" s="412"/>
      <c r="B51" s="412" t="s">
        <v>77</v>
      </c>
      <c r="C51" s="412"/>
      <c r="D51" s="412"/>
      <c r="E51" s="412"/>
      <c r="F51" s="412"/>
      <c r="G51" s="412"/>
      <c r="H51" s="412"/>
      <c r="I51" s="412"/>
    </row>
    <row r="52" spans="1:9" x14ac:dyDescent="0.3">
      <c r="A52" s="105" t="s">
        <v>78</v>
      </c>
      <c r="B52" s="105" t="s">
        <v>79</v>
      </c>
      <c r="C52" s="412"/>
      <c r="D52" s="412"/>
      <c r="E52" s="412"/>
      <c r="F52" s="412"/>
      <c r="G52" s="412"/>
      <c r="H52" s="412"/>
      <c r="I52" s="412"/>
    </row>
    <row r="53" spans="1:9" ht="42" customHeight="1" x14ac:dyDescent="0.3">
      <c r="A53" s="429"/>
      <c r="B53" s="508" t="s">
        <v>80</v>
      </c>
      <c r="C53" s="509"/>
      <c r="D53" s="509"/>
      <c r="E53" s="509"/>
      <c r="F53" s="509"/>
      <c r="G53" s="509" t="s">
        <v>337</v>
      </c>
      <c r="H53" s="509"/>
      <c r="I53" s="509"/>
    </row>
    <row r="54" spans="1:9" ht="43.5" customHeight="1" x14ac:dyDescent="0.3">
      <c r="A54" s="429"/>
      <c r="B54" s="510" t="s">
        <v>81</v>
      </c>
      <c r="C54" s="511"/>
      <c r="D54" s="511"/>
      <c r="E54" s="511"/>
      <c r="F54" s="511"/>
      <c r="G54" s="512" t="s">
        <v>338</v>
      </c>
      <c r="H54" s="512"/>
      <c r="I54" s="512"/>
    </row>
    <row r="55" spans="1:9" ht="43.5" customHeight="1" x14ac:dyDescent="0.3">
      <c r="A55" s="429"/>
      <c r="B55" s="508" t="s">
        <v>81</v>
      </c>
      <c r="C55" s="509"/>
      <c r="D55" s="509"/>
      <c r="E55" s="509"/>
      <c r="F55" s="509"/>
      <c r="G55" s="512" t="s">
        <v>339</v>
      </c>
      <c r="H55" s="512"/>
      <c r="I55" s="512"/>
    </row>
    <row r="56" spans="1:9" ht="30" customHeight="1" x14ac:dyDescent="0.3">
      <c r="A56" s="429"/>
      <c r="B56" s="508" t="s">
        <v>82</v>
      </c>
      <c r="C56" s="509"/>
      <c r="D56" s="509"/>
      <c r="E56" s="509"/>
      <c r="F56" s="509"/>
      <c r="G56" s="512" t="s">
        <v>340</v>
      </c>
      <c r="H56" s="512"/>
      <c r="I56" s="512"/>
    </row>
    <row r="57" spans="1:9" ht="15.6" x14ac:dyDescent="0.3">
      <c r="A57" s="429"/>
      <c r="B57" s="113" t="s">
        <v>83</v>
      </c>
      <c r="C57" s="114"/>
      <c r="D57" s="114"/>
      <c r="E57" s="114"/>
      <c r="F57" s="114"/>
      <c r="G57" s="114"/>
      <c r="H57" s="114"/>
      <c r="I57" s="114"/>
    </row>
    <row r="58" spans="1:9" ht="15.6" x14ac:dyDescent="0.3">
      <c r="A58" s="429"/>
      <c r="B58" s="113" t="s">
        <v>84</v>
      </c>
      <c r="C58" s="114"/>
      <c r="D58" s="114"/>
      <c r="E58" s="114"/>
      <c r="F58" s="114"/>
      <c r="G58" s="114"/>
      <c r="H58" s="114"/>
      <c r="I58" s="114"/>
    </row>
    <row r="59" spans="1:9" ht="15.6" x14ac:dyDescent="0.3">
      <c r="A59" s="429"/>
      <c r="B59" s="113" t="s">
        <v>85</v>
      </c>
      <c r="C59" s="114"/>
      <c r="D59" s="114"/>
      <c r="E59" s="114"/>
      <c r="F59" s="114"/>
      <c r="G59" s="114"/>
      <c r="H59" s="114"/>
      <c r="I59" s="114"/>
    </row>
    <row r="60" spans="1:9" ht="32.1" customHeight="1" x14ac:dyDescent="0.3">
      <c r="A60" s="429"/>
      <c r="B60" s="513" t="s">
        <v>86</v>
      </c>
      <c r="C60" s="514"/>
      <c r="D60" s="514"/>
      <c r="E60" s="514"/>
      <c r="F60" s="514" t="s">
        <v>87</v>
      </c>
      <c r="G60" s="514"/>
      <c r="H60" s="514"/>
      <c r="I60" s="514"/>
    </row>
    <row r="61" spans="1:9" x14ac:dyDescent="0.3">
      <c r="A61" s="412"/>
      <c r="B61" s="127" t="s">
        <v>88</v>
      </c>
      <c r="C61" s="114"/>
      <c r="D61" s="114"/>
      <c r="E61" s="114"/>
      <c r="F61" s="114"/>
      <c r="G61" s="114"/>
      <c r="H61" s="114"/>
      <c r="I61" s="114"/>
    </row>
    <row r="62" spans="1:9" x14ac:dyDescent="0.3">
      <c r="A62" s="105" t="s">
        <v>89</v>
      </c>
      <c r="B62" s="105" t="s">
        <v>90</v>
      </c>
      <c r="C62" s="412"/>
      <c r="D62" s="412"/>
      <c r="E62" s="412"/>
      <c r="F62" s="412"/>
      <c r="G62" s="412"/>
      <c r="H62" s="412"/>
      <c r="I62" s="412"/>
    </row>
    <row r="63" spans="1:9" x14ac:dyDescent="0.3">
      <c r="A63" s="412"/>
      <c r="B63" s="412" t="s">
        <v>91</v>
      </c>
      <c r="C63" s="412"/>
      <c r="D63" s="412"/>
      <c r="E63" s="412"/>
      <c r="F63" s="412"/>
      <c r="G63" s="412"/>
      <c r="H63" s="412"/>
      <c r="I63" s="412"/>
    </row>
    <row r="64" spans="1:9" x14ac:dyDescent="0.3">
      <c r="A64" s="105" t="s">
        <v>92</v>
      </c>
      <c r="B64" s="105" t="s">
        <v>93</v>
      </c>
      <c r="C64" s="412"/>
      <c r="D64" s="412"/>
      <c r="E64" s="412"/>
      <c r="F64" s="412"/>
      <c r="G64" s="412"/>
      <c r="H64" s="412"/>
      <c r="I64" s="412"/>
    </row>
    <row r="65" spans="2:8" x14ac:dyDescent="0.3">
      <c r="B65" s="434"/>
      <c r="C65" s="412"/>
      <c r="D65" s="412"/>
      <c r="E65" s="412"/>
      <c r="F65" s="412"/>
      <c r="G65" s="412"/>
      <c r="H65" s="435"/>
    </row>
    <row r="66" spans="2:8" x14ac:dyDescent="0.3">
      <c r="B66" s="412"/>
      <c r="C66" s="412"/>
      <c r="D66" s="412"/>
      <c r="E66" s="412"/>
      <c r="F66" s="412"/>
      <c r="G66" s="112"/>
      <c r="H66" s="436"/>
    </row>
  </sheetData>
  <mergeCells count="18">
    <mergeCell ref="B60:E60"/>
    <mergeCell ref="F60:I60"/>
    <mergeCell ref="B55:F55"/>
    <mergeCell ref="G55:I55"/>
    <mergeCell ref="B56:F56"/>
    <mergeCell ref="G56:I56"/>
    <mergeCell ref="B53:F53"/>
    <mergeCell ref="G53:I53"/>
    <mergeCell ref="B54:F54"/>
    <mergeCell ref="G54:I54"/>
    <mergeCell ref="H23:I23"/>
    <mergeCell ref="H24:I24"/>
    <mergeCell ref="A1:I1"/>
    <mergeCell ref="A2:I2"/>
    <mergeCell ref="H44:I44"/>
    <mergeCell ref="B23:B24"/>
    <mergeCell ref="C23:D23"/>
    <mergeCell ref="E23:F23"/>
  </mergeCells>
  <printOptions horizontalCentered="1"/>
  <pageMargins left="0.5" right="0.25" top="0.5" bottom="0.25" header="0.25" footer="0.25"/>
  <pageSetup paperSize="9" scale="76" orientation="portrait" r:id="rId1"/>
  <headerFooter>
    <oddHeader>&amp;R&amp;8GM.LK - 051-18 / REV : 0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5AD3-63D3-405A-95C3-5A8C4029B5E9}">
  <dimension ref="A2:E100"/>
  <sheetViews>
    <sheetView workbookViewId="0">
      <selection activeCell="C8" sqref="C8"/>
    </sheetView>
  </sheetViews>
  <sheetFormatPr defaultRowHeight="14.4" x14ac:dyDescent="0.3"/>
  <cols>
    <col min="2" max="2" width="23" customWidth="1"/>
    <col min="3" max="3" width="74" customWidth="1"/>
    <col min="4" max="4" width="71.77734375" customWidth="1"/>
  </cols>
  <sheetData>
    <row r="2" spans="1:5" x14ac:dyDescent="0.3">
      <c r="A2" s="515" t="s">
        <v>94</v>
      </c>
      <c r="B2" s="515" t="s">
        <v>95</v>
      </c>
      <c r="C2" s="515" t="s">
        <v>96</v>
      </c>
      <c r="D2" s="515"/>
      <c r="E2" s="516" t="s">
        <v>97</v>
      </c>
    </row>
    <row r="3" spans="1:5" x14ac:dyDescent="0.3">
      <c r="A3" s="515"/>
      <c r="B3" s="515"/>
      <c r="C3" s="394" t="s">
        <v>98</v>
      </c>
      <c r="D3" s="394" t="s">
        <v>99</v>
      </c>
      <c r="E3" s="517"/>
    </row>
    <row r="4" spans="1:5" x14ac:dyDescent="0.3">
      <c r="A4" s="394">
        <v>1</v>
      </c>
      <c r="B4" s="379">
        <v>44224</v>
      </c>
      <c r="C4" s="381" t="s">
        <v>100</v>
      </c>
      <c r="D4" s="381" t="s">
        <v>101</v>
      </c>
      <c r="E4" s="1"/>
    </row>
    <row r="5" spans="1:5" ht="26.4" x14ac:dyDescent="0.3">
      <c r="A5" s="394"/>
      <c r="B5" s="380"/>
      <c r="C5" s="395" t="s">
        <v>102</v>
      </c>
      <c r="D5" s="396" t="s">
        <v>103</v>
      </c>
      <c r="E5" s="1"/>
    </row>
    <row r="6" spans="1:5" ht="39.6" x14ac:dyDescent="0.3">
      <c r="A6" s="394"/>
      <c r="B6" s="380"/>
      <c r="C6" s="397" t="s">
        <v>104</v>
      </c>
      <c r="D6" s="397" t="s">
        <v>105</v>
      </c>
      <c r="E6" s="1"/>
    </row>
    <row r="7" spans="1:5" x14ac:dyDescent="0.3">
      <c r="A7" s="394">
        <v>2</v>
      </c>
      <c r="B7" s="380">
        <v>44355</v>
      </c>
      <c r="C7" s="398" t="s">
        <v>106</v>
      </c>
      <c r="D7" s="381" t="s">
        <v>107</v>
      </c>
      <c r="E7" s="1" t="s">
        <v>108</v>
      </c>
    </row>
    <row r="8" spans="1:5" x14ac:dyDescent="0.3">
      <c r="A8" s="394">
        <v>3</v>
      </c>
      <c r="B8" s="380">
        <v>44530</v>
      </c>
      <c r="C8" s="381" t="s">
        <v>109</v>
      </c>
      <c r="D8" s="381" t="s">
        <v>110</v>
      </c>
      <c r="E8" s="1" t="s">
        <v>111</v>
      </c>
    </row>
    <row r="9" spans="1:5" x14ac:dyDescent="0.3">
      <c r="A9" s="394">
        <v>4</v>
      </c>
      <c r="B9" s="400" t="s">
        <v>112</v>
      </c>
      <c r="C9" s="381" t="s">
        <v>113</v>
      </c>
      <c r="D9" s="381" t="s">
        <v>110</v>
      </c>
      <c r="E9" s="1" t="s">
        <v>108</v>
      </c>
    </row>
    <row r="10" spans="1:5" ht="24" customHeight="1" x14ac:dyDescent="0.3">
      <c r="A10" s="394">
        <v>5</v>
      </c>
      <c r="B10" s="380">
        <v>44656</v>
      </c>
      <c r="C10" s="403" t="s">
        <v>114</v>
      </c>
      <c r="D10" s="381" t="s">
        <v>110</v>
      </c>
      <c r="E10" s="1" t="s">
        <v>115</v>
      </c>
    </row>
    <row r="11" spans="1:5" x14ac:dyDescent="0.3">
      <c r="A11" s="394">
        <v>6</v>
      </c>
      <c r="B11" s="380" t="s">
        <v>116</v>
      </c>
      <c r="C11" s="381" t="s">
        <v>117</v>
      </c>
      <c r="D11" s="381" t="s">
        <v>110</v>
      </c>
      <c r="E11" s="1" t="s">
        <v>108</v>
      </c>
    </row>
    <row r="12" spans="1:5" x14ac:dyDescent="0.3">
      <c r="A12" s="394">
        <v>7</v>
      </c>
      <c r="B12" s="380" t="s">
        <v>321</v>
      </c>
      <c r="C12" s="381" t="s">
        <v>322</v>
      </c>
      <c r="D12" s="381" t="s">
        <v>110</v>
      </c>
      <c r="E12" s="1" t="s">
        <v>108</v>
      </c>
    </row>
    <row r="13" spans="1:5" x14ac:dyDescent="0.3">
      <c r="A13" s="394">
        <v>8</v>
      </c>
      <c r="B13" s="380" t="s">
        <v>323</v>
      </c>
      <c r="C13" s="381" t="s">
        <v>324</v>
      </c>
      <c r="D13" s="381" t="s">
        <v>110</v>
      </c>
      <c r="E13" s="1" t="s">
        <v>108</v>
      </c>
    </row>
    <row r="14" spans="1:5" x14ac:dyDescent="0.3">
      <c r="A14" s="394">
        <v>9</v>
      </c>
      <c r="B14" s="380" t="s">
        <v>326</v>
      </c>
      <c r="C14" s="381" t="s">
        <v>179</v>
      </c>
      <c r="D14" s="381" t="s">
        <v>110</v>
      </c>
      <c r="E14" s="1" t="s">
        <v>108</v>
      </c>
    </row>
    <row r="15" spans="1:5" x14ac:dyDescent="0.3">
      <c r="A15" s="394">
        <v>10</v>
      </c>
      <c r="B15" s="380" t="s">
        <v>330</v>
      </c>
      <c r="C15" s="440" t="s">
        <v>77</v>
      </c>
      <c r="D15" s="381" t="s">
        <v>331</v>
      </c>
      <c r="E15" s="1" t="s">
        <v>332</v>
      </c>
    </row>
    <row r="16" spans="1:5" x14ac:dyDescent="0.3">
      <c r="A16" s="394">
        <v>11</v>
      </c>
      <c r="B16" s="380" t="s">
        <v>334</v>
      </c>
      <c r="C16" s="381" t="s">
        <v>335</v>
      </c>
      <c r="D16" s="381" t="s">
        <v>336</v>
      </c>
      <c r="E16" s="1" t="s">
        <v>115</v>
      </c>
    </row>
    <row r="17" spans="1:5" x14ac:dyDescent="0.3">
      <c r="A17" s="394">
        <v>12</v>
      </c>
      <c r="B17" s="380" t="s">
        <v>342</v>
      </c>
      <c r="C17" s="440" t="s">
        <v>77</v>
      </c>
      <c r="D17" s="381" t="s">
        <v>343</v>
      </c>
      <c r="E17" s="1" t="s">
        <v>332</v>
      </c>
    </row>
    <row r="18" spans="1:5" x14ac:dyDescent="0.3">
      <c r="A18" s="394"/>
      <c r="B18" s="380"/>
      <c r="C18" s="381"/>
      <c r="D18" s="381"/>
      <c r="E18" s="1"/>
    </row>
    <row r="19" spans="1:5" x14ac:dyDescent="0.3">
      <c r="A19" s="394"/>
      <c r="B19" s="380"/>
      <c r="C19" s="381"/>
      <c r="D19" s="381"/>
      <c r="E19" s="1"/>
    </row>
    <row r="20" spans="1:5" x14ac:dyDescent="0.3">
      <c r="A20" s="394"/>
      <c r="B20" s="380"/>
      <c r="C20" s="381"/>
      <c r="D20" s="381"/>
      <c r="E20" s="1"/>
    </row>
    <row r="21" spans="1:5" x14ac:dyDescent="0.3">
      <c r="A21" s="394"/>
      <c r="B21" s="380"/>
      <c r="C21" s="381"/>
      <c r="D21" s="381"/>
      <c r="E21" s="1"/>
    </row>
    <row r="22" spans="1:5" x14ac:dyDescent="0.3">
      <c r="A22" s="394"/>
      <c r="B22" s="380"/>
      <c r="C22" s="381"/>
      <c r="D22" s="381"/>
      <c r="E22" s="1"/>
    </row>
    <row r="23" spans="1:5" x14ac:dyDescent="0.3">
      <c r="A23" s="394"/>
      <c r="B23" s="380"/>
      <c r="C23" s="381"/>
      <c r="D23" s="381"/>
      <c r="E23" s="1"/>
    </row>
    <row r="24" spans="1:5" x14ac:dyDescent="0.3">
      <c r="A24" s="394"/>
      <c r="B24" s="380"/>
      <c r="C24" s="381"/>
      <c r="D24" s="381"/>
      <c r="E24" s="1"/>
    </row>
    <row r="25" spans="1:5" x14ac:dyDescent="0.3">
      <c r="A25" s="394"/>
      <c r="B25" s="380"/>
      <c r="C25" s="381"/>
      <c r="D25" s="381"/>
      <c r="E25" s="1"/>
    </row>
    <row r="26" spans="1:5" x14ac:dyDescent="0.3">
      <c r="A26" s="394"/>
      <c r="B26" s="380"/>
      <c r="C26" s="381"/>
      <c r="D26" s="381"/>
      <c r="E26" s="1"/>
    </row>
    <row r="27" spans="1:5" x14ac:dyDescent="0.3">
      <c r="A27" s="394"/>
      <c r="B27" s="380"/>
      <c r="C27" s="381"/>
      <c r="D27" s="381"/>
      <c r="E27" s="1"/>
    </row>
    <row r="28" spans="1:5" x14ac:dyDescent="0.3">
      <c r="A28" s="394"/>
      <c r="B28" s="380"/>
      <c r="C28" s="381"/>
      <c r="D28" s="381"/>
      <c r="E28" s="1"/>
    </row>
    <row r="29" spans="1:5" x14ac:dyDescent="0.3">
      <c r="A29" s="394"/>
      <c r="B29" s="380"/>
      <c r="C29" s="381"/>
      <c r="D29" s="381"/>
      <c r="E29" s="1"/>
    </row>
    <row r="30" spans="1:5" x14ac:dyDescent="0.3">
      <c r="A30" s="394"/>
      <c r="B30" s="380"/>
      <c r="C30" s="381"/>
      <c r="D30" s="381"/>
      <c r="E30" s="1"/>
    </row>
    <row r="100" spans="1:1" x14ac:dyDescent="0.3">
      <c r="A100" s="399" t="s">
        <v>341</v>
      </c>
    </row>
  </sheetData>
  <sheetProtection algorithmName="SHA-512" hashValue="mRSw8tDebXasmp6mn4D2O9NnPZByiqgGTTFwEuD/YS2mHtaTbPDi5pGueZ4q0H+NUqb1fJIWPcDyRCrzv6WySw==" saltValue="iCHTrMfAPa9OEfs0bcP28w==" spinCount="100000" sheet="1" objects="1" scenarios="1"/>
  <mergeCells count="4">
    <mergeCell ref="A2:A3"/>
    <mergeCell ref="B2:B3"/>
    <mergeCell ref="C2:D2"/>
    <mergeCell ref="E2:E3"/>
  </mergeCells>
  <phoneticPr fontId="59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5"/>
  <sheetViews>
    <sheetView showGridLines="0" tabSelected="1" view="pageBreakPreview" topLeftCell="A31" zoomScaleNormal="100" zoomScaleSheetLayoutView="100" workbookViewId="0">
      <selection activeCell="G49" sqref="G49"/>
    </sheetView>
  </sheetViews>
  <sheetFormatPr defaultColWidth="9.21875" defaultRowHeight="13.8" x14ac:dyDescent="0.3"/>
  <cols>
    <col min="1" max="1" width="3.44140625" style="131" customWidth="1"/>
    <col min="2" max="2" width="17.77734375" style="131" customWidth="1"/>
    <col min="3" max="3" width="11" style="131" customWidth="1"/>
    <col min="4" max="4" width="18.6640625" style="131" customWidth="1"/>
    <col min="5" max="5" width="11.44140625" style="131" customWidth="1"/>
    <col min="6" max="6" width="10.44140625" style="131" customWidth="1"/>
    <col min="7" max="7" width="19.21875" style="131" customWidth="1"/>
    <col min="8" max="8" width="13.77734375" style="131" customWidth="1"/>
    <col min="9" max="9" width="12.77734375" style="131" customWidth="1"/>
    <col min="10" max="10" width="11.44140625" style="131" customWidth="1"/>
    <col min="11" max="11" width="13" style="131" customWidth="1"/>
    <col min="12" max="12" width="13.44140625" style="131" customWidth="1"/>
    <col min="13" max="14" width="12.21875" style="131" customWidth="1"/>
    <col min="15" max="15" width="11.44140625" style="131" customWidth="1"/>
    <col min="16" max="16" width="9.21875" style="131"/>
    <col min="17" max="17" width="11.5546875" style="131" customWidth="1"/>
    <col min="18" max="16384" width="9.21875" style="131"/>
  </cols>
  <sheetData>
    <row r="1" spans="1:13" ht="17.399999999999999" x14ac:dyDescent="0.3">
      <c r="A1" s="520" t="s">
        <v>118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</row>
    <row r="2" spans="1:13" ht="16.8" x14ac:dyDescent="0.3">
      <c r="B2" s="349"/>
      <c r="C2" s="518" t="str">
        <f>LOOKUP(B70,'Cetik Cetik'!B14:B15,'Cetik Cetik'!B19:B20)</f>
        <v xml:space="preserve">Nomor Sertifikat : 51 / </v>
      </c>
      <c r="D2" s="518"/>
      <c r="E2" s="518"/>
      <c r="F2" s="518"/>
      <c r="H2" s="493"/>
      <c r="I2" s="495" t="s">
        <v>388</v>
      </c>
      <c r="J2" s="493"/>
      <c r="K2" s="493"/>
    </row>
    <row r="4" spans="1:13" x14ac:dyDescent="0.3">
      <c r="A4" s="131" t="s">
        <v>32</v>
      </c>
      <c r="C4" s="168" t="s">
        <v>33</v>
      </c>
      <c r="D4" s="169" t="s">
        <v>344</v>
      </c>
      <c r="E4" s="169"/>
      <c r="F4" s="169"/>
      <c r="G4" s="169"/>
    </row>
    <row r="5" spans="1:13" x14ac:dyDescent="0.3">
      <c r="A5" s="131" t="s">
        <v>34</v>
      </c>
      <c r="C5" s="168" t="s">
        <v>33</v>
      </c>
      <c r="D5" s="170" t="s">
        <v>77</v>
      </c>
      <c r="E5" s="169"/>
      <c r="F5" s="169"/>
      <c r="G5" s="169"/>
    </row>
    <row r="6" spans="1:13" x14ac:dyDescent="0.3">
      <c r="A6" s="131" t="s">
        <v>35</v>
      </c>
      <c r="C6" s="168" t="s">
        <v>33</v>
      </c>
      <c r="D6" s="170">
        <v>1871160551</v>
      </c>
      <c r="E6" s="169"/>
      <c r="F6" s="169"/>
      <c r="G6" s="169"/>
    </row>
    <row r="7" spans="1:13" x14ac:dyDescent="0.3">
      <c r="A7" s="131" t="s">
        <v>119</v>
      </c>
      <c r="C7" s="168" t="s">
        <v>33</v>
      </c>
      <c r="D7" s="494">
        <v>0.05</v>
      </c>
      <c r="E7" s="131" t="s">
        <v>37</v>
      </c>
      <c r="F7" s="496" t="s">
        <v>131</v>
      </c>
      <c r="G7" s="169"/>
    </row>
    <row r="8" spans="1:13" x14ac:dyDescent="0.3">
      <c r="A8" s="131" t="s">
        <v>121</v>
      </c>
      <c r="C8" s="168" t="s">
        <v>33</v>
      </c>
      <c r="D8" s="450">
        <v>45180</v>
      </c>
      <c r="F8" s="171"/>
      <c r="G8" s="169"/>
    </row>
    <row r="9" spans="1:13" x14ac:dyDescent="0.3">
      <c r="A9" s="131" t="s">
        <v>39</v>
      </c>
      <c r="C9" s="168" t="s">
        <v>33</v>
      </c>
      <c r="D9" s="450">
        <f>D8</f>
        <v>45180</v>
      </c>
      <c r="E9" s="169"/>
      <c r="F9" s="169"/>
      <c r="G9" s="169"/>
    </row>
    <row r="10" spans="1:13" x14ac:dyDescent="0.3">
      <c r="A10" s="131" t="str">
        <f>LK!A9</f>
        <v>Tempat Kalibrasi</v>
      </c>
      <c r="C10" s="168" t="s">
        <v>33</v>
      </c>
      <c r="D10" s="170" t="s">
        <v>345</v>
      </c>
      <c r="E10" s="169"/>
      <c r="F10" s="169"/>
      <c r="G10" s="169"/>
    </row>
    <row r="11" spans="1:13" x14ac:dyDescent="0.3">
      <c r="A11" s="131" t="str">
        <f>LK!A10</f>
        <v>Nama Ruang</v>
      </c>
      <c r="C11" s="168" t="s">
        <v>33</v>
      </c>
      <c r="D11" s="170" t="s">
        <v>346</v>
      </c>
      <c r="E11" s="169"/>
      <c r="F11" s="169"/>
      <c r="G11" s="169"/>
    </row>
    <row r="12" spans="1:13" x14ac:dyDescent="0.3">
      <c r="A12" s="131" t="s">
        <v>42</v>
      </c>
      <c r="C12" s="168" t="s">
        <v>33</v>
      </c>
      <c r="D12" s="131" t="s">
        <v>123</v>
      </c>
    </row>
    <row r="14" spans="1:13" x14ac:dyDescent="0.3">
      <c r="A14" s="172" t="s">
        <v>43</v>
      </c>
      <c r="B14" s="142" t="str">
        <f>LK!B13</f>
        <v>Kondisi Ruang</v>
      </c>
      <c r="G14" s="167"/>
      <c r="H14" s="167"/>
      <c r="M14" s="131" t="str">
        <f>C2</f>
        <v xml:space="preserve">Nomor Sertifikat : 51 / </v>
      </c>
    </row>
    <row r="15" spans="1:13" x14ac:dyDescent="0.3">
      <c r="A15" s="172"/>
      <c r="B15" s="142"/>
      <c r="D15" s="439" t="s">
        <v>124</v>
      </c>
      <c r="E15" s="439" t="s">
        <v>125</v>
      </c>
      <c r="F15" s="439" t="s">
        <v>126</v>
      </c>
      <c r="G15" s="167"/>
      <c r="H15" s="167"/>
      <c r="M15" s="131" t="str">
        <f>B70</f>
        <v>Alat yang dikalibrasi dalam batas toleransi dan dinyatakan LAIK PAKAI, dimana hasil atau skor akhir sama dengan atau melampaui 70 % berdasarkan Keputusan Direktur Jenderal Pelayanan Kesehatan No : HK.02.02/V/0412/2020</v>
      </c>
    </row>
    <row r="16" spans="1:13" x14ac:dyDescent="0.3">
      <c r="B16" s="131" t="s">
        <v>45</v>
      </c>
      <c r="C16" s="168" t="s">
        <v>33</v>
      </c>
      <c r="D16" s="497">
        <v>27</v>
      </c>
      <c r="E16" s="497">
        <v>27</v>
      </c>
      <c r="F16" s="444">
        <f>AVERAGE(D16:E16)</f>
        <v>27</v>
      </c>
      <c r="M16" s="131">
        <f>PENYELIA!I65</f>
        <v>100</v>
      </c>
    </row>
    <row r="17" spans="1:14" x14ac:dyDescent="0.3">
      <c r="B17" s="131" t="s">
        <v>48</v>
      </c>
      <c r="C17" s="168" t="s">
        <v>33</v>
      </c>
      <c r="D17" s="497">
        <v>69</v>
      </c>
      <c r="E17" s="497">
        <v>69</v>
      </c>
      <c r="F17" s="444">
        <f>AVERAGE(D17:E17)</f>
        <v>69</v>
      </c>
    </row>
    <row r="18" spans="1:14" hidden="1" x14ac:dyDescent="0.3">
      <c r="B18" s="131" t="s">
        <v>127</v>
      </c>
      <c r="C18" s="168" t="s">
        <v>33</v>
      </c>
      <c r="D18" s="173">
        <v>1000</v>
      </c>
      <c r="E18" s="173">
        <v>1002</v>
      </c>
      <c r="F18" s="174">
        <f>AVERAGE(D18:E18)</f>
        <v>1001</v>
      </c>
    </row>
    <row r="20" spans="1:14" x14ac:dyDescent="0.3">
      <c r="A20" s="142" t="s">
        <v>49</v>
      </c>
      <c r="B20" s="142" t="str">
        <f>LK!B17</f>
        <v>Pemeriksaan Kondisi Fisik dan Fungsi alat</v>
      </c>
      <c r="C20" s="142"/>
      <c r="D20" s="142"/>
      <c r="E20" s="142"/>
    </row>
    <row r="21" spans="1:14" x14ac:dyDescent="0.3">
      <c r="B21" s="131" t="s">
        <v>51</v>
      </c>
      <c r="C21" s="168" t="s">
        <v>33</v>
      </c>
      <c r="D21" s="498" t="s">
        <v>128</v>
      </c>
    </row>
    <row r="22" spans="1:14" x14ac:dyDescent="0.3">
      <c r="B22" s="131" t="s">
        <v>53</v>
      </c>
      <c r="C22" s="168" t="s">
        <v>33</v>
      </c>
      <c r="D22" s="498" t="s">
        <v>128</v>
      </c>
      <c r="L22" s="143" t="s">
        <v>119</v>
      </c>
      <c r="M22" s="143" t="s">
        <v>129</v>
      </c>
      <c r="N22" s="143" t="s">
        <v>130</v>
      </c>
    </row>
    <row r="23" spans="1:14" ht="14.1" hidden="1" customHeight="1" x14ac:dyDescent="0.3">
      <c r="L23" s="175" t="s">
        <v>131</v>
      </c>
      <c r="M23" s="143" t="s">
        <v>132</v>
      </c>
      <c r="N23" s="143">
        <f>SQRT(6)</f>
        <v>2.4494897427831779</v>
      </c>
    </row>
    <row r="24" spans="1:14" hidden="1" x14ac:dyDescent="0.3">
      <c r="L24" s="175" t="s">
        <v>120</v>
      </c>
      <c r="M24" s="143" t="s">
        <v>133</v>
      </c>
      <c r="N24" s="143">
        <f>SQRT(3)</f>
        <v>1.7320508075688772</v>
      </c>
    </row>
    <row r="25" spans="1:14" ht="15" customHeight="1" x14ac:dyDescent="0.3"/>
    <row r="26" spans="1:14" x14ac:dyDescent="0.3">
      <c r="A26" s="142" t="s">
        <v>54</v>
      </c>
      <c r="B26" s="142" t="str">
        <f>LK!B21</f>
        <v>Pengujian Kinerja</v>
      </c>
      <c r="M26" s="169" t="s">
        <v>128</v>
      </c>
    </row>
    <row r="27" spans="1:14" x14ac:dyDescent="0.3">
      <c r="B27" s="142" t="s">
        <v>134</v>
      </c>
      <c r="M27" s="131" t="s">
        <v>333</v>
      </c>
    </row>
    <row r="28" spans="1:14" x14ac:dyDescent="0.3">
      <c r="B28" s="176"/>
      <c r="C28" s="410" t="s">
        <v>135</v>
      </c>
      <c r="D28" s="408">
        <v>5</v>
      </c>
      <c r="E28" s="411" t="s">
        <v>136</v>
      </c>
      <c r="F28" s="410" t="s">
        <v>137</v>
      </c>
      <c r="G28" s="408">
        <v>10</v>
      </c>
      <c r="H28" s="411" t="s">
        <v>136</v>
      </c>
    </row>
    <row r="29" spans="1:14" x14ac:dyDescent="0.3">
      <c r="B29" s="439" t="s">
        <v>56</v>
      </c>
      <c r="C29" s="439" t="s">
        <v>59</v>
      </c>
      <c r="D29" s="439" t="s">
        <v>60</v>
      </c>
      <c r="E29" s="441" t="s">
        <v>138</v>
      </c>
      <c r="F29" s="439" t="s">
        <v>59</v>
      </c>
      <c r="G29" s="439" t="s">
        <v>60</v>
      </c>
      <c r="H29" s="442" t="s">
        <v>138</v>
      </c>
    </row>
    <row r="30" spans="1:14" x14ac:dyDescent="0.3">
      <c r="B30" s="143">
        <v>1</v>
      </c>
      <c r="C30" s="499">
        <v>0</v>
      </c>
      <c r="D30" s="499">
        <v>5.05</v>
      </c>
      <c r="E30" s="166">
        <f t="shared" ref="E30:E39" si="0">D30-C30</f>
        <v>5.05</v>
      </c>
      <c r="F30" s="499">
        <v>0</v>
      </c>
      <c r="G30" s="499">
        <v>10</v>
      </c>
      <c r="H30" s="166">
        <f t="shared" ref="H30:H39" si="1">G30-F30</f>
        <v>10</v>
      </c>
    </row>
    <row r="31" spans="1:14" x14ac:dyDescent="0.3">
      <c r="B31" s="143">
        <v>2</v>
      </c>
      <c r="C31" s="499">
        <v>0</v>
      </c>
      <c r="D31" s="499">
        <v>5.05</v>
      </c>
      <c r="E31" s="166">
        <f>D31-C31</f>
        <v>5.05</v>
      </c>
      <c r="F31" s="499">
        <v>0</v>
      </c>
      <c r="G31" s="499">
        <v>10</v>
      </c>
      <c r="H31" s="166">
        <f t="shared" si="1"/>
        <v>10</v>
      </c>
    </row>
    <row r="32" spans="1:14" x14ac:dyDescent="0.3">
      <c r="B32" s="143">
        <v>3</v>
      </c>
      <c r="C32" s="499">
        <v>0</v>
      </c>
      <c r="D32" s="499">
        <v>5.05</v>
      </c>
      <c r="E32" s="166">
        <f t="shared" si="0"/>
        <v>5.05</v>
      </c>
      <c r="F32" s="499">
        <v>0</v>
      </c>
      <c r="G32" s="499">
        <v>10</v>
      </c>
      <c r="H32" s="166">
        <f t="shared" si="1"/>
        <v>10</v>
      </c>
    </row>
    <row r="33" spans="2:15" x14ac:dyDescent="0.3">
      <c r="B33" s="143">
        <v>4</v>
      </c>
      <c r="C33" s="499">
        <v>0</v>
      </c>
      <c r="D33" s="499">
        <v>5.05</v>
      </c>
      <c r="E33" s="166">
        <f t="shared" si="0"/>
        <v>5.05</v>
      </c>
      <c r="F33" s="499">
        <v>0</v>
      </c>
      <c r="G33" s="499">
        <v>10</v>
      </c>
      <c r="H33" s="166">
        <f t="shared" si="1"/>
        <v>10</v>
      </c>
    </row>
    <row r="34" spans="2:15" x14ac:dyDescent="0.3">
      <c r="B34" s="143">
        <v>5</v>
      </c>
      <c r="C34" s="499">
        <v>0</v>
      </c>
      <c r="D34" s="499">
        <v>5.05</v>
      </c>
      <c r="E34" s="166">
        <f t="shared" si="0"/>
        <v>5.05</v>
      </c>
      <c r="F34" s="499">
        <v>0</v>
      </c>
      <c r="G34" s="499">
        <v>10</v>
      </c>
      <c r="H34" s="166">
        <f t="shared" si="1"/>
        <v>10</v>
      </c>
    </row>
    <row r="35" spans="2:15" x14ac:dyDescent="0.3">
      <c r="B35" s="143">
        <v>6</v>
      </c>
      <c r="C35" s="499">
        <v>0</v>
      </c>
      <c r="D35" s="499">
        <v>5.05</v>
      </c>
      <c r="E35" s="166">
        <f t="shared" si="0"/>
        <v>5.05</v>
      </c>
      <c r="F35" s="499">
        <v>0</v>
      </c>
      <c r="G35" s="499">
        <v>10</v>
      </c>
      <c r="H35" s="166">
        <f t="shared" si="1"/>
        <v>10</v>
      </c>
    </row>
    <row r="36" spans="2:15" x14ac:dyDescent="0.3">
      <c r="B36" s="143">
        <v>7</v>
      </c>
      <c r="C36" s="499">
        <v>0</v>
      </c>
      <c r="D36" s="499">
        <v>5.05</v>
      </c>
      <c r="E36" s="166">
        <f t="shared" si="0"/>
        <v>5.05</v>
      </c>
      <c r="F36" s="499">
        <v>0</v>
      </c>
      <c r="G36" s="499">
        <v>10</v>
      </c>
      <c r="H36" s="166">
        <f t="shared" si="1"/>
        <v>10</v>
      </c>
    </row>
    <row r="37" spans="2:15" x14ac:dyDescent="0.3">
      <c r="B37" s="143">
        <v>8</v>
      </c>
      <c r="C37" s="499">
        <v>0</v>
      </c>
      <c r="D37" s="499">
        <v>5.05</v>
      </c>
      <c r="E37" s="166">
        <f t="shared" si="0"/>
        <v>5.05</v>
      </c>
      <c r="F37" s="499">
        <v>0</v>
      </c>
      <c r="G37" s="499">
        <v>10</v>
      </c>
      <c r="H37" s="166">
        <f t="shared" si="1"/>
        <v>10</v>
      </c>
    </row>
    <row r="38" spans="2:15" x14ac:dyDescent="0.3">
      <c r="B38" s="143">
        <v>9</v>
      </c>
      <c r="C38" s="499">
        <v>0</v>
      </c>
      <c r="D38" s="499">
        <v>5.05</v>
      </c>
      <c r="E38" s="166">
        <f t="shared" si="0"/>
        <v>5.05</v>
      </c>
      <c r="F38" s="499">
        <v>0</v>
      </c>
      <c r="G38" s="499">
        <v>10</v>
      </c>
      <c r="H38" s="166">
        <f t="shared" si="1"/>
        <v>10</v>
      </c>
    </row>
    <row r="39" spans="2:15" x14ac:dyDescent="0.3">
      <c r="B39" s="143">
        <v>10</v>
      </c>
      <c r="C39" s="499">
        <v>0</v>
      </c>
      <c r="D39" s="499">
        <v>5.05</v>
      </c>
      <c r="E39" s="166">
        <f t="shared" si="0"/>
        <v>5.05</v>
      </c>
      <c r="F39" s="499">
        <v>0</v>
      </c>
      <c r="G39" s="499">
        <v>10</v>
      </c>
      <c r="H39" s="166">
        <f t="shared" si="1"/>
        <v>10</v>
      </c>
    </row>
    <row r="40" spans="2:15" x14ac:dyDescent="0.3">
      <c r="B40" s="167"/>
      <c r="C40" s="177"/>
      <c r="D40" s="178" t="s">
        <v>139</v>
      </c>
      <c r="E40" s="445">
        <f>STDEV(E30:E39)</f>
        <v>9.3622225828712033E-16</v>
      </c>
      <c r="F40" s="167"/>
      <c r="G40" s="439" t="s">
        <v>139</v>
      </c>
      <c r="H40" s="445">
        <f>STDEV(H30:H39)</f>
        <v>0</v>
      </c>
    </row>
    <row r="41" spans="2:15" x14ac:dyDescent="0.3">
      <c r="C41" s="179"/>
      <c r="D41" s="179"/>
    </row>
    <row r="42" spans="2:15" x14ac:dyDescent="0.3">
      <c r="B42" s="142" t="s">
        <v>140</v>
      </c>
      <c r="C42" s="179"/>
      <c r="D42" s="179"/>
    </row>
    <row r="43" spans="2:15" ht="69" x14ac:dyDescent="0.3">
      <c r="B43" s="439" t="s">
        <v>141</v>
      </c>
      <c r="C43" s="178" t="s">
        <v>62</v>
      </c>
      <c r="D43" s="178" t="s">
        <v>63</v>
      </c>
      <c r="E43" s="439" t="s">
        <v>64</v>
      </c>
      <c r="F43" s="439" t="s">
        <v>65</v>
      </c>
      <c r="G43" s="443" t="s">
        <v>142</v>
      </c>
      <c r="H43" s="443" t="s">
        <v>143</v>
      </c>
      <c r="I43" s="443" t="s">
        <v>144</v>
      </c>
      <c r="J43" s="443" t="s">
        <v>145</v>
      </c>
      <c r="M43" s="180" t="s">
        <v>146</v>
      </c>
    </row>
    <row r="44" spans="2:15" x14ac:dyDescent="0.3">
      <c r="B44" s="143">
        <v>1</v>
      </c>
      <c r="C44" s="499">
        <v>0</v>
      </c>
      <c r="D44" s="499">
        <v>1</v>
      </c>
      <c r="E44" s="499">
        <v>1</v>
      </c>
      <c r="F44" s="499">
        <v>0</v>
      </c>
      <c r="G44" s="446">
        <f>((D44-C44)+(E44-F44))/2</f>
        <v>1</v>
      </c>
      <c r="H44" s="181">
        <f>VLOOKUP(B44,'Sertifikat '!$B$80:$G$90,6,FALSE)</f>
        <v>0.99999680000000002</v>
      </c>
      <c r="I44" s="181">
        <f>H44-G44</f>
        <v>-3.1999999999809958E-6</v>
      </c>
      <c r="J44" s="521">
        <f>MAX(M44:M48)</f>
        <v>5.0005999999999773E-2</v>
      </c>
      <c r="M44" s="181">
        <f t="shared" ref="M44:M48" si="2">ABS(I44)</f>
        <v>3.1999999999809958E-6</v>
      </c>
    </row>
    <row r="45" spans="2:15" x14ac:dyDescent="0.3">
      <c r="B45" s="143">
        <v>2</v>
      </c>
      <c r="C45" s="499">
        <v>0</v>
      </c>
      <c r="D45" s="499">
        <v>2</v>
      </c>
      <c r="E45" s="499">
        <v>2</v>
      </c>
      <c r="F45" s="499">
        <v>0</v>
      </c>
      <c r="G45" s="446">
        <f>((D45-C45)+(E45-F45))/2</f>
        <v>2</v>
      </c>
      <c r="H45" s="181">
        <f>VLOOKUP(B45,'Sertifikat '!$B$80:$G$90,6,FALSE)</f>
        <v>2.0000019999999998</v>
      </c>
      <c r="I45" s="181">
        <f>H45-G45</f>
        <v>1.9999999998354667E-6</v>
      </c>
      <c r="J45" s="522"/>
      <c r="M45" s="181">
        <f t="shared" si="2"/>
        <v>1.9999999998354667E-6</v>
      </c>
    </row>
    <row r="46" spans="2:15" x14ac:dyDescent="0.3">
      <c r="B46" s="143">
        <v>3</v>
      </c>
      <c r="C46" s="499">
        <v>0</v>
      </c>
      <c r="D46" s="499">
        <v>3.05</v>
      </c>
      <c r="E46" s="499">
        <v>3.05</v>
      </c>
      <c r="F46" s="499">
        <v>0</v>
      </c>
      <c r="G46" s="446">
        <f>((D46-C46)+(E46-F46))/2</f>
        <v>3.05</v>
      </c>
      <c r="H46" s="181">
        <f>VLOOKUP(B46,'Sertifikat '!$B$80:$G$90,6,FALSE)</f>
        <v>2.9999987999999997</v>
      </c>
      <c r="I46" s="181">
        <f>H46-G46</f>
        <v>-5.0001200000000079E-2</v>
      </c>
      <c r="J46" s="522"/>
      <c r="M46" s="181">
        <f t="shared" si="2"/>
        <v>5.0001200000000079E-2</v>
      </c>
    </row>
    <row r="47" spans="2:15" x14ac:dyDescent="0.3">
      <c r="B47" s="143">
        <v>5</v>
      </c>
      <c r="C47" s="499">
        <v>0</v>
      </c>
      <c r="D47" s="499">
        <v>5.05</v>
      </c>
      <c r="E47" s="499">
        <v>5.05</v>
      </c>
      <c r="F47" s="499">
        <v>0</v>
      </c>
      <c r="G47" s="446">
        <f t="shared" ref="G47:G48" si="3">((D47-C47)+(E47-F47))/2</f>
        <v>5.05</v>
      </c>
      <c r="H47" s="181">
        <f>VLOOKUP(B47,'Sertifikat '!$B$80:$G$90,6,FALSE)</f>
        <v>4.999994</v>
      </c>
      <c r="I47" s="181">
        <f t="shared" ref="I47" si="4">H47-G47</f>
        <v>-5.0005999999999773E-2</v>
      </c>
      <c r="J47" s="522"/>
      <c r="M47" s="181">
        <f t="shared" si="2"/>
        <v>5.0005999999999773E-2</v>
      </c>
    </row>
    <row r="48" spans="2:15" x14ac:dyDescent="0.3">
      <c r="B48" s="143">
        <v>10</v>
      </c>
      <c r="C48" s="499">
        <v>0</v>
      </c>
      <c r="D48" s="499">
        <v>10</v>
      </c>
      <c r="E48" s="499">
        <v>10</v>
      </c>
      <c r="F48" s="499">
        <v>0</v>
      </c>
      <c r="G48" s="446">
        <f t="shared" si="3"/>
        <v>10</v>
      </c>
      <c r="H48" s="181">
        <f>VLOOKUP(B48,'Sertifikat '!$B$80:$G$90,6,FALSE)</f>
        <v>9.9999927999999993</v>
      </c>
      <c r="I48" s="181">
        <f>H48-G48</f>
        <v>-7.20000000065113E-6</v>
      </c>
      <c r="J48" s="523"/>
      <c r="M48" s="181">
        <f t="shared" si="2"/>
        <v>7.20000000065113E-6</v>
      </c>
      <c r="N48" s="182"/>
      <c r="O48" s="183"/>
    </row>
    <row r="49" spans="1:16" x14ac:dyDescent="0.3">
      <c r="O49" s="182"/>
      <c r="P49" s="183"/>
    </row>
    <row r="50" spans="1:16" x14ac:dyDescent="0.3">
      <c r="B50" s="142" t="s">
        <v>69</v>
      </c>
      <c r="E50" s="168" t="s">
        <v>147</v>
      </c>
      <c r="F50" s="131">
        <v>5</v>
      </c>
      <c r="G50" s="131" t="s">
        <v>37</v>
      </c>
    </row>
    <row r="51" spans="1:16" x14ac:dyDescent="0.3">
      <c r="B51" s="439" t="s">
        <v>148</v>
      </c>
      <c r="C51" s="439">
        <v>0</v>
      </c>
      <c r="D51" s="439">
        <v>1</v>
      </c>
      <c r="E51" s="439">
        <v>2</v>
      </c>
      <c r="F51" s="439">
        <v>3</v>
      </c>
      <c r="G51" s="439">
        <v>4</v>
      </c>
    </row>
    <row r="52" spans="1:16" x14ac:dyDescent="0.3">
      <c r="B52" s="439" t="s">
        <v>73</v>
      </c>
      <c r="C52" s="705">
        <v>4.9950000000000001</v>
      </c>
      <c r="D52" s="705">
        <v>5</v>
      </c>
      <c r="E52" s="705">
        <v>5.0049999999999999</v>
      </c>
      <c r="F52" s="705">
        <v>5</v>
      </c>
      <c r="G52" s="705">
        <v>5.0000000499999997</v>
      </c>
    </row>
    <row r="53" spans="1:16" x14ac:dyDescent="0.3">
      <c r="B53" s="439" t="s">
        <v>74</v>
      </c>
      <c r="C53" s="705">
        <v>4.9950000000000001</v>
      </c>
      <c r="D53" s="705">
        <v>5</v>
      </c>
      <c r="E53" s="705">
        <v>5.0049999999999999</v>
      </c>
      <c r="F53" s="705">
        <v>5</v>
      </c>
      <c r="G53" s="705">
        <v>5</v>
      </c>
    </row>
    <row r="55" spans="1:16" ht="41.4" x14ac:dyDescent="0.3">
      <c r="B55" s="180" t="s">
        <v>148</v>
      </c>
      <c r="C55" s="180" t="s">
        <v>73</v>
      </c>
      <c r="D55" s="180" t="s">
        <v>74</v>
      </c>
      <c r="E55" s="180" t="s">
        <v>149</v>
      </c>
      <c r="F55" s="180" t="s">
        <v>150</v>
      </c>
      <c r="G55" s="447" t="s">
        <v>151</v>
      </c>
      <c r="H55" s="180" t="s">
        <v>152</v>
      </c>
    </row>
    <row r="56" spans="1:16" x14ac:dyDescent="0.3">
      <c r="B56" s="385">
        <v>0</v>
      </c>
      <c r="C56" s="448">
        <f>C52</f>
        <v>4.9950000000000001</v>
      </c>
      <c r="D56" s="448">
        <f>C53</f>
        <v>4.9950000000000001</v>
      </c>
      <c r="E56" s="166">
        <f>(C56+D56)/2</f>
        <v>4.9950000000000001</v>
      </c>
      <c r="F56" s="166">
        <f>E56-$E$56</f>
        <v>0</v>
      </c>
      <c r="G56" s="166">
        <f>ABS(F56)</f>
        <v>0</v>
      </c>
      <c r="H56" s="521">
        <f>MAX(G56:G60)</f>
        <v>9.9999999999997868E-3</v>
      </c>
    </row>
    <row r="57" spans="1:16" x14ac:dyDescent="0.3">
      <c r="B57" s="385">
        <v>1</v>
      </c>
      <c r="C57" s="448">
        <f>D52</f>
        <v>5</v>
      </c>
      <c r="D57" s="448">
        <f>D53</f>
        <v>5</v>
      </c>
      <c r="E57" s="166">
        <f>(C57+D57)/2</f>
        <v>5</v>
      </c>
      <c r="F57" s="166">
        <f>E57-$E$56</f>
        <v>4.9999999999998934E-3</v>
      </c>
      <c r="G57" s="166">
        <f>ABS(F57)</f>
        <v>4.9999999999998934E-3</v>
      </c>
      <c r="H57" s="522"/>
    </row>
    <row r="58" spans="1:16" x14ac:dyDescent="0.3">
      <c r="B58" s="385">
        <v>2</v>
      </c>
      <c r="C58" s="448">
        <f>E52</f>
        <v>5.0049999999999999</v>
      </c>
      <c r="D58" s="448">
        <f>E53</f>
        <v>5.0049999999999999</v>
      </c>
      <c r="E58" s="166">
        <f>(C58+D58)/2</f>
        <v>5.0049999999999999</v>
      </c>
      <c r="F58" s="166">
        <f>E58-$E$56</f>
        <v>9.9999999999997868E-3</v>
      </c>
      <c r="G58" s="166">
        <f>ABS(F58)</f>
        <v>9.9999999999997868E-3</v>
      </c>
      <c r="H58" s="522"/>
    </row>
    <row r="59" spans="1:16" x14ac:dyDescent="0.3">
      <c r="B59" s="385">
        <v>3</v>
      </c>
      <c r="C59" s="448">
        <f>F52</f>
        <v>5</v>
      </c>
      <c r="D59" s="448">
        <f>F53</f>
        <v>5</v>
      </c>
      <c r="E59" s="166">
        <f>(C59+D59)/2</f>
        <v>5</v>
      </c>
      <c r="F59" s="166">
        <f>E59-$E$56</f>
        <v>4.9999999999998934E-3</v>
      </c>
      <c r="G59" s="166">
        <f>ABS(F59)</f>
        <v>4.9999999999998934E-3</v>
      </c>
      <c r="H59" s="522"/>
    </row>
    <row r="60" spans="1:16" x14ac:dyDescent="0.3">
      <c r="B60" s="385">
        <v>4</v>
      </c>
      <c r="C60" s="448">
        <f>G52</f>
        <v>5.0000000499999997</v>
      </c>
      <c r="D60" s="448">
        <f>G53</f>
        <v>5</v>
      </c>
      <c r="E60" s="166">
        <f>(C60+D60)/2</f>
        <v>5.0000000250000003</v>
      </c>
      <c r="F60" s="166">
        <f>E60-$E$56</f>
        <v>5.0000250000001856E-3</v>
      </c>
      <c r="G60" s="166">
        <f>ABS(F60)</f>
        <v>5.0000250000001856E-3</v>
      </c>
      <c r="H60" s="523"/>
    </row>
    <row r="62" spans="1:16" x14ac:dyDescent="0.3">
      <c r="A62" s="142" t="s">
        <v>78</v>
      </c>
      <c r="B62" s="142" t="s">
        <v>79</v>
      </c>
    </row>
    <row r="63" spans="1:16" x14ac:dyDescent="0.25">
      <c r="B63" s="526" t="s">
        <v>406</v>
      </c>
      <c r="C63" s="526"/>
      <c r="D63" s="526"/>
      <c r="E63" s="526"/>
      <c r="F63" s="526"/>
      <c r="G63" s="526"/>
    </row>
    <row r="64" spans="1:16" x14ac:dyDescent="0.3">
      <c r="B64" s="527" t="str">
        <f>'Cetik Cetik'!B92</f>
        <v>Anak Timbangan Standar, Merek : HÄFNER, Tipe : 7.MEHM-220, SN : 2800715</v>
      </c>
      <c r="C64" s="527"/>
      <c r="D64" s="527"/>
      <c r="E64" s="527"/>
      <c r="F64" s="527"/>
      <c r="G64" s="527"/>
    </row>
    <row r="65" spans="1:11" x14ac:dyDescent="0.3">
      <c r="B65" s="527" t="str">
        <f>'Cetik Cetik'!B93:K93</f>
        <v>Anak Timbangan Standar, Merek : HÄFNER, Tipe : 7.MEHM-220, SN : 2810715</v>
      </c>
      <c r="C65" s="527"/>
      <c r="D65" s="527"/>
      <c r="E65" s="527"/>
      <c r="F65" s="527"/>
      <c r="G65" s="527"/>
    </row>
    <row r="66" spans="1:11" x14ac:dyDescent="0.3">
      <c r="B66" s="527" t="str">
        <f>'Cetik Cetik'!B94:K94</f>
        <v>Anak Timbangan Standar, Merek : HÄFNER, Tipe : 7.MEHM-230, SN : 2710715</v>
      </c>
      <c r="C66" s="527"/>
      <c r="D66" s="527"/>
      <c r="E66" s="527"/>
      <c r="F66" s="527"/>
      <c r="G66" s="527"/>
    </row>
    <row r="67" spans="1:11" x14ac:dyDescent="0.3">
      <c r="A67" s="184"/>
      <c r="B67" s="524" t="s">
        <v>438</v>
      </c>
      <c r="C67" s="524"/>
      <c r="D67" s="524"/>
      <c r="E67" s="524"/>
      <c r="F67" s="524"/>
      <c r="G67" s="524"/>
      <c r="H67" s="524"/>
      <c r="I67" s="524"/>
    </row>
    <row r="69" spans="1:11" x14ac:dyDescent="0.3">
      <c r="A69" s="142" t="s">
        <v>89</v>
      </c>
      <c r="B69" s="142" t="s">
        <v>90</v>
      </c>
    </row>
    <row r="70" spans="1:11" x14ac:dyDescent="0.3">
      <c r="B70" s="525" t="str">
        <f>IF(PENYELIA!I65&gt;=70,'Cetik Cetik'!B14,'Cetik Cetik'!B15)</f>
        <v>Alat yang dikalibrasi dalam batas toleransi dan dinyatakan LAIK PAKAI, dimana hasil atau skor akhir sama dengan atau melampaui 70 % berdasarkan Keputusan Direktur Jenderal Pelayanan Kesehatan No : HK.02.02/V/0412/2020</v>
      </c>
      <c r="C70" s="525"/>
      <c r="D70" s="525"/>
      <c r="E70" s="525"/>
      <c r="F70" s="525"/>
      <c r="G70" s="525"/>
      <c r="H70" s="525"/>
      <c r="I70" s="525"/>
      <c r="J70" s="525"/>
      <c r="K70" s="525"/>
    </row>
    <row r="71" spans="1:11" x14ac:dyDescent="0.3">
      <c r="B71" s="525"/>
      <c r="C71" s="525"/>
      <c r="D71" s="525"/>
      <c r="E71" s="525"/>
      <c r="F71" s="525"/>
      <c r="G71" s="525"/>
      <c r="H71" s="525"/>
      <c r="I71" s="525"/>
      <c r="J71" s="525"/>
      <c r="K71" s="525"/>
    </row>
    <row r="72" spans="1:11" x14ac:dyDescent="0.3">
      <c r="A72" s="142" t="s">
        <v>92</v>
      </c>
      <c r="B72" s="142" t="s">
        <v>93</v>
      </c>
    </row>
    <row r="73" spans="1:11" x14ac:dyDescent="0.3">
      <c r="B73" s="131" t="s">
        <v>347</v>
      </c>
      <c r="E73" s="519" t="s">
        <v>95</v>
      </c>
      <c r="F73" s="519"/>
      <c r="G73" s="450">
        <f>D8</f>
        <v>45180</v>
      </c>
      <c r="H73" s="450"/>
    </row>
    <row r="74" spans="1:11" ht="27" customHeight="1" x14ac:dyDescent="0.3"/>
    <row r="75" spans="1:11" hidden="1" x14ac:dyDescent="0.3"/>
  </sheetData>
  <sheetProtection formatCells="0" formatColumns="0" formatRows="0" insertColumns="0" insertRows="0" deleteColumns="0" deleteRows="0"/>
  <mergeCells count="11">
    <mergeCell ref="C2:F2"/>
    <mergeCell ref="E73:F73"/>
    <mergeCell ref="A1:K1"/>
    <mergeCell ref="H56:H60"/>
    <mergeCell ref="J44:J48"/>
    <mergeCell ref="B67:I67"/>
    <mergeCell ref="B70:K71"/>
    <mergeCell ref="B63:G63"/>
    <mergeCell ref="B64:G64"/>
    <mergeCell ref="B65:G65"/>
    <mergeCell ref="B66:G66"/>
  </mergeCells>
  <dataValidations count="3">
    <dataValidation type="list" allowBlank="1" showInputMessage="1" showErrorMessage="1" sqref="F7:F8" xr:uid="{00000000-0002-0000-0200-000000000000}">
      <formula1>$L$23:$L$24</formula1>
    </dataValidation>
    <dataValidation allowBlank="1" showInputMessage="1" sqref="I2 B2:C2" xr:uid="{00000000-0002-0000-0200-000001000000}"/>
    <dataValidation type="list" allowBlank="1" showInputMessage="1" showErrorMessage="1" sqref="D21:D22" xr:uid="{4B040368-7528-4254-8788-257277E163DC}">
      <formula1>$M$26:$M$27</formula1>
    </dataValidation>
  </dataValidations>
  <printOptions horizontalCentered="1"/>
  <pageMargins left="0.5" right="0.25" top="0.5" bottom="0.25" header="0.25" footer="0.25"/>
  <pageSetup paperSize="9" scale="69" orientation="portrait" horizontalDpi="4294967293" r:id="rId1"/>
  <headerFooter>
    <oddHeader>&amp;R&amp;8GM.ID - 051-18 / REV : 0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'DB Thermohygro'!$A$357:$A$374</xm:f>
          </x14:formula1>
          <xm:sqref>B67:I67</xm:sqref>
        </x14:dataValidation>
        <x14:dataValidation type="list" allowBlank="1" showInputMessage="1" xr:uid="{00000000-0002-0000-0200-000003000000}">
          <x14:formula1>
            <xm:f>'Cetik Cetik'!$B$50:$B$68</xm:f>
          </x14:formula1>
          <xm:sqref>B73</xm:sqref>
        </x14:dataValidation>
        <x14:dataValidation type="list" allowBlank="1" showInputMessage="1" showErrorMessage="1" xr:uid="{261A6362-9618-4C16-A5EF-1360D657EE3A}">
          <x14:formula1>
            <xm:f>'Cetik Cetik'!$B$97:$B$104</xm:f>
          </x14:formula1>
          <xm:sqref>B63:G63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96"/>
  <sheetViews>
    <sheetView topLeftCell="A80" zoomScale="87" zoomScaleNormal="87" workbookViewId="0">
      <selection activeCell="AC101" sqref="AC101"/>
    </sheetView>
  </sheetViews>
  <sheetFormatPr defaultColWidth="9.21875" defaultRowHeight="10.199999999999999" x14ac:dyDescent="0.2"/>
  <cols>
    <col min="1" max="1" width="9.21875" style="32"/>
    <col min="2" max="2" width="72.5546875" style="32" customWidth="1"/>
    <col min="3" max="3" width="5.21875" style="32" customWidth="1"/>
    <col min="4" max="4" width="4.77734375" style="32" customWidth="1"/>
    <col min="5" max="7" width="9.21875" style="32"/>
    <col min="8" max="8" width="4" style="32" customWidth="1"/>
    <col min="9" max="9" width="9.21875" style="32"/>
    <col min="10" max="10" width="7.5546875" style="32" customWidth="1"/>
    <col min="11" max="11" width="4.21875" style="32" customWidth="1"/>
    <col min="12" max="12" width="2.5546875" style="32" customWidth="1"/>
    <col min="13" max="13" width="12" style="32" customWidth="1"/>
    <col min="14" max="14" width="9.21875" style="32"/>
    <col min="15" max="15" width="10" style="32" customWidth="1"/>
    <col min="16" max="17" width="9.21875" style="32"/>
    <col min="18" max="18" width="10.44140625" style="32" customWidth="1"/>
    <col min="19" max="25" width="9.21875" style="32"/>
    <col min="26" max="26" width="12.77734375" style="32" customWidth="1"/>
    <col min="27" max="27" width="7.21875" style="32" customWidth="1"/>
    <col min="28" max="16384" width="9.21875" style="32"/>
  </cols>
  <sheetData>
    <row r="1" spans="2:27" ht="15" customHeight="1" x14ac:dyDescent="0.3">
      <c r="B1" s="107"/>
      <c r="C1" s="107"/>
      <c r="D1" s="107"/>
      <c r="E1" s="33"/>
      <c r="F1" s="33"/>
      <c r="G1" s="33"/>
      <c r="H1" s="33"/>
      <c r="I1" s="33"/>
      <c r="J1" s="33"/>
      <c r="K1" s="33"/>
      <c r="L1" s="33"/>
      <c r="M1" s="528"/>
      <c r="N1" s="529"/>
      <c r="O1" s="529"/>
      <c r="P1" s="530"/>
      <c r="Q1" s="544"/>
      <c r="R1" s="532"/>
      <c r="S1" s="34"/>
      <c r="U1" s="536"/>
      <c r="V1" s="537"/>
      <c r="W1" s="537"/>
      <c r="X1" s="538"/>
      <c r="Y1" s="35"/>
      <c r="Z1" s="36"/>
      <c r="AA1" s="37"/>
    </row>
    <row r="2" spans="2:27" ht="14.4" x14ac:dyDescent="0.3">
      <c r="B2" s="107"/>
      <c r="C2" s="108"/>
      <c r="D2" s="108"/>
      <c r="E2" s="33"/>
      <c r="F2" s="33"/>
      <c r="G2" s="33"/>
      <c r="H2" s="33"/>
      <c r="I2" s="33"/>
      <c r="J2" s="33"/>
      <c r="K2" s="33"/>
      <c r="L2" s="33"/>
      <c r="M2" s="38"/>
      <c r="N2" s="39"/>
      <c r="O2" s="539"/>
      <c r="P2" s="540"/>
      <c r="Q2" s="40"/>
      <c r="R2" s="41"/>
      <c r="S2" s="34"/>
      <c r="U2" s="40"/>
      <c r="V2" s="42"/>
      <c r="W2" s="43"/>
      <c r="X2" s="44"/>
      <c r="Y2" s="45"/>
      <c r="Z2" s="46"/>
      <c r="AA2" s="47"/>
    </row>
    <row r="3" spans="2:27" ht="15" thickBot="1" x14ac:dyDescent="0.35">
      <c r="B3" s="107"/>
      <c r="C3" s="108"/>
      <c r="D3" s="108"/>
      <c r="E3" s="33"/>
      <c r="F3" s="33"/>
      <c r="G3" s="33"/>
      <c r="H3" s="33"/>
      <c r="I3" s="33"/>
      <c r="J3" s="33"/>
      <c r="K3" s="33"/>
      <c r="L3" s="33"/>
      <c r="M3" s="48"/>
      <c r="N3" s="49"/>
      <c r="O3" s="49"/>
      <c r="P3" s="50"/>
      <c r="Q3" s="51"/>
      <c r="R3" s="52"/>
      <c r="S3" s="34"/>
      <c r="U3" s="53"/>
      <c r="V3" s="42"/>
      <c r="W3" s="42"/>
      <c r="X3" s="44"/>
      <c r="Y3" s="45"/>
      <c r="Z3" s="55"/>
      <c r="AA3" s="47"/>
    </row>
    <row r="4" spans="2:27" ht="13.8" x14ac:dyDescent="0.3">
      <c r="B4" s="107"/>
      <c r="C4" s="108"/>
      <c r="D4" s="108"/>
      <c r="E4" s="33"/>
      <c r="F4" s="33"/>
      <c r="G4" s="33"/>
      <c r="H4" s="33"/>
      <c r="I4" s="33"/>
      <c r="J4" s="33"/>
      <c r="K4" s="33"/>
      <c r="L4" s="33"/>
      <c r="M4" s="48"/>
      <c r="N4" s="56"/>
      <c r="O4" s="49"/>
      <c r="P4" s="50"/>
      <c r="S4" s="34"/>
      <c r="U4" s="40"/>
      <c r="V4" s="42"/>
      <c r="W4" s="42"/>
      <c r="X4" s="44"/>
    </row>
    <row r="5" spans="2:27" ht="13.8" x14ac:dyDescent="0.3">
      <c r="B5" s="107"/>
      <c r="C5" s="108"/>
      <c r="D5" s="108"/>
      <c r="E5" s="33"/>
      <c r="F5" s="33"/>
      <c r="G5" s="33"/>
      <c r="H5" s="33"/>
      <c r="I5" s="33"/>
      <c r="J5" s="33"/>
      <c r="K5" s="33"/>
      <c r="L5" s="33"/>
      <c r="M5" s="48"/>
      <c r="N5" s="56"/>
      <c r="O5" s="49"/>
      <c r="P5" s="50"/>
      <c r="S5" s="34"/>
      <c r="U5" s="533"/>
      <c r="V5" s="534"/>
      <c r="W5" s="534"/>
      <c r="X5" s="535"/>
    </row>
    <row r="6" spans="2:27" ht="13.8" x14ac:dyDescent="0.3">
      <c r="B6" s="107"/>
      <c r="C6" s="108"/>
      <c r="D6" s="108"/>
      <c r="E6" s="33"/>
      <c r="F6" s="33"/>
      <c r="G6" s="33"/>
      <c r="H6" s="33"/>
      <c r="I6" s="33"/>
      <c r="J6" s="33"/>
      <c r="K6" s="33"/>
      <c r="L6" s="33"/>
      <c r="M6" s="48"/>
      <c r="N6" s="56"/>
      <c r="O6" s="49"/>
      <c r="P6" s="50"/>
      <c r="S6" s="34"/>
      <c r="U6" s="40"/>
      <c r="V6" s="42"/>
      <c r="W6" s="57"/>
      <c r="X6" s="44"/>
    </row>
    <row r="7" spans="2:27" ht="13.8" x14ac:dyDescent="0.3">
      <c r="B7" s="107"/>
      <c r="C7" s="108"/>
      <c r="D7" s="108"/>
      <c r="E7" s="33"/>
      <c r="F7" s="33"/>
      <c r="G7" s="33"/>
      <c r="H7" s="33"/>
      <c r="I7" s="33"/>
      <c r="J7" s="33"/>
      <c r="K7" s="33"/>
      <c r="L7" s="33"/>
      <c r="M7" s="48"/>
      <c r="N7" s="56"/>
      <c r="O7" s="49"/>
      <c r="P7" s="50"/>
      <c r="S7" s="34"/>
      <c r="U7" s="53"/>
      <c r="V7" s="43"/>
      <c r="W7" s="42"/>
      <c r="X7" s="44"/>
    </row>
    <row r="8" spans="2:27" ht="14.4" thickBot="1" x14ac:dyDescent="0.35">
      <c r="B8" s="109"/>
      <c r="C8" s="107"/>
      <c r="D8" s="107"/>
      <c r="E8" s="33"/>
      <c r="F8" s="33"/>
      <c r="G8" s="33"/>
      <c r="H8" s="33"/>
      <c r="I8" s="33"/>
      <c r="J8" s="33"/>
      <c r="K8" s="33"/>
      <c r="L8" s="33"/>
      <c r="M8" s="48"/>
      <c r="N8" s="56"/>
      <c r="O8" s="49"/>
      <c r="P8" s="58"/>
      <c r="S8" s="34"/>
      <c r="U8" s="59"/>
      <c r="V8" s="60"/>
      <c r="W8" s="61"/>
      <c r="X8" s="62"/>
    </row>
    <row r="9" spans="2:27" ht="13.8" x14ac:dyDescent="0.3">
      <c r="B9" s="109"/>
      <c r="C9" s="107"/>
      <c r="D9" s="107"/>
      <c r="E9" s="33"/>
      <c r="F9" s="33"/>
      <c r="G9" s="33"/>
      <c r="H9" s="33"/>
      <c r="I9" s="33"/>
      <c r="J9" s="33"/>
      <c r="K9" s="33"/>
      <c r="L9" s="33"/>
      <c r="M9" s="48"/>
      <c r="N9" s="56"/>
      <c r="O9" s="49"/>
      <c r="P9" s="58"/>
      <c r="S9" s="34"/>
      <c r="V9" s="110"/>
      <c r="X9" s="110"/>
    </row>
    <row r="10" spans="2:27" ht="13.8" x14ac:dyDescent="0.3">
      <c r="B10" s="33" t="s">
        <v>242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48"/>
      <c r="N10" s="56"/>
      <c r="O10" s="49"/>
      <c r="P10" s="50"/>
      <c r="S10" s="34"/>
    </row>
    <row r="11" spans="2:27" ht="14.4" thickBot="1" x14ac:dyDescent="0.35">
      <c r="B11" s="63" t="s">
        <v>243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64"/>
      <c r="N11" s="65"/>
      <c r="O11" s="65"/>
      <c r="P11" s="66"/>
      <c r="S11" s="34"/>
    </row>
    <row r="12" spans="2:27" ht="13.5" customHeight="1" x14ac:dyDescent="0.3">
      <c r="B12" s="33" t="s">
        <v>244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67"/>
      <c r="N12" s="67"/>
      <c r="O12" s="67"/>
      <c r="P12" s="67"/>
      <c r="S12" s="34"/>
    </row>
    <row r="13" spans="2:27" ht="13.5" customHeight="1" thickBot="1" x14ac:dyDescent="0.35">
      <c r="B13" s="63" t="s">
        <v>245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S13" s="34"/>
    </row>
    <row r="14" spans="2:27" ht="13.8" x14ac:dyDescent="0.3">
      <c r="B14" s="68" t="s">
        <v>246</v>
      </c>
      <c r="C14" s="33"/>
      <c r="D14" s="68"/>
      <c r="E14" s="68"/>
      <c r="F14" s="68"/>
      <c r="G14" s="68"/>
      <c r="H14" s="68"/>
      <c r="I14" s="68"/>
      <c r="J14" s="68"/>
      <c r="K14" s="33"/>
      <c r="L14" s="33"/>
      <c r="M14" s="528"/>
      <c r="N14" s="529"/>
      <c r="O14" s="529"/>
      <c r="P14" s="530"/>
      <c r="Q14" s="544"/>
      <c r="R14" s="532"/>
      <c r="S14" s="34"/>
      <c r="U14" s="536"/>
      <c r="V14" s="537"/>
      <c r="W14" s="537"/>
      <c r="X14" s="538"/>
      <c r="Y14" s="35"/>
      <c r="Z14" s="69"/>
    </row>
    <row r="15" spans="2:27" ht="13.8" x14ac:dyDescent="0.3">
      <c r="B15" s="68" t="s">
        <v>247</v>
      </c>
      <c r="C15" s="33"/>
      <c r="D15" s="68"/>
      <c r="E15" s="68"/>
      <c r="F15" s="68"/>
      <c r="G15" s="68"/>
      <c r="H15" s="68"/>
      <c r="I15" s="68"/>
      <c r="J15" s="68"/>
      <c r="K15" s="33"/>
      <c r="L15" s="33"/>
      <c r="M15" s="70"/>
      <c r="N15" s="71"/>
      <c r="O15" s="539"/>
      <c r="P15" s="540"/>
      <c r="Q15" s="40"/>
      <c r="R15" s="41"/>
      <c r="S15" s="34"/>
      <c r="U15" s="40"/>
      <c r="V15" s="42"/>
      <c r="W15" s="43"/>
      <c r="X15" s="44"/>
      <c r="Y15" s="45"/>
      <c r="Z15" s="72"/>
    </row>
    <row r="16" spans="2:27" ht="14.4" thickBot="1" x14ac:dyDescent="0.35">
      <c r="B16" s="73" t="s">
        <v>248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74"/>
      <c r="N16" s="43"/>
      <c r="O16" s="43"/>
      <c r="P16" s="75"/>
      <c r="Q16" s="51"/>
      <c r="R16" s="52"/>
      <c r="S16" s="34"/>
      <c r="U16" s="53"/>
      <c r="V16" s="42"/>
      <c r="W16" s="42"/>
      <c r="X16" s="44"/>
      <c r="Y16" s="54"/>
      <c r="Z16" s="76"/>
    </row>
    <row r="17" spans="1:26" ht="13.8" x14ac:dyDescent="0.3">
      <c r="B17" s="73" t="s">
        <v>249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77"/>
      <c r="N17" s="78"/>
      <c r="O17" s="79"/>
      <c r="P17" s="80"/>
      <c r="S17" s="34"/>
      <c r="U17" s="40"/>
      <c r="V17" s="42"/>
      <c r="W17" s="42"/>
      <c r="X17" s="44"/>
    </row>
    <row r="18" spans="1:26" ht="13.8" x14ac:dyDescent="0.3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77"/>
      <c r="N18" s="78"/>
      <c r="O18" s="79"/>
      <c r="P18" s="81"/>
      <c r="S18" s="34"/>
      <c r="U18" s="533"/>
      <c r="V18" s="534"/>
      <c r="W18" s="534"/>
      <c r="X18" s="535"/>
    </row>
    <row r="19" spans="1:26" ht="13.8" x14ac:dyDescent="0.3">
      <c r="B19" s="32" t="s">
        <v>250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77"/>
      <c r="N19" s="79"/>
      <c r="O19" s="79"/>
      <c r="P19" s="81"/>
      <c r="S19" s="34"/>
      <c r="U19" s="40"/>
      <c r="V19" s="42"/>
      <c r="W19" s="57"/>
      <c r="X19" s="44"/>
    </row>
    <row r="20" spans="1:26" ht="13.8" x14ac:dyDescent="0.3">
      <c r="B20" s="32" t="s">
        <v>251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77"/>
      <c r="N20" s="79"/>
      <c r="O20" s="79"/>
      <c r="P20" s="81"/>
      <c r="S20" s="34"/>
      <c r="U20" s="53"/>
      <c r="V20" s="43"/>
      <c r="W20" s="42"/>
      <c r="X20" s="44"/>
    </row>
    <row r="21" spans="1:26" ht="14.4" thickBot="1" x14ac:dyDescent="0.35"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77"/>
      <c r="N21" s="79"/>
      <c r="O21" s="79"/>
      <c r="P21" s="81"/>
      <c r="S21" s="34"/>
      <c r="U21" s="59"/>
      <c r="V21" s="60"/>
      <c r="W21" s="61"/>
      <c r="X21" s="62"/>
    </row>
    <row r="22" spans="1:26" ht="13.8" x14ac:dyDescent="0.3"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82"/>
      <c r="N22" s="79"/>
      <c r="O22" s="79"/>
      <c r="P22" s="83"/>
      <c r="S22" s="34"/>
    </row>
    <row r="23" spans="1:26" ht="14.4" thickBot="1" x14ac:dyDescent="0.35"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84"/>
      <c r="N23" s="85"/>
      <c r="O23" s="86"/>
      <c r="P23" s="87"/>
      <c r="S23" s="34"/>
    </row>
    <row r="24" spans="1:26" ht="14.4" thickBot="1" x14ac:dyDescent="0.35">
      <c r="C24" s="33"/>
      <c r="D24" s="33"/>
      <c r="E24" s="33"/>
      <c r="F24" s="33"/>
      <c r="G24" s="33"/>
      <c r="H24" s="33"/>
      <c r="I24" s="33"/>
      <c r="J24" s="33"/>
      <c r="K24" s="33"/>
      <c r="L24" s="33"/>
      <c r="S24" s="34"/>
    </row>
    <row r="25" spans="1:26" ht="13.8" x14ac:dyDescent="0.3"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528"/>
      <c r="N25" s="529"/>
      <c r="O25" s="529"/>
      <c r="P25" s="530"/>
      <c r="Q25" s="544"/>
      <c r="R25" s="532"/>
      <c r="S25" s="34"/>
      <c r="U25" s="536"/>
      <c r="V25" s="537"/>
      <c r="W25" s="537"/>
      <c r="X25" s="538"/>
      <c r="Y25" s="35"/>
      <c r="Z25" s="69"/>
    </row>
    <row r="26" spans="1:26" ht="13.8" x14ac:dyDescent="0.3"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70"/>
      <c r="N26" s="71"/>
      <c r="O26" s="539"/>
      <c r="P26" s="540"/>
      <c r="Q26" s="40"/>
      <c r="R26" s="41"/>
      <c r="S26" s="34"/>
      <c r="U26" s="40"/>
      <c r="V26" s="42"/>
      <c r="W26" s="43"/>
      <c r="X26" s="44"/>
      <c r="Y26" s="45"/>
      <c r="Z26" s="72"/>
    </row>
    <row r="27" spans="1:26" ht="14.4" thickBot="1" x14ac:dyDescent="0.35"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74"/>
      <c r="N27" s="43"/>
      <c r="O27" s="43"/>
      <c r="P27" s="75"/>
      <c r="Q27" s="51"/>
      <c r="R27" s="52"/>
      <c r="S27" s="34"/>
      <c r="U27" s="53"/>
      <c r="V27" s="42"/>
      <c r="W27" s="42"/>
      <c r="X27" s="44"/>
      <c r="Y27" s="54"/>
      <c r="Z27" s="76"/>
    </row>
    <row r="28" spans="1:26" ht="13.8" x14ac:dyDescent="0.3">
      <c r="A28" s="88"/>
      <c r="B28" s="33"/>
      <c r="C28" s="89"/>
      <c r="D28" s="89"/>
      <c r="E28" s="73"/>
      <c r="F28" s="90"/>
      <c r="G28" s="90"/>
      <c r="H28" s="90"/>
      <c r="I28" s="90"/>
      <c r="J28" s="90"/>
      <c r="K28" s="90"/>
      <c r="L28" s="91"/>
      <c r="M28" s="48"/>
      <c r="N28" s="56"/>
      <c r="O28" s="49"/>
      <c r="P28" s="50"/>
      <c r="S28" s="34"/>
      <c r="U28" s="40"/>
      <c r="V28" s="42"/>
      <c r="W28" s="42"/>
      <c r="X28" s="44"/>
    </row>
    <row r="29" spans="1:26" ht="13.8" x14ac:dyDescent="0.3">
      <c r="A29" s="92"/>
      <c r="B29" s="33"/>
      <c r="C29" s="89"/>
      <c r="D29" s="89"/>
      <c r="E29" s="73"/>
      <c r="F29" s="93"/>
      <c r="G29" s="93"/>
      <c r="H29" s="93"/>
      <c r="I29" s="93"/>
      <c r="J29" s="93"/>
      <c r="K29" s="93"/>
      <c r="L29" s="91"/>
      <c r="M29" s="48"/>
      <c r="N29" s="56"/>
      <c r="O29" s="49"/>
      <c r="P29" s="50"/>
      <c r="S29" s="34"/>
      <c r="U29" s="533"/>
      <c r="V29" s="534"/>
      <c r="W29" s="534"/>
      <c r="X29" s="535"/>
    </row>
    <row r="30" spans="1:26" ht="13.8" x14ac:dyDescent="0.3">
      <c r="A30" s="94"/>
      <c r="B30" s="33"/>
      <c r="C30" s="89"/>
      <c r="D30" s="89"/>
      <c r="E30" s="73"/>
      <c r="F30" s="95"/>
      <c r="G30" s="95"/>
      <c r="H30" s="95"/>
      <c r="I30" s="95"/>
      <c r="J30" s="95"/>
      <c r="K30" s="95"/>
      <c r="L30" s="91"/>
      <c r="M30" s="48"/>
      <c r="N30" s="56"/>
      <c r="O30" s="49"/>
      <c r="P30" s="58"/>
      <c r="S30" s="34"/>
      <c r="U30" s="40"/>
      <c r="V30" s="42"/>
      <c r="W30" s="57"/>
      <c r="X30" s="44"/>
    </row>
    <row r="31" spans="1:26" ht="13.8" x14ac:dyDescent="0.3">
      <c r="A31" s="94"/>
      <c r="B31" s="33"/>
      <c r="C31" s="89"/>
      <c r="D31" s="89"/>
      <c r="E31" s="73"/>
      <c r="F31" s="95"/>
      <c r="G31" s="95"/>
      <c r="H31" s="95"/>
      <c r="I31" s="95"/>
      <c r="J31" s="95"/>
      <c r="K31" s="95"/>
      <c r="L31" s="91"/>
      <c r="M31" s="48"/>
      <c r="N31" s="56"/>
      <c r="O31" s="49"/>
      <c r="P31" s="50"/>
      <c r="S31" s="34"/>
      <c r="U31" s="53"/>
      <c r="V31" s="43"/>
      <c r="W31" s="42"/>
      <c r="X31" s="44"/>
    </row>
    <row r="32" spans="1:26" ht="14.4" thickBot="1" x14ac:dyDescent="0.35">
      <c r="A32" s="88"/>
      <c r="B32" s="90"/>
      <c r="C32" s="89"/>
      <c r="D32" s="89"/>
      <c r="E32" s="73"/>
      <c r="F32" s="90"/>
      <c r="G32" s="90"/>
      <c r="H32" s="90"/>
      <c r="I32" s="90"/>
      <c r="J32" s="90"/>
      <c r="K32" s="90"/>
      <c r="L32" s="91"/>
      <c r="M32" s="48"/>
      <c r="N32" s="56"/>
      <c r="O32" s="49"/>
      <c r="P32" s="58"/>
      <c r="S32" s="34"/>
      <c r="U32" s="59"/>
      <c r="V32" s="60"/>
      <c r="W32" s="61"/>
      <c r="X32" s="62"/>
    </row>
    <row r="33" spans="2:26" ht="13.8" x14ac:dyDescent="0.3">
      <c r="B33" s="90"/>
      <c r="C33" s="89"/>
      <c r="D33" s="89"/>
      <c r="E33" s="73"/>
      <c r="F33" s="90"/>
      <c r="G33" s="90"/>
      <c r="H33" s="90"/>
      <c r="I33" s="90"/>
      <c r="J33" s="90"/>
      <c r="K33" s="90"/>
      <c r="L33" s="91"/>
      <c r="M33" s="48"/>
      <c r="N33" s="56"/>
      <c r="O33" s="49"/>
      <c r="P33" s="50"/>
      <c r="S33" s="34"/>
    </row>
    <row r="34" spans="2:26" ht="14.4" thickBot="1" x14ac:dyDescent="0.35">
      <c r="B34" s="90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64"/>
      <c r="N34" s="65"/>
      <c r="O34" s="65"/>
      <c r="P34" s="66"/>
      <c r="S34" s="34"/>
    </row>
    <row r="35" spans="2:26" ht="14.4" thickBot="1" x14ac:dyDescent="0.3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S35" s="34"/>
    </row>
    <row r="36" spans="2:26" ht="13.8" x14ac:dyDescent="0.3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528"/>
      <c r="N36" s="529"/>
      <c r="O36" s="529"/>
      <c r="P36" s="530"/>
      <c r="Q36" s="544"/>
      <c r="R36" s="532"/>
      <c r="S36" s="34"/>
      <c r="U36" s="536"/>
      <c r="V36" s="537"/>
      <c r="W36" s="537"/>
      <c r="X36" s="538"/>
      <c r="Y36" s="35"/>
      <c r="Z36" s="69"/>
    </row>
    <row r="37" spans="2:26" ht="13.8" x14ac:dyDescent="0.3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533"/>
      <c r="N37" s="534"/>
      <c r="O37" s="534"/>
      <c r="P37" s="535"/>
      <c r="Q37" s="40"/>
      <c r="R37" s="41"/>
      <c r="S37" s="34"/>
      <c r="U37" s="40"/>
      <c r="V37" s="42"/>
      <c r="W37" s="43"/>
      <c r="X37" s="44"/>
      <c r="Y37" s="45"/>
      <c r="Z37" s="72"/>
    </row>
    <row r="38" spans="2:26" ht="14.4" thickBot="1" x14ac:dyDescent="0.3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48"/>
      <c r="N38" s="49"/>
      <c r="O38" s="49"/>
      <c r="P38" s="50"/>
      <c r="Q38" s="51"/>
      <c r="R38" s="52"/>
      <c r="S38" s="34"/>
      <c r="U38" s="53"/>
      <c r="V38" s="42"/>
      <c r="W38" s="42"/>
      <c r="X38" s="44"/>
      <c r="Y38" s="54"/>
      <c r="Z38" s="76"/>
    </row>
    <row r="39" spans="2:26" ht="13.8" x14ac:dyDescent="0.3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77"/>
      <c r="N39" s="78"/>
      <c r="O39" s="79"/>
      <c r="P39" s="80"/>
      <c r="S39" s="34"/>
      <c r="U39" s="40"/>
      <c r="V39" s="42"/>
      <c r="W39" s="42"/>
      <c r="X39" s="44"/>
    </row>
    <row r="40" spans="2:26" ht="13.8" x14ac:dyDescent="0.3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77"/>
      <c r="N40" s="79"/>
      <c r="O40" s="79"/>
      <c r="P40" s="81"/>
      <c r="S40" s="34"/>
      <c r="U40" s="541"/>
      <c r="V40" s="542"/>
      <c r="W40" s="542"/>
      <c r="X40" s="543"/>
    </row>
    <row r="41" spans="2:26" ht="12.75" customHeight="1" x14ac:dyDescent="0.3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77"/>
      <c r="N41" s="79"/>
      <c r="O41" s="79"/>
      <c r="P41" s="81"/>
      <c r="S41" s="34"/>
      <c r="U41" s="40"/>
      <c r="V41" s="42"/>
      <c r="W41" s="57"/>
      <c r="X41" s="44"/>
    </row>
    <row r="42" spans="2:26" ht="13.8" x14ac:dyDescent="0.3">
      <c r="B42" s="33"/>
      <c r="C42" s="96"/>
      <c r="D42" s="96"/>
      <c r="E42" s="33"/>
      <c r="F42" s="33"/>
      <c r="G42" s="33"/>
      <c r="H42" s="33"/>
      <c r="I42" s="33"/>
      <c r="J42" s="33"/>
      <c r="K42" s="33"/>
      <c r="L42" s="33"/>
      <c r="M42" s="77"/>
      <c r="N42" s="79"/>
      <c r="O42" s="79"/>
      <c r="P42" s="81"/>
      <c r="S42" s="34"/>
      <c r="U42" s="53"/>
      <c r="V42" s="43"/>
      <c r="W42" s="42"/>
      <c r="X42" s="44"/>
    </row>
    <row r="43" spans="2:26" ht="14.25" customHeight="1" thickBot="1" x14ac:dyDescent="0.35">
      <c r="B43" s="33"/>
      <c r="C43" s="96"/>
      <c r="D43" s="96"/>
      <c r="E43" s="33"/>
      <c r="F43" s="33"/>
      <c r="G43" s="33"/>
      <c r="H43" s="33"/>
      <c r="I43" s="33"/>
      <c r="J43" s="33"/>
      <c r="K43" s="33"/>
      <c r="L43" s="33"/>
      <c r="M43" s="77"/>
      <c r="N43" s="79"/>
      <c r="O43" s="79"/>
      <c r="P43" s="81"/>
      <c r="S43" s="34"/>
      <c r="U43" s="59"/>
      <c r="V43" s="60"/>
      <c r="W43" s="61"/>
      <c r="X43" s="62"/>
    </row>
    <row r="44" spans="2:26" ht="13.8" x14ac:dyDescent="0.3">
      <c r="B44" s="33"/>
      <c r="C44" s="96"/>
      <c r="D44" s="96"/>
      <c r="E44" s="33"/>
      <c r="F44" s="33"/>
      <c r="G44" s="33"/>
      <c r="H44" s="33"/>
      <c r="I44" s="33"/>
      <c r="J44" s="33"/>
      <c r="K44" s="33"/>
      <c r="L44" s="33"/>
      <c r="M44" s="82"/>
      <c r="N44" s="97"/>
      <c r="O44" s="98"/>
      <c r="P44" s="83"/>
      <c r="S44" s="34"/>
    </row>
    <row r="45" spans="2:26" ht="14.4" thickBot="1" x14ac:dyDescent="0.35">
      <c r="B45" s="33"/>
      <c r="C45" s="96"/>
      <c r="D45" s="96"/>
      <c r="E45" s="33"/>
      <c r="F45" s="33"/>
      <c r="G45" s="33"/>
      <c r="H45" s="33"/>
      <c r="I45" s="33"/>
      <c r="J45" s="33"/>
      <c r="K45" s="33"/>
      <c r="L45" s="33"/>
      <c r="M45" s="84"/>
      <c r="N45" s="85"/>
      <c r="O45" s="99"/>
      <c r="P45" s="87"/>
      <c r="S45" s="34"/>
    </row>
    <row r="46" spans="2:26" ht="14.4" thickBot="1" x14ac:dyDescent="0.35">
      <c r="B46" s="33"/>
      <c r="C46" s="100"/>
      <c r="D46" s="100"/>
      <c r="E46" s="33"/>
      <c r="F46" s="33"/>
      <c r="G46" s="33"/>
      <c r="H46" s="33"/>
      <c r="I46" s="33"/>
      <c r="J46" s="33"/>
      <c r="K46" s="33"/>
      <c r="L46" s="33"/>
      <c r="S46" s="34"/>
    </row>
    <row r="47" spans="2:26" ht="13.8" x14ac:dyDescent="0.3">
      <c r="B47" s="33"/>
      <c r="C47" s="96"/>
      <c r="D47" s="96"/>
      <c r="E47" s="33"/>
      <c r="F47" s="33"/>
      <c r="G47" s="33"/>
      <c r="H47" s="33"/>
      <c r="I47" s="33"/>
      <c r="J47" s="33"/>
      <c r="K47" s="33"/>
      <c r="L47" s="33"/>
      <c r="M47" s="528"/>
      <c r="N47" s="529"/>
      <c r="O47" s="529"/>
      <c r="P47" s="530"/>
      <c r="Q47" s="531"/>
      <c r="R47" s="532"/>
      <c r="S47" s="34"/>
      <c r="U47" s="536"/>
      <c r="V47" s="537"/>
      <c r="W47" s="537"/>
      <c r="X47" s="538"/>
      <c r="Y47" s="35"/>
      <c r="Z47" s="69"/>
    </row>
    <row r="48" spans="2:26" ht="13.8" x14ac:dyDescent="0.3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533"/>
      <c r="N48" s="534"/>
      <c r="O48" s="534"/>
      <c r="P48" s="535"/>
      <c r="Q48" s="101"/>
      <c r="R48" s="41"/>
      <c r="S48" s="34"/>
      <c r="U48" s="40"/>
      <c r="V48" s="42"/>
      <c r="W48" s="43"/>
      <c r="X48" s="44"/>
      <c r="Y48" s="45"/>
      <c r="Z48" s="72"/>
    </row>
    <row r="49" spans="2:26" ht="14.4" thickBot="1" x14ac:dyDescent="0.3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48"/>
      <c r="N49" s="49"/>
      <c r="O49" s="49"/>
      <c r="P49" s="50"/>
      <c r="Q49" s="102"/>
      <c r="R49" s="52"/>
      <c r="S49" s="34"/>
      <c r="U49" s="53"/>
      <c r="V49" s="42"/>
      <c r="W49" s="42"/>
      <c r="X49" s="44"/>
      <c r="Y49" s="54"/>
      <c r="Z49" s="76"/>
    </row>
    <row r="50" spans="2:26" ht="13.8" x14ac:dyDescent="0.3">
      <c r="B50" s="34" t="s">
        <v>252</v>
      </c>
      <c r="M50" s="77"/>
      <c r="N50" s="78"/>
      <c r="O50" s="79"/>
      <c r="P50" s="80"/>
      <c r="S50" s="34"/>
      <c r="U50" s="40"/>
      <c r="V50" s="42"/>
      <c r="W50" s="42"/>
      <c r="X50" s="44"/>
    </row>
    <row r="51" spans="2:26" ht="13.8" x14ac:dyDescent="0.3">
      <c r="B51" s="34" t="s">
        <v>253</v>
      </c>
      <c r="M51" s="77"/>
      <c r="N51" s="79"/>
      <c r="O51" s="79"/>
      <c r="P51" s="81"/>
      <c r="S51" s="34"/>
      <c r="U51" s="533"/>
      <c r="V51" s="534"/>
      <c r="W51" s="534"/>
      <c r="X51" s="535"/>
    </row>
    <row r="52" spans="2:26" ht="13.8" x14ac:dyDescent="0.3">
      <c r="B52" s="34" t="s">
        <v>254</v>
      </c>
      <c r="M52" s="77"/>
      <c r="N52" s="79"/>
      <c r="O52" s="79"/>
      <c r="P52" s="81"/>
      <c r="S52" s="34"/>
      <c r="U52" s="40"/>
      <c r="V52" s="42"/>
      <c r="W52" s="57"/>
      <c r="X52" s="44"/>
    </row>
    <row r="53" spans="2:26" ht="12.75" customHeight="1" x14ac:dyDescent="0.3">
      <c r="B53" s="34" t="s">
        <v>255</v>
      </c>
      <c r="M53" s="77"/>
      <c r="N53" s="79"/>
      <c r="O53" s="79"/>
      <c r="P53" s="81"/>
      <c r="S53" s="34"/>
      <c r="U53" s="53"/>
      <c r="V53" s="43"/>
      <c r="W53" s="42"/>
      <c r="X53" s="44"/>
    </row>
    <row r="54" spans="2:26" ht="14.4" thickBot="1" x14ac:dyDescent="0.35">
      <c r="B54" s="34" t="s">
        <v>256</v>
      </c>
      <c r="M54" s="77"/>
      <c r="N54" s="79"/>
      <c r="O54" s="79"/>
      <c r="P54" s="81"/>
      <c r="S54" s="34"/>
      <c r="U54" s="59"/>
      <c r="V54" s="60"/>
      <c r="W54" s="61"/>
      <c r="X54" s="62"/>
    </row>
    <row r="55" spans="2:26" ht="12.75" customHeight="1" x14ac:dyDescent="0.3">
      <c r="B55" s="34" t="s">
        <v>257</v>
      </c>
      <c r="M55" s="82"/>
      <c r="N55" s="97"/>
      <c r="O55" s="98"/>
      <c r="P55" s="83"/>
      <c r="S55" s="34"/>
    </row>
    <row r="56" spans="2:26" ht="14.4" thickBot="1" x14ac:dyDescent="0.35">
      <c r="B56" s="34" t="s">
        <v>258</v>
      </c>
      <c r="M56" s="84"/>
      <c r="N56" s="85"/>
      <c r="O56" s="99"/>
      <c r="P56" s="87"/>
      <c r="S56" s="34"/>
    </row>
    <row r="57" spans="2:26" ht="14.4" thickBot="1" x14ac:dyDescent="0.35">
      <c r="B57" s="34" t="s">
        <v>259</v>
      </c>
      <c r="C57" s="90"/>
      <c r="D57" s="33"/>
      <c r="E57" s="33"/>
      <c r="F57" s="33"/>
      <c r="G57" s="33"/>
      <c r="H57" s="33"/>
      <c r="I57" s="33"/>
      <c r="J57" s="33"/>
      <c r="K57" s="33"/>
      <c r="L57" s="33"/>
      <c r="S57" s="34"/>
    </row>
    <row r="58" spans="2:26" ht="13.8" x14ac:dyDescent="0.3">
      <c r="B58" s="34" t="s">
        <v>153</v>
      </c>
      <c r="C58" s="93"/>
      <c r="D58" s="33"/>
      <c r="E58" s="33"/>
      <c r="F58" s="33"/>
      <c r="G58" s="33"/>
      <c r="H58" s="33"/>
      <c r="I58" s="33"/>
      <c r="J58" s="33"/>
      <c r="K58" s="33"/>
      <c r="L58" s="33"/>
      <c r="M58" s="528"/>
      <c r="N58" s="529"/>
      <c r="O58" s="529"/>
      <c r="P58" s="530"/>
      <c r="Q58" s="531"/>
      <c r="R58" s="532"/>
    </row>
    <row r="59" spans="2:26" ht="13.8" x14ac:dyDescent="0.3">
      <c r="B59" s="34" t="s">
        <v>260</v>
      </c>
      <c r="C59" s="95"/>
      <c r="D59" s="33"/>
      <c r="E59" s="33"/>
      <c r="F59" s="33"/>
      <c r="G59" s="33"/>
      <c r="H59" s="33"/>
      <c r="I59" s="33"/>
      <c r="J59" s="33"/>
      <c r="K59" s="33"/>
      <c r="L59" s="33"/>
      <c r="M59" s="533"/>
      <c r="N59" s="534"/>
      <c r="O59" s="534"/>
      <c r="P59" s="535"/>
      <c r="Q59" s="101"/>
      <c r="R59" s="41"/>
    </row>
    <row r="60" spans="2:26" ht="14.4" thickBot="1" x14ac:dyDescent="0.35">
      <c r="B60" s="34" t="s">
        <v>261</v>
      </c>
      <c r="C60" s="95"/>
      <c r="M60" s="48"/>
      <c r="N60" s="49"/>
      <c r="O60" s="49"/>
      <c r="P60" s="50"/>
      <c r="Q60" s="102"/>
      <c r="R60" s="52"/>
    </row>
    <row r="61" spans="2:26" ht="13.8" x14ac:dyDescent="0.3">
      <c r="B61" s="34" t="s">
        <v>262</v>
      </c>
      <c r="C61" s="90"/>
      <c r="M61" s="77"/>
      <c r="N61" s="78"/>
      <c r="O61" s="79"/>
      <c r="P61" s="80"/>
    </row>
    <row r="62" spans="2:26" ht="13.8" x14ac:dyDescent="0.3">
      <c r="B62" s="34" t="s">
        <v>263</v>
      </c>
      <c r="C62" s="90"/>
      <c r="M62" s="77"/>
      <c r="N62" s="79"/>
      <c r="O62" s="79"/>
      <c r="P62" s="81"/>
    </row>
    <row r="63" spans="2:26" ht="13.8" x14ac:dyDescent="0.3">
      <c r="B63" s="34" t="s">
        <v>264</v>
      </c>
      <c r="M63" s="77"/>
      <c r="N63" s="79"/>
      <c r="O63" s="79"/>
      <c r="P63" s="81"/>
    </row>
    <row r="64" spans="2:26" ht="13.8" x14ac:dyDescent="0.3">
      <c r="B64" s="34" t="s">
        <v>265</v>
      </c>
      <c r="M64" s="77"/>
      <c r="N64" s="79"/>
      <c r="O64" s="79"/>
      <c r="P64" s="81"/>
    </row>
    <row r="65" spans="2:16" ht="13.8" x14ac:dyDescent="0.3">
      <c r="B65" s="34" t="s">
        <v>266</v>
      </c>
      <c r="M65" s="77"/>
      <c r="N65" s="79"/>
      <c r="O65" s="79"/>
      <c r="P65" s="81"/>
    </row>
    <row r="66" spans="2:16" ht="13.8" x14ac:dyDescent="0.3">
      <c r="B66" s="34" t="s">
        <v>267</v>
      </c>
      <c r="M66" s="82"/>
      <c r="N66" s="97"/>
      <c r="O66" s="79"/>
      <c r="P66" s="83"/>
    </row>
    <row r="67" spans="2:16" ht="14.4" thickBot="1" x14ac:dyDescent="0.35">
      <c r="B67" s="34" t="s">
        <v>268</v>
      </c>
      <c r="M67" s="84"/>
      <c r="N67" s="85"/>
      <c r="O67" s="86"/>
      <c r="P67" s="87"/>
    </row>
    <row r="68" spans="2:16" ht="13.8" x14ac:dyDescent="0.3">
      <c r="B68" s="34" t="s">
        <v>269</v>
      </c>
    </row>
    <row r="73" spans="2:16" ht="12" customHeight="1" x14ac:dyDescent="0.3">
      <c r="B73" s="1" t="str">
        <f>B97</f>
        <v>Anak Timbangan Standar, Merek : HÄFNER, Tipe : 7.MEHM-210, SN : 2790715</v>
      </c>
      <c r="C73" s="162">
        <v>1</v>
      </c>
      <c r="D73"/>
      <c r="E73"/>
      <c r="F73"/>
      <c r="G73"/>
      <c r="H73"/>
      <c r="I73"/>
      <c r="J73"/>
      <c r="K73"/>
      <c r="P73" s="359"/>
    </row>
    <row r="74" spans="2:16" ht="15.6" x14ac:dyDescent="0.3">
      <c r="B74" s="1" t="str">
        <f t="shared" ref="B74:B79" si="0">B98</f>
        <v>Anak Timbangan Standar, Merek : HÄFNER, Tipe : 7.MEHM-210, SN : 1060716</v>
      </c>
      <c r="C74" s="162">
        <v>2</v>
      </c>
      <c r="D74"/>
      <c r="E74"/>
      <c r="F74"/>
      <c r="G74"/>
      <c r="H74"/>
      <c r="I74"/>
      <c r="J74"/>
      <c r="K74"/>
      <c r="P74" s="360"/>
    </row>
    <row r="75" spans="2:16" ht="15.6" x14ac:dyDescent="0.3">
      <c r="B75" s="1" t="str">
        <f t="shared" si="0"/>
        <v>Anak Timbangan Standar, Merek : HÄFNER, Tipe : 7.MEHM-210, SN : 1840819</v>
      </c>
      <c r="C75" s="162">
        <v>3</v>
      </c>
      <c r="D75"/>
      <c r="E75"/>
      <c r="F75"/>
      <c r="G75"/>
      <c r="H75"/>
      <c r="I75" t="s">
        <v>181</v>
      </c>
      <c r="J75"/>
      <c r="K75"/>
      <c r="P75" s="360"/>
    </row>
    <row r="76" spans="2:16" ht="14.4" x14ac:dyDescent="0.3">
      <c r="B76" s="1" t="str">
        <f t="shared" si="0"/>
        <v>Anak Timbangan Standar, Merek : HÄFNER, Tipe : 7.MEHM-210, SN : 1850819</v>
      </c>
      <c r="C76" s="162">
        <v>4</v>
      </c>
      <c r="D76"/>
      <c r="E76"/>
      <c r="F76"/>
      <c r="G76"/>
      <c r="H76"/>
      <c r="I76"/>
      <c r="J76"/>
      <c r="K76"/>
    </row>
    <row r="77" spans="2:16" ht="14.4" x14ac:dyDescent="0.3">
      <c r="B77" s="1" t="str">
        <f t="shared" si="0"/>
        <v>Anak Timbangan Standar, Merek : HÄFNER, Tipe : 7.MEHM-210, SN : 4490920</v>
      </c>
      <c r="C77" s="162">
        <v>5</v>
      </c>
      <c r="D77"/>
      <c r="E77"/>
      <c r="F77"/>
      <c r="G77"/>
      <c r="H77"/>
      <c r="I77"/>
      <c r="J77"/>
      <c r="K77"/>
    </row>
    <row r="78" spans="2:16" ht="14.4" x14ac:dyDescent="0.3">
      <c r="B78" s="1" t="str">
        <f t="shared" si="0"/>
        <v>Anak Timbangan Standar, Merek : HÄFNER, Tipe : 7.MEHM-210, SN : 4470920</v>
      </c>
      <c r="C78" s="162">
        <v>6</v>
      </c>
      <c r="D78"/>
      <c r="E78"/>
      <c r="F78"/>
      <c r="G78"/>
      <c r="H78"/>
      <c r="I78"/>
      <c r="J78"/>
      <c r="K78"/>
    </row>
    <row r="79" spans="2:16" ht="14.4" x14ac:dyDescent="0.3">
      <c r="B79" s="1" t="str">
        <f t="shared" si="0"/>
        <v>Anak Timbangan Standar, Merek : HÄFNER, Tipe : 7.MEHM-210, SN : 4480920</v>
      </c>
      <c r="C79" s="162">
        <v>7</v>
      </c>
      <c r="D79"/>
      <c r="E79"/>
      <c r="F79"/>
      <c r="G79"/>
      <c r="H79"/>
      <c r="I79"/>
      <c r="J79"/>
      <c r="K79"/>
    </row>
    <row r="80" spans="2:16" ht="14.4" x14ac:dyDescent="0.3">
      <c r="B80" s="437" t="str">
        <f>B104</f>
        <v>Anak Timbangan Standar, Merek : HÄFNER, Tipe : 7.MEHM-210, SN : 6190321</v>
      </c>
      <c r="C80" s="162">
        <v>8</v>
      </c>
      <c r="D80"/>
      <c r="E80"/>
      <c r="F80"/>
      <c r="G80"/>
      <c r="H80"/>
      <c r="I80"/>
      <c r="J80"/>
      <c r="K80"/>
    </row>
    <row r="81" spans="1:11" ht="13.8" x14ac:dyDescent="0.2">
      <c r="A81" s="163">
        <v>1</v>
      </c>
      <c r="B81" s="164" t="s">
        <v>103</v>
      </c>
    </row>
    <row r="82" spans="1:11" ht="13.8" x14ac:dyDescent="0.2">
      <c r="A82" s="163">
        <v>2</v>
      </c>
      <c r="B82" s="164" t="s">
        <v>270</v>
      </c>
    </row>
    <row r="83" spans="1:11" ht="13.8" x14ac:dyDescent="0.2">
      <c r="A83" s="163">
        <v>3</v>
      </c>
      <c r="B83" s="164" t="s">
        <v>271</v>
      </c>
    </row>
    <row r="84" spans="1:11" ht="13.8" x14ac:dyDescent="0.2">
      <c r="A84" s="163">
        <v>4</v>
      </c>
      <c r="B84" s="164" t="s">
        <v>271</v>
      </c>
    </row>
    <row r="85" spans="1:11" ht="13.8" x14ac:dyDescent="0.2">
      <c r="A85" s="163">
        <v>5</v>
      </c>
      <c r="B85" s="164" t="s">
        <v>271</v>
      </c>
    </row>
    <row r="86" spans="1:11" ht="13.8" x14ac:dyDescent="0.2">
      <c r="A86" s="163">
        <v>6</v>
      </c>
      <c r="B86" s="164" t="s">
        <v>271</v>
      </c>
    </row>
    <row r="87" spans="1:11" ht="13.8" x14ac:dyDescent="0.2">
      <c r="A87" s="163">
        <v>7</v>
      </c>
      <c r="B87" s="164" t="s">
        <v>271</v>
      </c>
    </row>
    <row r="88" spans="1:11" ht="13.8" x14ac:dyDescent="0.2">
      <c r="A88" s="163">
        <v>8</v>
      </c>
      <c r="B88" s="164" t="s">
        <v>270</v>
      </c>
    </row>
    <row r="89" spans="1:11" x14ac:dyDescent="0.2">
      <c r="B89" s="165" t="str">
        <f>ID!B63:G63</f>
        <v>Anak Timbangan Standar, Merek : HÄFNER, Tipe : 7.MEHM-210, SN : 2790715</v>
      </c>
      <c r="C89" s="165">
        <f>VLOOKUP(B89,B73:C80,2,(FALSE))</f>
        <v>1</v>
      </c>
    </row>
    <row r="90" spans="1:11" x14ac:dyDescent="0.2">
      <c r="B90" s="165" t="str">
        <f>VLOOKUP(C89,A81:B88,2,(FALSE))</f>
        <v>Hasil pengujian kinerja timbangan bayi tertelusur ke Satuan Internasional ( SI ) melalui SNSU</v>
      </c>
      <c r="C90" s="165"/>
    </row>
    <row r="92" spans="1:11" ht="14.4" x14ac:dyDescent="0.3">
      <c r="B92" s="545" t="str">
        <f>VLOOKUP($C$89,$A$97:$Z$104,3,(FALSE))</f>
        <v>Anak Timbangan Standar, Merek : HÄFNER, Tipe : 7.MEHM-220, SN : 2800715</v>
      </c>
      <c r="C92" s="545"/>
      <c r="D92" s="545"/>
      <c r="E92" s="545"/>
      <c r="F92" s="545"/>
      <c r="G92" s="545"/>
      <c r="H92" s="545"/>
      <c r="I92" s="545"/>
      <c r="J92" s="545"/>
      <c r="K92" s="545"/>
    </row>
    <row r="93" spans="1:11" ht="14.4" x14ac:dyDescent="0.3">
      <c r="B93" s="545" t="str">
        <f>VLOOKUP(C89,$A$97:$Z$104,13,(FALSE))</f>
        <v>Anak Timbangan Standar, Merek : HÄFNER, Tipe : 7.MEHM-220, SN : 2810715</v>
      </c>
      <c r="C93" s="545"/>
      <c r="D93" s="545"/>
      <c r="E93" s="545"/>
      <c r="F93" s="545"/>
      <c r="G93" s="545"/>
      <c r="H93" s="545"/>
      <c r="I93" s="545"/>
      <c r="J93" s="545"/>
      <c r="K93" s="545"/>
    </row>
    <row r="94" spans="1:11" ht="14.4" x14ac:dyDescent="0.3">
      <c r="B94" s="545" t="str">
        <f>VLOOKUP(C89,$A$97:$Z$104,20,(FALSE))</f>
        <v>Anak Timbangan Standar, Merek : HÄFNER, Tipe : 7.MEHM-230, SN : 2710715</v>
      </c>
      <c r="C94" s="545"/>
      <c r="D94" s="545"/>
      <c r="E94" s="545"/>
      <c r="F94" s="545"/>
      <c r="G94" s="545"/>
      <c r="H94" s="545"/>
      <c r="I94" s="545"/>
      <c r="J94" s="545"/>
      <c r="K94" s="545"/>
    </row>
    <row r="97" spans="1:26" ht="14.4" x14ac:dyDescent="0.3">
      <c r="A97" s="351">
        <v>1</v>
      </c>
      <c r="B97" s="350" t="s">
        <v>406</v>
      </c>
      <c r="C97" s="361" t="s">
        <v>414</v>
      </c>
      <c r="D97" s="362"/>
      <c r="E97" s="362"/>
      <c r="F97" s="362"/>
      <c r="G97" s="362"/>
      <c r="H97" s="362"/>
      <c r="I97" s="362"/>
      <c r="J97" s="362"/>
      <c r="K97" s="362"/>
      <c r="L97" s="363"/>
      <c r="M97" s="361" t="s">
        <v>422</v>
      </c>
      <c r="N97" s="362"/>
      <c r="O97" s="362"/>
      <c r="P97" s="362"/>
      <c r="Q97" s="362"/>
      <c r="R97" s="362"/>
      <c r="S97" s="363"/>
      <c r="T97" s="361" t="s">
        <v>430</v>
      </c>
      <c r="U97" s="362"/>
      <c r="V97" s="362"/>
      <c r="W97" s="362"/>
      <c r="X97" s="362"/>
      <c r="Y97" s="362"/>
      <c r="Z97" s="363"/>
    </row>
    <row r="98" spans="1:26" ht="14.4" x14ac:dyDescent="0.3">
      <c r="A98" s="351">
        <v>2</v>
      </c>
      <c r="B98" s="350" t="s">
        <v>407</v>
      </c>
      <c r="C98" s="364" t="s">
        <v>415</v>
      </c>
      <c r="D98" s="365"/>
      <c r="E98" s="365"/>
      <c r="F98" s="365"/>
      <c r="G98" s="365"/>
      <c r="H98" s="365"/>
      <c r="I98" s="365"/>
      <c r="J98" s="365"/>
      <c r="K98" s="365"/>
      <c r="L98" s="366"/>
      <c r="M98" s="364" t="s">
        <v>423</v>
      </c>
      <c r="N98" s="365"/>
      <c r="O98" s="365"/>
      <c r="P98" s="365"/>
      <c r="Q98" s="365"/>
      <c r="R98" s="365"/>
      <c r="S98" s="365"/>
      <c r="T98" s="364" t="s">
        <v>431</v>
      </c>
      <c r="U98" s="365"/>
      <c r="V98" s="365"/>
      <c r="W98" s="365"/>
      <c r="X98" s="365"/>
      <c r="Y98" s="365"/>
      <c r="Z98" s="366"/>
    </row>
    <row r="99" spans="1:26" ht="14.4" x14ac:dyDescent="0.3">
      <c r="A99" s="351">
        <v>3</v>
      </c>
      <c r="B99" s="350" t="s">
        <v>408</v>
      </c>
      <c r="C99" s="364" t="s">
        <v>416</v>
      </c>
      <c r="D99" s="365"/>
      <c r="E99" s="365"/>
      <c r="F99" s="365"/>
      <c r="G99" s="365"/>
      <c r="H99" s="365"/>
      <c r="I99" s="365"/>
      <c r="J99" s="365"/>
      <c r="K99" s="365"/>
      <c r="L99" s="366"/>
      <c r="M99" s="364" t="s">
        <v>424</v>
      </c>
      <c r="N99" s="365"/>
      <c r="O99" s="365"/>
      <c r="P99" s="365"/>
      <c r="Q99" s="365"/>
      <c r="R99" s="365"/>
      <c r="S99" s="366"/>
      <c r="T99" s="364" t="s">
        <v>432</v>
      </c>
      <c r="U99" s="365"/>
      <c r="V99" s="365"/>
      <c r="W99" s="365"/>
      <c r="X99" s="365"/>
      <c r="Y99" s="365"/>
      <c r="Z99" s="366"/>
    </row>
    <row r="100" spans="1:26" ht="14.4" x14ac:dyDescent="0.3">
      <c r="A100" s="351">
        <v>4</v>
      </c>
      <c r="B100" s="350" t="s">
        <v>409</v>
      </c>
      <c r="C100" s="367" t="s">
        <v>417</v>
      </c>
      <c r="D100" s="368"/>
      <c r="E100" s="368"/>
      <c r="F100" s="368"/>
      <c r="G100" s="368"/>
      <c r="H100" s="368"/>
      <c r="I100" s="368"/>
      <c r="J100" s="368"/>
      <c r="K100" s="368"/>
      <c r="L100" s="369"/>
      <c r="M100" s="367" t="s">
        <v>425</v>
      </c>
      <c r="N100" s="368"/>
      <c r="O100" s="368"/>
      <c r="P100" s="368"/>
      <c r="Q100" s="368"/>
      <c r="R100" s="368"/>
      <c r="S100" s="369"/>
      <c r="T100" s="367" t="s">
        <v>433</v>
      </c>
      <c r="U100" s="368"/>
      <c r="V100" s="368"/>
      <c r="W100" s="368"/>
      <c r="X100" s="368"/>
      <c r="Y100" s="368"/>
      <c r="Z100" s="369"/>
    </row>
    <row r="101" spans="1:26" ht="14.4" x14ac:dyDescent="0.3">
      <c r="A101" s="370">
        <v>5</v>
      </c>
      <c r="B101" s="350" t="str">
        <f>'Sertifikat '!A43</f>
        <v>Anak Timbangan Standar, Merek : HÄFNER, Tipe : 7.MEHM-210, SN : 4490920</v>
      </c>
      <c r="C101" s="367" t="str">
        <f>'Sertifikat '!A53</f>
        <v>Anak Timbangan Standar, Merek : HÄFNER, Tipe : 7.MEHM-220, SN : 4420920</v>
      </c>
      <c r="D101" s="371"/>
      <c r="E101" s="371"/>
      <c r="F101" s="371"/>
      <c r="G101" s="371"/>
      <c r="H101" s="371"/>
      <c r="I101" s="371"/>
      <c r="J101" s="371"/>
      <c r="K101" s="371"/>
      <c r="L101" s="371"/>
      <c r="M101" s="367" t="str">
        <f>'Sertifikat '!A63</f>
        <v>Anak Timbangan Standar, Merek : HÄFNER, Tipe : 7.MEHM-220, SN : 4460920</v>
      </c>
      <c r="N101" s="371"/>
      <c r="O101" s="371"/>
      <c r="P101" s="371"/>
      <c r="Q101" s="371"/>
      <c r="R101" s="371"/>
      <c r="S101" s="371"/>
      <c r="T101" s="367" t="str">
        <f>'Sertifikat '!A73</f>
        <v>Anak Timbangan Standar, Merek : HÄFNER, Tipe : 7.MEHM-230, SN : 4250920</v>
      </c>
      <c r="U101" s="371"/>
      <c r="V101" s="371"/>
      <c r="W101" s="371"/>
      <c r="X101" s="371"/>
      <c r="Y101" s="371"/>
      <c r="Z101" s="371"/>
    </row>
    <row r="102" spans="1:26" ht="14.4" x14ac:dyDescent="0.3">
      <c r="A102" s="370">
        <v>6</v>
      </c>
      <c r="B102" s="350" t="str">
        <f>'Sertifikat '!A44</f>
        <v>Anak Timbangan Standar, Merek : HÄFNER, Tipe : 7.MEHM-210, SN : 4470920</v>
      </c>
      <c r="C102" s="367" t="str">
        <f>'Sertifikat '!A54</f>
        <v>Anak Timbangan Standar, Merek : HÄFNER, Tipe : 7.MEHM-220, SN : 4450920</v>
      </c>
      <c r="D102" s="371"/>
      <c r="E102" s="371"/>
      <c r="F102" s="371"/>
      <c r="G102" s="371"/>
      <c r="H102" s="371"/>
      <c r="I102" s="371"/>
      <c r="J102" s="371"/>
      <c r="K102" s="371"/>
      <c r="L102" s="371"/>
      <c r="M102" s="367" t="str">
        <f>'Sertifikat '!A64</f>
        <v>Anak Timbangan Standar, Merek : HÄFNER, Tipe : 7.MEHM-220, SN : 4400920</v>
      </c>
      <c r="N102" s="371"/>
      <c r="O102" s="371"/>
      <c r="P102" s="371"/>
      <c r="Q102" s="371"/>
      <c r="R102" s="371"/>
      <c r="S102" s="371"/>
      <c r="T102" s="367" t="str">
        <f>'Sertifikat '!A74</f>
        <v>Anak Timbangan Standar, Merek : HÄFNER, Tipe : 7.MEHM-230, SN : 4270920</v>
      </c>
      <c r="U102" s="371"/>
      <c r="V102" s="371"/>
      <c r="W102" s="371"/>
      <c r="X102" s="371"/>
      <c r="Y102" s="371"/>
      <c r="Z102" s="371"/>
    </row>
    <row r="103" spans="1:26" ht="14.4" x14ac:dyDescent="0.3">
      <c r="A103" s="370">
        <v>7</v>
      </c>
      <c r="B103" s="350" t="str">
        <f>'Sertifikat '!A45</f>
        <v>Anak Timbangan Standar, Merek : HÄFNER, Tipe : 7.MEHM-210, SN : 4480920</v>
      </c>
      <c r="C103" s="367" t="str">
        <f>'Sertifikat '!A55</f>
        <v>Anak Timbangan Standar, Merek : HÄFNER, Tipe : 7.MEHM-220, SN : 4380920</v>
      </c>
      <c r="D103" s="371"/>
      <c r="E103" s="371"/>
      <c r="F103" s="371"/>
      <c r="G103" s="371"/>
      <c r="H103" s="371"/>
      <c r="I103" s="371"/>
      <c r="J103" s="371"/>
      <c r="K103" s="371"/>
      <c r="L103" s="371"/>
      <c r="M103" s="367" t="str">
        <f>'Sertifikat '!A65</f>
        <v>Anak Timbangan Standar, Merek : HÄFNER, Tipe : 7.MEHM-220, SN : 4370920</v>
      </c>
      <c r="N103" s="371"/>
      <c r="O103" s="371"/>
      <c r="P103" s="371"/>
      <c r="Q103" s="371"/>
      <c r="R103" s="371"/>
      <c r="S103" s="371"/>
      <c r="T103" s="367" t="str">
        <f>'Sertifikat '!A75</f>
        <v>Anak Timbangan Standar, Merek : HÄFNER, Tipe : 7.MEHM-230, SN : 4260920</v>
      </c>
      <c r="U103" s="371"/>
      <c r="V103" s="371"/>
      <c r="W103" s="371"/>
      <c r="X103" s="371"/>
      <c r="Y103" s="371"/>
      <c r="Z103" s="371"/>
    </row>
    <row r="104" spans="1:26" ht="14.4" x14ac:dyDescent="0.3">
      <c r="A104" s="32">
        <v>8</v>
      </c>
      <c r="B104" s="350" t="str">
        <f>'Sertifikat '!A46</f>
        <v>Anak Timbangan Standar, Merek : HÄFNER, Tipe : 7.MEHM-210, SN : 6190321</v>
      </c>
      <c r="C104" s="367" t="str">
        <f>'Sertifikat '!A56</f>
        <v>Anak Timbangan Standar, Merek : HÄFNER, Tipe : 7.MEHM-210, SN : 6230321</v>
      </c>
      <c r="D104" s="371"/>
      <c r="E104" s="371"/>
      <c r="F104" s="371"/>
      <c r="G104" s="371"/>
      <c r="H104" s="371"/>
      <c r="I104" s="371"/>
      <c r="J104" s="371"/>
      <c r="K104" s="371"/>
      <c r="L104" s="371"/>
      <c r="M104" s="367" t="str">
        <f>'Sertifikat '!A66</f>
        <v>Anak Timbangan Standar, Merek : HÄFNER, Tipe : 7.MEHM-210, SN : 6240321</v>
      </c>
      <c r="N104" s="371"/>
      <c r="O104" s="371"/>
      <c r="P104" s="371"/>
      <c r="Q104" s="371"/>
      <c r="R104" s="371"/>
      <c r="S104" s="371"/>
      <c r="T104" s="367" t="str">
        <f>'Sertifikat '!A76</f>
        <v>Anak Timbangan Standar, Merek : HÄFNER, Tipe : 7.MEHM-210, SN : 6140321</v>
      </c>
      <c r="U104" s="371"/>
      <c r="V104" s="371"/>
      <c r="W104" s="371"/>
      <c r="X104" s="371"/>
      <c r="Y104" s="371"/>
      <c r="Z104" s="371"/>
    </row>
    <row r="166" spans="1:3" x14ac:dyDescent="0.2">
      <c r="A166" s="88"/>
    </row>
    <row r="167" spans="1:3" x14ac:dyDescent="0.2">
      <c r="A167" s="103"/>
    </row>
    <row r="168" spans="1:3" x14ac:dyDescent="0.2">
      <c r="A168" s="88"/>
    </row>
    <row r="169" spans="1:3" x14ac:dyDescent="0.2">
      <c r="C169" s="67"/>
    </row>
    <row r="170" spans="1:3" x14ac:dyDescent="0.2">
      <c r="C170" s="67"/>
    </row>
    <row r="174" spans="1:3" x14ac:dyDescent="0.2">
      <c r="A174" s="88"/>
    </row>
    <row r="175" spans="1:3" x14ac:dyDescent="0.2">
      <c r="A175" s="88"/>
    </row>
    <row r="176" spans="1:3" x14ac:dyDescent="0.2">
      <c r="A176" s="88"/>
    </row>
    <row r="177" spans="1:1" x14ac:dyDescent="0.2">
      <c r="A177" s="88"/>
    </row>
    <row r="178" spans="1:1" x14ac:dyDescent="0.2">
      <c r="A178" s="88"/>
    </row>
    <row r="179" spans="1:1" x14ac:dyDescent="0.2">
      <c r="A179" s="88"/>
    </row>
    <row r="180" spans="1:1" x14ac:dyDescent="0.2">
      <c r="A180" s="88"/>
    </row>
    <row r="181" spans="1:1" x14ac:dyDescent="0.2">
      <c r="A181" s="88"/>
    </row>
    <row r="182" spans="1:1" x14ac:dyDescent="0.2">
      <c r="A182" s="88"/>
    </row>
    <row r="183" spans="1:1" x14ac:dyDescent="0.2">
      <c r="A183" s="88"/>
    </row>
    <row r="184" spans="1:1" x14ac:dyDescent="0.2">
      <c r="A184" s="88"/>
    </row>
    <row r="185" spans="1:1" x14ac:dyDescent="0.2">
      <c r="A185" s="88"/>
    </row>
    <row r="186" spans="1:1" x14ac:dyDescent="0.2">
      <c r="A186" s="88"/>
    </row>
    <row r="187" spans="1:1" x14ac:dyDescent="0.2">
      <c r="A187" s="88"/>
    </row>
    <row r="188" spans="1:1" x14ac:dyDescent="0.2">
      <c r="A188" s="88"/>
    </row>
    <row r="189" spans="1:1" x14ac:dyDescent="0.2">
      <c r="A189" s="88"/>
    </row>
    <row r="190" spans="1:1" x14ac:dyDescent="0.2">
      <c r="A190" s="88"/>
    </row>
    <row r="191" spans="1:1" x14ac:dyDescent="0.2">
      <c r="A191" s="88"/>
    </row>
    <row r="192" spans="1:1" x14ac:dyDescent="0.2">
      <c r="A192" s="88"/>
    </row>
    <row r="193" spans="1:1" x14ac:dyDescent="0.2">
      <c r="A193" s="88"/>
    </row>
    <row r="194" spans="1:1" x14ac:dyDescent="0.2">
      <c r="A194" s="88"/>
    </row>
    <row r="195" spans="1:1" x14ac:dyDescent="0.2">
      <c r="A195" s="88"/>
    </row>
    <row r="196" spans="1:1" x14ac:dyDescent="0.2">
      <c r="A196" s="88"/>
    </row>
  </sheetData>
  <mergeCells count="34">
    <mergeCell ref="B92:K92"/>
    <mergeCell ref="B93:K93"/>
    <mergeCell ref="B94:K94"/>
    <mergeCell ref="U5:X5"/>
    <mergeCell ref="M1:P1"/>
    <mergeCell ref="Q1:R1"/>
    <mergeCell ref="U1:X1"/>
    <mergeCell ref="O2:P2"/>
    <mergeCell ref="U18:X18"/>
    <mergeCell ref="M14:P14"/>
    <mergeCell ref="Q14:R14"/>
    <mergeCell ref="U14:X14"/>
    <mergeCell ref="O15:P15"/>
    <mergeCell ref="U29:X29"/>
    <mergeCell ref="M25:P25"/>
    <mergeCell ref="Q25:R25"/>
    <mergeCell ref="U25:X25"/>
    <mergeCell ref="O26:P26"/>
    <mergeCell ref="U40:X40"/>
    <mergeCell ref="M36:P36"/>
    <mergeCell ref="Q36:R36"/>
    <mergeCell ref="U36:X36"/>
    <mergeCell ref="M37:N37"/>
    <mergeCell ref="O37:P37"/>
    <mergeCell ref="M47:P47"/>
    <mergeCell ref="Q47:R47"/>
    <mergeCell ref="U47:X47"/>
    <mergeCell ref="M48:N48"/>
    <mergeCell ref="O48:P48"/>
    <mergeCell ref="M58:P58"/>
    <mergeCell ref="Q58:R58"/>
    <mergeCell ref="M59:N59"/>
    <mergeCell ref="O59:P59"/>
    <mergeCell ref="U51:X51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11</xdr:col>
                <xdr:colOff>15240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5">
            <anchor moveWithCells="1" sizeWithCells="1">
              <from>
                <xdr:col>11</xdr:col>
                <xdr:colOff>15240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098" r:id="rId6"/>
      </mc:Fallback>
    </mc:AlternateContent>
    <mc:AlternateContent xmlns:mc="http://schemas.openxmlformats.org/markup-compatibility/2006">
      <mc:Choice Requires="x14">
        <oleObject progId="Equation.3" shapeId="4099" r:id="rId7">
          <objectPr defaultSize="0" autoPict="0" r:id="rId5">
            <anchor moveWithCells="1" sizeWithCells="1">
              <from>
                <xdr:col>11</xdr:col>
                <xdr:colOff>15240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099" r:id="rId7"/>
      </mc:Fallback>
    </mc:AlternateContent>
    <mc:AlternateContent xmlns:mc="http://schemas.openxmlformats.org/markup-compatibility/2006">
      <mc:Choice Requires="x14">
        <oleObject progId="Equation.3" shapeId="4100" r:id="rId8">
          <objectPr defaultSize="0" autoPict="0" r:id="rId5">
            <anchor moveWithCells="1" sizeWithCells="1">
              <from>
                <xdr:col>11</xdr:col>
                <xdr:colOff>15240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0" r:id="rId8"/>
      </mc:Fallback>
    </mc:AlternateContent>
    <mc:AlternateContent xmlns:mc="http://schemas.openxmlformats.org/markup-compatibility/2006">
      <mc:Choice Requires="x14">
        <oleObject progId="Equation.3" shapeId="4101" r:id="rId9">
          <objectPr defaultSize="0" autoPict="0" r:id="rId5">
            <anchor moveWithCells="1" sizeWithCells="1">
              <from>
                <xdr:col>11</xdr:col>
                <xdr:colOff>15240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1" r:id="rId9"/>
      </mc:Fallback>
    </mc:AlternateContent>
    <mc:AlternateContent xmlns:mc="http://schemas.openxmlformats.org/markup-compatibility/2006">
      <mc:Choice Requires="x14">
        <oleObject progId="Equation.3" shapeId="4102" r:id="rId10">
          <objectPr defaultSize="0" autoPict="0" r:id="rId5">
            <anchor moveWithCells="1" sizeWithCells="1">
              <from>
                <xdr:col>11</xdr:col>
                <xdr:colOff>15240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2" r:id="rId10"/>
      </mc:Fallback>
    </mc:AlternateContent>
    <mc:AlternateContent xmlns:mc="http://schemas.openxmlformats.org/markup-compatibility/2006">
      <mc:Choice Requires="x14">
        <oleObject progId="Equation.3" shapeId="4103" r:id="rId11">
          <objectPr defaultSize="0" autoPict="0" r:id="rId5">
            <anchor moveWithCells="1" sizeWithCells="1">
              <from>
                <xdr:col>11</xdr:col>
                <xdr:colOff>15240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3" r:id="rId11"/>
      </mc:Fallback>
    </mc:AlternateContent>
    <mc:AlternateContent xmlns:mc="http://schemas.openxmlformats.org/markup-compatibility/2006">
      <mc:Choice Requires="x14">
        <oleObject progId="Equation.3" shapeId="4104" r:id="rId12">
          <objectPr defaultSize="0" autoPict="0" r:id="rId5">
            <anchor moveWithCells="1" sizeWithCells="1">
              <from>
                <xdr:col>11</xdr:col>
                <xdr:colOff>15240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4" r:id="rId12"/>
      </mc:Fallback>
    </mc:AlternateContent>
    <mc:AlternateContent xmlns:mc="http://schemas.openxmlformats.org/markup-compatibility/2006">
      <mc:Choice Requires="x14">
        <oleObject progId="Equation.3" shapeId="4105" r:id="rId13">
          <objectPr defaultSize="0" autoPict="0" r:id="rId5">
            <anchor moveWithCells="1" sizeWithCells="1">
              <from>
                <xdr:col>11</xdr:col>
                <xdr:colOff>15240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5" r:id="rId13"/>
      </mc:Fallback>
    </mc:AlternateContent>
    <mc:AlternateContent xmlns:mc="http://schemas.openxmlformats.org/markup-compatibility/2006">
      <mc:Choice Requires="x14">
        <oleObject progId="Equation.3" shapeId="4106" r:id="rId14">
          <objectPr defaultSize="0" autoPict="0" r:id="rId5">
            <anchor moveWithCells="1" sizeWithCells="1">
              <from>
                <xdr:col>11</xdr:col>
                <xdr:colOff>15240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6" r:id="rId1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2:P90"/>
  <sheetViews>
    <sheetView zoomScaleNormal="100" workbookViewId="0">
      <selection activeCell="A80" sqref="A80"/>
    </sheetView>
  </sheetViews>
  <sheetFormatPr defaultRowHeight="14.4" x14ac:dyDescent="0.3"/>
  <cols>
    <col min="1" max="1" width="66.5546875" customWidth="1"/>
    <col min="2" max="3" width="14.44140625" bestFit="1" customWidth="1"/>
    <col min="4" max="4" width="13.77734375" customWidth="1"/>
    <col min="5" max="5" width="14.44140625" bestFit="1" customWidth="1"/>
    <col min="6" max="6" width="10.5546875" customWidth="1"/>
    <col min="7" max="7" width="15.44140625" customWidth="1"/>
    <col min="8" max="8" width="11.77734375" customWidth="1"/>
    <col min="9" max="9" width="12.44140625" customWidth="1"/>
    <col min="10" max="10" width="17.21875" customWidth="1"/>
    <col min="11" max="11" width="12.44140625" customWidth="1"/>
    <col min="12" max="12" width="9.77734375" bestFit="1" customWidth="1"/>
    <col min="13" max="13" width="12.21875" bestFit="1" customWidth="1"/>
    <col min="14" max="14" width="12.44140625" customWidth="1"/>
    <col min="15" max="15" width="14.5546875" customWidth="1"/>
    <col min="16" max="16" width="13.77734375" customWidth="1"/>
  </cols>
  <sheetData>
    <row r="2" spans="1:16" x14ac:dyDescent="0.3">
      <c r="A2" s="355">
        <v>1</v>
      </c>
      <c r="B2" s="505" t="s">
        <v>61</v>
      </c>
      <c r="C2" s="352" t="s">
        <v>217</v>
      </c>
      <c r="D2" s="352"/>
      <c r="E2" s="5" t="s">
        <v>218</v>
      </c>
      <c r="F2" s="507" t="s">
        <v>219</v>
      </c>
      <c r="G2" s="505" t="s">
        <v>220</v>
      </c>
      <c r="J2" s="555">
        <v>3</v>
      </c>
      <c r="K2" s="507" t="s">
        <v>61</v>
      </c>
      <c r="L2" s="352" t="s">
        <v>217</v>
      </c>
      <c r="M2" s="352"/>
      <c r="N2" s="5" t="s">
        <v>218</v>
      </c>
      <c r="O2" s="507" t="s">
        <v>219</v>
      </c>
      <c r="P2" s="507" t="s">
        <v>220</v>
      </c>
    </row>
    <row r="3" spans="1:16" x14ac:dyDescent="0.3">
      <c r="A3" s="356"/>
      <c r="B3" s="506"/>
      <c r="C3" s="5">
        <v>2023</v>
      </c>
      <c r="D3" s="5">
        <v>2021</v>
      </c>
      <c r="E3" s="5"/>
      <c r="F3" s="507"/>
      <c r="G3" s="506"/>
      <c r="J3" s="556"/>
      <c r="K3" s="507"/>
      <c r="L3" s="5" t="s">
        <v>221</v>
      </c>
      <c r="M3" s="5" t="s">
        <v>222</v>
      </c>
      <c r="N3" s="5"/>
      <c r="O3" s="507"/>
      <c r="P3" s="507"/>
    </row>
    <row r="4" spans="1:16" ht="14.55" customHeight="1" x14ac:dyDescent="0.3">
      <c r="A4" s="549" t="s">
        <v>401</v>
      </c>
      <c r="B4" s="346">
        <v>1</v>
      </c>
      <c r="C4" s="347">
        <f>G4-B4</f>
        <v>0</v>
      </c>
      <c r="D4" s="120">
        <v>-3.1999999999809958E-6</v>
      </c>
      <c r="E4" s="393">
        <f>0.5*(MAX(C4,D4)-MIN(C4,D4))</f>
        <v>1.5999999999904979E-6</v>
      </c>
      <c r="F4" s="1">
        <f>1.8/1000000</f>
        <v>1.8000000000000001E-6</v>
      </c>
      <c r="G4" s="449">
        <v>1</v>
      </c>
      <c r="J4" s="552" t="s">
        <v>223</v>
      </c>
      <c r="K4" s="346">
        <v>1</v>
      </c>
      <c r="L4" s="1">
        <v>5.9999999999999997E-7</v>
      </c>
      <c r="M4" s="1"/>
      <c r="N4" s="120">
        <f>0.5*(0.8*(5/1000000))</f>
        <v>2.0000000000000003E-6</v>
      </c>
      <c r="O4" s="1">
        <v>1.5999999999999999E-6</v>
      </c>
      <c r="P4" s="1">
        <f>1+L4</f>
        <v>1.0000005999999999</v>
      </c>
    </row>
    <row r="5" spans="1:16" x14ac:dyDescent="0.3">
      <c r="A5" s="550"/>
      <c r="B5" s="346" t="s">
        <v>224</v>
      </c>
      <c r="C5" s="347">
        <f>G5-B6</f>
        <v>-5.000000000032756E-6</v>
      </c>
      <c r="D5" s="120">
        <v>1.9999999998354667E-6</v>
      </c>
      <c r="E5" s="120">
        <f>0.5*(MAX(C5,D5)-MIN(C5,D5))</f>
        <v>3.4999999999341114E-6</v>
      </c>
      <c r="F5" s="1">
        <f>3/1000000</f>
        <v>3.0000000000000001E-6</v>
      </c>
      <c r="G5" s="1">
        <v>1.999995</v>
      </c>
      <c r="J5" s="553"/>
      <c r="K5" s="346" t="s">
        <v>224</v>
      </c>
      <c r="L5" s="1">
        <v>3.1E-6</v>
      </c>
      <c r="M5" s="1"/>
      <c r="N5" s="120">
        <f>0.5*(0.8*(10/1000000))</f>
        <v>4.0000000000000007E-6</v>
      </c>
      <c r="O5" s="1">
        <v>3.0000000000000001E-6</v>
      </c>
      <c r="P5" s="1">
        <f>2+L5</f>
        <v>2.0000030999999998</v>
      </c>
    </row>
    <row r="6" spans="1:16" x14ac:dyDescent="0.3">
      <c r="A6" s="550"/>
      <c r="B6" s="346">
        <v>2</v>
      </c>
      <c r="C6" s="347">
        <f>G6-B6</f>
        <v>-2.0000000000575113E-6</v>
      </c>
      <c r="D6" s="120">
        <v>0</v>
      </c>
      <c r="E6" s="120">
        <f t="shared" ref="E6:E7" si="0">0.5*(MAX(C6,D6)-MIN(C6,D6))</f>
        <v>1.0000000000287557E-6</v>
      </c>
      <c r="F6" s="1">
        <f>3/1000000</f>
        <v>3.0000000000000001E-6</v>
      </c>
      <c r="G6" s="1">
        <v>1.9999979999999999</v>
      </c>
      <c r="J6" s="553"/>
      <c r="K6" s="346">
        <v>2</v>
      </c>
      <c r="L6" s="1">
        <v>1.9E-6</v>
      </c>
      <c r="M6" s="1"/>
      <c r="N6" s="120">
        <f>0.5*(0.8*(10/1000000))</f>
        <v>4.0000000000000007E-6</v>
      </c>
      <c r="O6" s="1">
        <v>3.0000000000000001E-6</v>
      </c>
      <c r="P6" s="1">
        <f>2+L6</f>
        <v>2.0000019</v>
      </c>
    </row>
    <row r="7" spans="1:16" x14ac:dyDescent="0.3">
      <c r="A7" s="551"/>
      <c r="B7" s="346">
        <v>5</v>
      </c>
      <c r="C7" s="347">
        <f>G7-B7</f>
        <v>-1.699999999971169E-5</v>
      </c>
      <c r="D7" s="120">
        <v>-5.9999999999504894E-6</v>
      </c>
      <c r="E7" s="120">
        <f t="shared" si="0"/>
        <v>5.4999999998806004E-6</v>
      </c>
      <c r="F7" s="1">
        <f>7/1000000</f>
        <v>6.9999999999999999E-6</v>
      </c>
      <c r="G7" s="1">
        <v>4.9999830000000003</v>
      </c>
      <c r="J7" s="554"/>
      <c r="K7" s="346">
        <v>5</v>
      </c>
      <c r="L7" s="1">
        <v>9.0000000000000002E-6</v>
      </c>
      <c r="M7" s="1"/>
      <c r="N7" s="120">
        <f>0.5*(0.8*(25/1000000))</f>
        <v>1.0000000000000001E-5</v>
      </c>
      <c r="O7" s="1">
        <v>7.9999999999999996E-6</v>
      </c>
      <c r="P7" s="1">
        <f>5+L7</f>
        <v>5.0000090000000004</v>
      </c>
    </row>
    <row r="9" spans="1:16" x14ac:dyDescent="0.3">
      <c r="A9" s="355">
        <v>2</v>
      </c>
      <c r="B9" s="505" t="s">
        <v>61</v>
      </c>
      <c r="C9" s="352" t="s">
        <v>217</v>
      </c>
      <c r="D9" s="352"/>
      <c r="E9" s="5" t="s">
        <v>218</v>
      </c>
      <c r="F9" s="507" t="s">
        <v>219</v>
      </c>
      <c r="G9" s="505" t="s">
        <v>220</v>
      </c>
      <c r="J9" s="555">
        <v>4</v>
      </c>
      <c r="K9" s="507" t="s">
        <v>61</v>
      </c>
      <c r="L9" s="352" t="s">
        <v>217</v>
      </c>
      <c r="M9" s="352"/>
      <c r="N9" s="5" t="s">
        <v>218</v>
      </c>
      <c r="O9" s="507" t="s">
        <v>219</v>
      </c>
      <c r="P9" s="507" t="s">
        <v>220</v>
      </c>
    </row>
    <row r="10" spans="1:16" x14ac:dyDescent="0.3">
      <c r="A10" s="356"/>
      <c r="B10" s="506"/>
      <c r="C10" s="5">
        <v>2020</v>
      </c>
      <c r="D10" s="5">
        <v>2018</v>
      </c>
      <c r="E10" s="5"/>
      <c r="F10" s="507"/>
      <c r="G10" s="506"/>
      <c r="J10" s="556"/>
      <c r="K10" s="507"/>
      <c r="L10" s="5" t="s">
        <v>221</v>
      </c>
      <c r="M10" s="5" t="s">
        <v>222</v>
      </c>
      <c r="N10" s="5"/>
      <c r="O10" s="507"/>
      <c r="P10" s="507"/>
    </row>
    <row r="11" spans="1:16" ht="14.55" customHeight="1" x14ac:dyDescent="0.3">
      <c r="A11" s="549" t="s">
        <v>402</v>
      </c>
      <c r="B11" s="346">
        <v>1</v>
      </c>
      <c r="C11" s="1">
        <v>0</v>
      </c>
      <c r="D11" s="1">
        <v>6.1999999999999999E-7</v>
      </c>
      <c r="E11" s="120">
        <f>0.5*(MAX(C11,D11)-MIN(C11,D11))</f>
        <v>3.1E-7</v>
      </c>
      <c r="F11" s="1">
        <v>1.9999999999999999E-6</v>
      </c>
      <c r="G11" s="393">
        <f>B11+C11</f>
        <v>1</v>
      </c>
      <c r="J11" s="552" t="s">
        <v>225</v>
      </c>
      <c r="K11" s="346">
        <v>1</v>
      </c>
      <c r="L11" s="1">
        <v>1.1000000000000001E-6</v>
      </c>
      <c r="M11" s="1"/>
      <c r="N11" s="120">
        <f>0.5*(0.8*(5/1000000))</f>
        <v>2.0000000000000003E-6</v>
      </c>
      <c r="O11" s="1">
        <v>1.5999999999999999E-6</v>
      </c>
      <c r="P11" s="1">
        <f>1+L11</f>
        <v>1.0000011</v>
      </c>
    </row>
    <row r="12" spans="1:16" x14ac:dyDescent="0.3">
      <c r="A12" s="550"/>
      <c r="B12" s="346" t="s">
        <v>224</v>
      </c>
      <c r="C12" s="1">
        <v>0</v>
      </c>
      <c r="D12" s="1">
        <v>1.9999999999999999E-6</v>
      </c>
      <c r="E12" s="120">
        <f t="shared" ref="E12:E14" si="1">0.5*(MAX(C12,D12)-MIN(C12,D12))</f>
        <v>9.9999999999999995E-7</v>
      </c>
      <c r="F12" s="1">
        <v>3.0000000000000001E-6</v>
      </c>
      <c r="G12" s="1">
        <f>2+C12</f>
        <v>2</v>
      </c>
      <c r="J12" s="553"/>
      <c r="K12" s="346" t="s">
        <v>224</v>
      </c>
      <c r="L12" s="1">
        <v>1.7999999999999999E-6</v>
      </c>
      <c r="M12" s="1"/>
      <c r="N12" s="120">
        <f>0.5*(0.8*(10/1000000))</f>
        <v>4.0000000000000007E-6</v>
      </c>
      <c r="O12" s="1">
        <v>3.0000000000000001E-6</v>
      </c>
      <c r="P12" s="1">
        <f>2+L12</f>
        <v>2.0000018000000002</v>
      </c>
    </row>
    <row r="13" spans="1:16" x14ac:dyDescent="0.3">
      <c r="A13" s="550"/>
      <c r="B13" s="346">
        <v>2</v>
      </c>
      <c r="C13" s="1">
        <v>6.0000000000000002E-6</v>
      </c>
      <c r="D13" s="1">
        <v>3.0000000000000001E-6</v>
      </c>
      <c r="E13" s="120">
        <f t="shared" si="1"/>
        <v>1.5E-6</v>
      </c>
      <c r="F13" s="1">
        <v>3.0000000000000001E-6</v>
      </c>
      <c r="G13" s="1">
        <f>2+C13</f>
        <v>2.000006</v>
      </c>
      <c r="J13" s="553"/>
      <c r="K13" s="346">
        <v>2</v>
      </c>
      <c r="L13" s="1">
        <v>1.9E-6</v>
      </c>
      <c r="M13" s="1"/>
      <c r="N13" s="120">
        <f>0.5*(0.8*(10/1000000))</f>
        <v>4.0000000000000007E-6</v>
      </c>
      <c r="O13" s="1">
        <v>3.0000000000000001E-6</v>
      </c>
      <c r="P13" s="1">
        <f>2+L13</f>
        <v>2.0000019</v>
      </c>
    </row>
    <row r="14" spans="1:16" x14ac:dyDescent="0.3">
      <c r="A14" s="551"/>
      <c r="B14" s="346">
        <v>5</v>
      </c>
      <c r="C14" s="1">
        <v>-6.9999999999999999E-6</v>
      </c>
      <c r="D14" s="1">
        <v>1.9999999999999999E-6</v>
      </c>
      <c r="E14" s="120">
        <f t="shared" si="1"/>
        <v>4.5000000000000001E-6</v>
      </c>
      <c r="F14" s="1">
        <v>6.9999999999999999E-6</v>
      </c>
      <c r="G14" s="1">
        <f>5+C14</f>
        <v>4.9999929999999999</v>
      </c>
      <c r="J14" s="554"/>
      <c r="K14" s="346">
        <v>5</v>
      </c>
      <c r="L14" s="1">
        <v>3.4999999999999999E-6</v>
      </c>
      <c r="M14" s="1"/>
      <c r="N14" s="120">
        <f>0.5*(0.8*(25/1000000))</f>
        <v>1.0000000000000001E-5</v>
      </c>
      <c r="O14" s="1">
        <v>7.9999999999999996E-6</v>
      </c>
      <c r="P14" s="1">
        <f>5+L14</f>
        <v>5.0000035</v>
      </c>
    </row>
    <row r="16" spans="1:16" x14ac:dyDescent="0.3">
      <c r="A16" s="355">
        <v>5</v>
      </c>
      <c r="B16" s="353" t="s">
        <v>61</v>
      </c>
      <c r="C16" s="352" t="s">
        <v>217</v>
      </c>
      <c r="D16" s="352"/>
      <c r="E16" s="5" t="s">
        <v>218</v>
      </c>
      <c r="F16" s="5" t="s">
        <v>219</v>
      </c>
      <c r="G16" s="353" t="s">
        <v>220</v>
      </c>
      <c r="J16" s="355">
        <v>6</v>
      </c>
      <c r="K16" s="353" t="s">
        <v>61</v>
      </c>
      <c r="L16" s="352" t="s">
        <v>217</v>
      </c>
      <c r="M16" s="352"/>
      <c r="N16" s="5" t="s">
        <v>218</v>
      </c>
      <c r="O16" s="5" t="s">
        <v>219</v>
      </c>
      <c r="P16" s="353" t="s">
        <v>220</v>
      </c>
    </row>
    <row r="17" spans="1:16" x14ac:dyDescent="0.3">
      <c r="A17" s="356"/>
      <c r="B17" s="354"/>
      <c r="C17" s="5">
        <v>2023</v>
      </c>
      <c r="D17" s="5">
        <v>2020</v>
      </c>
      <c r="E17" s="5"/>
      <c r="F17" s="5"/>
      <c r="G17" s="354"/>
      <c r="J17" s="356"/>
      <c r="K17" s="354"/>
      <c r="L17" s="5">
        <v>2022</v>
      </c>
      <c r="M17" s="5">
        <v>2020</v>
      </c>
      <c r="N17" s="5"/>
      <c r="O17" s="5"/>
      <c r="P17" s="354"/>
    </row>
    <row r="18" spans="1:16" x14ac:dyDescent="0.3">
      <c r="A18" s="549" t="s">
        <v>403</v>
      </c>
      <c r="B18" s="346">
        <v>1</v>
      </c>
      <c r="C18" s="347">
        <f>G18-B18</f>
        <v>9.9999999991773336E-7</v>
      </c>
      <c r="D18" s="347">
        <v>8.9999999999999996E-7</v>
      </c>
      <c r="E18" s="120">
        <f>0.5*(0.8*(5/1000000))</f>
        <v>2.0000000000000003E-6</v>
      </c>
      <c r="F18" s="1">
        <v>1.5999999999999999E-6</v>
      </c>
      <c r="G18" s="1">
        <v>1.0000009999999999</v>
      </c>
      <c r="J18" s="552" t="s">
        <v>226</v>
      </c>
      <c r="K18" s="346">
        <v>1</v>
      </c>
      <c r="L18" s="1">
        <v>1.9999999999999999E-6</v>
      </c>
      <c r="M18" s="1">
        <v>5.9999999999999997E-7</v>
      </c>
      <c r="N18" s="120">
        <f>0.5*(0.8*(5/1000000))</f>
        <v>2.0000000000000003E-6</v>
      </c>
      <c r="O18" s="1">
        <v>1.9999999999999999E-6</v>
      </c>
      <c r="P18" s="401">
        <f>1+L18</f>
        <v>1.0000020000000001</v>
      </c>
    </row>
    <row r="19" spans="1:16" x14ac:dyDescent="0.3">
      <c r="A19" s="550"/>
      <c r="B19" s="346" t="s">
        <v>224</v>
      </c>
      <c r="C19" s="347">
        <f>G19-B20</f>
        <v>1.000000000139778E-6</v>
      </c>
      <c r="D19" s="347">
        <v>9.9999999999999995E-8</v>
      </c>
      <c r="E19" s="120">
        <f>0.5*(0.8*(10/1000000))</f>
        <v>4.0000000000000007E-6</v>
      </c>
      <c r="F19" s="1">
        <v>3.0000000000000001E-6</v>
      </c>
      <c r="G19" s="1">
        <v>2.0000010000000001</v>
      </c>
      <c r="J19" s="553"/>
      <c r="K19" s="346" t="s">
        <v>224</v>
      </c>
      <c r="L19" s="1">
        <v>1.9999999999999999E-6</v>
      </c>
      <c r="M19" s="1">
        <v>7.9999999999999996E-7</v>
      </c>
      <c r="N19" s="120">
        <f>0.5*(0.8*(10/1000000))</f>
        <v>4.0000000000000007E-6</v>
      </c>
      <c r="O19" s="1">
        <v>3.9999999999999998E-6</v>
      </c>
      <c r="P19" s="401">
        <f>2+L19</f>
        <v>2.0000019999999998</v>
      </c>
    </row>
    <row r="20" spans="1:16" x14ac:dyDescent="0.3">
      <c r="A20" s="550"/>
      <c r="B20" s="346">
        <v>2</v>
      </c>
      <c r="C20" s="347">
        <f>G20-B20</f>
        <v>1.000000000139778E-6</v>
      </c>
      <c r="D20" s="347">
        <v>-9.9999999999999995E-8</v>
      </c>
      <c r="E20" s="120">
        <f>0.5*(0.8*(10/1000000))</f>
        <v>4.0000000000000007E-6</v>
      </c>
      <c r="F20" s="1">
        <v>3.0000000000000001E-6</v>
      </c>
      <c r="G20" s="1">
        <v>2.0000010000000001</v>
      </c>
      <c r="J20" s="553"/>
      <c r="K20" s="346">
        <v>2</v>
      </c>
      <c r="L20" s="1">
        <v>3.9999999999999998E-6</v>
      </c>
      <c r="M20" s="1">
        <v>7.9999999999999996E-7</v>
      </c>
      <c r="N20" s="120">
        <f>0.5*(0.8*(10/1000000))</f>
        <v>4.0000000000000007E-6</v>
      </c>
      <c r="O20" s="1">
        <v>3.9999999999999998E-6</v>
      </c>
      <c r="P20" s="401">
        <f>2+L20</f>
        <v>2.0000040000000001</v>
      </c>
    </row>
    <row r="21" spans="1:16" x14ac:dyDescent="0.3">
      <c r="A21" s="551"/>
      <c r="B21" s="346">
        <v>5</v>
      </c>
      <c r="C21" s="347">
        <f>G21-B21</f>
        <v>-7.0000000000902673E-6</v>
      </c>
      <c r="D21" s="347">
        <v>3.7000000000000002E-6</v>
      </c>
      <c r="E21" s="120">
        <f>0.5*(0.8*(25/1000000))</f>
        <v>1.0000000000000001E-5</v>
      </c>
      <c r="F21" s="1">
        <v>7.9999999999999996E-6</v>
      </c>
      <c r="G21" s="1">
        <v>4.9999929999999999</v>
      </c>
      <c r="J21" s="554"/>
      <c r="K21" s="346">
        <v>5</v>
      </c>
      <c r="L21" s="1">
        <v>5.0000000000000004E-6</v>
      </c>
      <c r="M21" s="1">
        <v>3.4999999999999999E-6</v>
      </c>
      <c r="N21" s="120">
        <f>0.5*(0.8*(25/1000000))</f>
        <v>1.0000000000000001E-5</v>
      </c>
      <c r="O21" s="1">
        <v>7.9999999999999996E-6</v>
      </c>
      <c r="P21" s="401">
        <f>5+L21</f>
        <v>5.0000049999999998</v>
      </c>
    </row>
    <row r="23" spans="1:16" x14ac:dyDescent="0.3">
      <c r="A23" s="355">
        <v>7</v>
      </c>
      <c r="B23" s="353" t="s">
        <v>61</v>
      </c>
      <c r="C23" s="352" t="s">
        <v>217</v>
      </c>
      <c r="D23" s="352"/>
      <c r="E23" s="5" t="s">
        <v>218</v>
      </c>
      <c r="F23" s="5" t="s">
        <v>219</v>
      </c>
      <c r="G23" s="353" t="s">
        <v>220</v>
      </c>
    </row>
    <row r="24" spans="1:16" x14ac:dyDescent="0.3">
      <c r="A24" s="356"/>
      <c r="B24" s="354"/>
      <c r="C24" s="5">
        <v>2020</v>
      </c>
      <c r="D24" s="5">
        <v>2016</v>
      </c>
      <c r="E24" s="5"/>
      <c r="F24" s="5"/>
      <c r="G24" s="354"/>
    </row>
    <row r="25" spans="1:16" x14ac:dyDescent="0.3">
      <c r="A25" s="546" t="s">
        <v>404</v>
      </c>
      <c r="B25" s="346">
        <v>1</v>
      </c>
      <c r="C25" s="1">
        <v>1.9999999999999999E-7</v>
      </c>
      <c r="D25" s="1">
        <v>0</v>
      </c>
      <c r="E25" s="120">
        <f>0.5*(0.8*(5/1000000))</f>
        <v>2.0000000000000003E-6</v>
      </c>
      <c r="F25" s="1">
        <v>1.5999999999999999E-6</v>
      </c>
      <c r="G25" s="1">
        <v>1</v>
      </c>
    </row>
    <row r="26" spans="1:16" x14ac:dyDescent="0.3">
      <c r="A26" s="547"/>
      <c r="B26" s="346" t="s">
        <v>224</v>
      </c>
      <c r="C26" s="1">
        <v>1.5999999999999999E-6</v>
      </c>
      <c r="D26" s="1">
        <v>0</v>
      </c>
      <c r="E26" s="120">
        <f>0.5*(0.8*(10/1000000))</f>
        <v>4.0000000000000007E-6</v>
      </c>
      <c r="F26" s="1">
        <v>3.0000000000000001E-6</v>
      </c>
      <c r="G26" s="1">
        <v>2</v>
      </c>
    </row>
    <row r="27" spans="1:16" x14ac:dyDescent="0.3">
      <c r="A27" s="547"/>
      <c r="B27" s="346">
        <v>2</v>
      </c>
      <c r="C27" s="1">
        <v>4.9999999999999998E-7</v>
      </c>
      <c r="D27" s="1">
        <v>0</v>
      </c>
      <c r="E27" s="120">
        <f>0.5*(0.8*(10/1000000))</f>
        <v>4.0000000000000007E-6</v>
      </c>
      <c r="F27" s="1">
        <v>3.0000000000000001E-6</v>
      </c>
      <c r="G27" s="1">
        <v>2</v>
      </c>
    </row>
    <row r="28" spans="1:16" x14ac:dyDescent="0.3">
      <c r="A28" s="548"/>
      <c r="B28" s="346">
        <v>5</v>
      </c>
      <c r="C28" s="1">
        <v>3.5999999999999998E-6</v>
      </c>
      <c r="D28" s="1">
        <v>0</v>
      </c>
      <c r="E28" s="120">
        <f>0.5*(0.8*(25/1000000))</f>
        <v>1.0000000000000001E-5</v>
      </c>
      <c r="F28" s="1">
        <v>7.9999999999999996E-6</v>
      </c>
      <c r="G28" s="1">
        <v>5</v>
      </c>
    </row>
    <row r="30" spans="1:16" x14ac:dyDescent="0.3">
      <c r="A30" s="355">
        <v>8</v>
      </c>
      <c r="B30" s="353" t="s">
        <v>61</v>
      </c>
      <c r="C30" s="352" t="s">
        <v>217</v>
      </c>
      <c r="D30" s="352"/>
      <c r="E30" s="5" t="s">
        <v>218</v>
      </c>
      <c r="F30" s="5" t="s">
        <v>219</v>
      </c>
      <c r="G30" s="353" t="s">
        <v>220</v>
      </c>
    </row>
    <row r="31" spans="1:16" x14ac:dyDescent="0.3">
      <c r="A31" s="356"/>
      <c r="B31" s="354"/>
      <c r="C31" s="5">
        <v>2023</v>
      </c>
      <c r="D31" s="5">
        <v>2021</v>
      </c>
      <c r="E31" s="5"/>
      <c r="F31" s="5"/>
      <c r="G31" s="354"/>
    </row>
    <row r="32" spans="1:16" x14ac:dyDescent="0.3">
      <c r="A32" s="546" t="s">
        <v>405</v>
      </c>
      <c r="B32" s="346">
        <v>1</v>
      </c>
      <c r="C32" s="347">
        <f>G32-B32</f>
        <v>3.9999999998929781E-6</v>
      </c>
      <c r="D32" s="401">
        <v>3.9999999999999998E-6</v>
      </c>
      <c r="E32" s="120">
        <f t="shared" ref="E32:E35" si="2">0.5*(MAX(C32,D32)-MIN(C32,D32))</f>
        <v>5.3510882926316797E-17</v>
      </c>
      <c r="F32" s="1">
        <v>1.9999999999999999E-6</v>
      </c>
      <c r="G32" s="1">
        <v>1.0000039999999999</v>
      </c>
    </row>
    <row r="33" spans="1:7" x14ac:dyDescent="0.3">
      <c r="A33" s="547"/>
      <c r="B33" s="346" t="s">
        <v>224</v>
      </c>
      <c r="C33" s="347">
        <f>G33-B34</f>
        <v>1.0000000000065512E-5</v>
      </c>
      <c r="D33" s="401">
        <v>1.0000000000000001E-5</v>
      </c>
      <c r="E33" s="120">
        <f t="shared" si="2"/>
        <v>3.2755611103271048E-17</v>
      </c>
      <c r="F33" s="1">
        <v>3.9999999999999998E-6</v>
      </c>
      <c r="G33" s="1">
        <v>2.0000100000000001</v>
      </c>
    </row>
    <row r="34" spans="1:7" x14ac:dyDescent="0.3">
      <c r="A34" s="547"/>
      <c r="B34" s="346">
        <v>2</v>
      </c>
      <c r="C34" s="347">
        <f>G34-B34</f>
        <v>1.4000000000180535E-5</v>
      </c>
      <c r="D34" s="401">
        <v>1.4E-5</v>
      </c>
      <c r="E34" s="120">
        <f t="shared" si="2"/>
        <v>9.0267454155943533E-17</v>
      </c>
      <c r="F34" s="1">
        <v>3.9999999999999998E-6</v>
      </c>
      <c r="G34" s="1">
        <v>2.0000140000000002</v>
      </c>
    </row>
    <row r="35" spans="1:7" x14ac:dyDescent="0.3">
      <c r="A35" s="548"/>
      <c r="B35" s="346">
        <v>5</v>
      </c>
      <c r="C35" s="347">
        <f>G35-B35</f>
        <v>-9.9999999996214228E-6</v>
      </c>
      <c r="D35" s="401">
        <v>-1.0000000000000001E-5</v>
      </c>
      <c r="E35" s="120">
        <f t="shared" si="2"/>
        <v>1.8928899382176026E-16</v>
      </c>
      <c r="F35" s="1">
        <v>7.9999999999999996E-6</v>
      </c>
      <c r="G35" s="1">
        <v>4.9999900000000004</v>
      </c>
    </row>
    <row r="38" spans="1:7" x14ac:dyDescent="0.3">
      <c r="A38" s="121" t="s">
        <v>227</v>
      </c>
      <c r="B38" s="121" t="s">
        <v>221</v>
      </c>
      <c r="C38" s="121" t="s">
        <v>222</v>
      </c>
      <c r="D38" s="121" t="s">
        <v>218</v>
      </c>
      <c r="E38" s="121" t="s">
        <v>219</v>
      </c>
      <c r="F38" s="357" t="s">
        <v>220</v>
      </c>
    </row>
    <row r="39" spans="1:7" x14ac:dyDescent="0.3">
      <c r="A39" s="1" t="s">
        <v>406</v>
      </c>
      <c r="B39" s="347">
        <f>C4</f>
        <v>0</v>
      </c>
      <c r="C39" s="347">
        <f>D4</f>
        <v>-3.1999999999809958E-6</v>
      </c>
      <c r="D39" s="347">
        <f>E4</f>
        <v>1.5999999999904979E-6</v>
      </c>
      <c r="E39" s="347">
        <f>F4</f>
        <v>1.8000000000000001E-6</v>
      </c>
      <c r="F39" s="358">
        <f>1+C39</f>
        <v>0.99999680000000002</v>
      </c>
    </row>
    <row r="40" spans="1:7" x14ac:dyDescent="0.3">
      <c r="A40" s="1" t="s">
        <v>407</v>
      </c>
      <c r="B40" s="347">
        <f>C11</f>
        <v>0</v>
      </c>
      <c r="C40" s="347">
        <f>D11</f>
        <v>6.1999999999999999E-7</v>
      </c>
      <c r="D40" s="347">
        <f>E11</f>
        <v>3.1E-7</v>
      </c>
      <c r="E40" s="347">
        <f>F11</f>
        <v>1.9999999999999999E-6</v>
      </c>
      <c r="F40" s="358">
        <f t="shared" ref="F40" si="3">1+C40</f>
        <v>1.00000062</v>
      </c>
    </row>
    <row r="41" spans="1:7" x14ac:dyDescent="0.3">
      <c r="A41" s="1" t="s">
        <v>408</v>
      </c>
      <c r="B41" s="347">
        <f>L4</f>
        <v>5.9999999999999997E-7</v>
      </c>
      <c r="C41" s="347">
        <f>M4</f>
        <v>0</v>
      </c>
      <c r="D41" s="347">
        <f>N4</f>
        <v>2.0000000000000003E-6</v>
      </c>
      <c r="E41" s="347">
        <f>O4</f>
        <v>1.5999999999999999E-6</v>
      </c>
      <c r="F41" s="358">
        <f>1+B41</f>
        <v>1.0000005999999999</v>
      </c>
    </row>
    <row r="42" spans="1:7" x14ac:dyDescent="0.3">
      <c r="A42" s="1" t="s">
        <v>409</v>
      </c>
      <c r="B42" s="347">
        <f>L11</f>
        <v>1.1000000000000001E-6</v>
      </c>
      <c r="C42" s="347">
        <f>M11</f>
        <v>0</v>
      </c>
      <c r="D42" s="347">
        <f>N11</f>
        <v>2.0000000000000003E-6</v>
      </c>
      <c r="E42" s="347">
        <f>O11</f>
        <v>1.5999999999999999E-6</v>
      </c>
      <c r="F42" s="405">
        <f>1+B42</f>
        <v>1.0000011</v>
      </c>
    </row>
    <row r="43" spans="1:7" x14ac:dyDescent="0.3">
      <c r="A43" s="1" t="s">
        <v>410</v>
      </c>
      <c r="B43" s="347">
        <f>C18</f>
        <v>9.9999999991773336E-7</v>
      </c>
      <c r="C43" s="347">
        <f t="shared" ref="C43:F43" si="4">D18</f>
        <v>8.9999999999999996E-7</v>
      </c>
      <c r="D43" s="347">
        <f t="shared" si="4"/>
        <v>2.0000000000000003E-6</v>
      </c>
      <c r="E43" s="347">
        <f t="shared" si="4"/>
        <v>1.5999999999999999E-6</v>
      </c>
      <c r="F43" s="405">
        <f t="shared" si="4"/>
        <v>1.0000009999999999</v>
      </c>
    </row>
    <row r="44" spans="1:7" x14ac:dyDescent="0.3">
      <c r="A44" s="1" t="s">
        <v>411</v>
      </c>
      <c r="B44" s="347">
        <f>L18</f>
        <v>1.9999999999999999E-6</v>
      </c>
      <c r="C44" s="347">
        <f t="shared" ref="C44:F44" si="5">M18</f>
        <v>5.9999999999999997E-7</v>
      </c>
      <c r="D44" s="347">
        <f>N18</f>
        <v>2.0000000000000003E-6</v>
      </c>
      <c r="E44" s="347">
        <f t="shared" si="5"/>
        <v>1.9999999999999999E-6</v>
      </c>
      <c r="F44" s="405">
        <f t="shared" si="5"/>
        <v>1.0000020000000001</v>
      </c>
    </row>
    <row r="45" spans="1:7" x14ac:dyDescent="0.3">
      <c r="A45" s="1" t="s">
        <v>412</v>
      </c>
      <c r="B45" s="347">
        <f>C25</f>
        <v>1.9999999999999999E-7</v>
      </c>
      <c r="C45" s="347">
        <f t="shared" ref="C45:F45" si="6">D25</f>
        <v>0</v>
      </c>
      <c r="D45" s="347">
        <f t="shared" si="6"/>
        <v>2.0000000000000003E-6</v>
      </c>
      <c r="E45" s="347">
        <f t="shared" si="6"/>
        <v>1.5999999999999999E-6</v>
      </c>
      <c r="F45" s="405">
        <f t="shared" si="6"/>
        <v>1</v>
      </c>
    </row>
    <row r="46" spans="1:7" x14ac:dyDescent="0.3">
      <c r="A46" s="1" t="s">
        <v>413</v>
      </c>
      <c r="B46" s="347">
        <f>C32</f>
        <v>3.9999999998929781E-6</v>
      </c>
      <c r="C46" s="347">
        <f>D32</f>
        <v>3.9999999999999998E-6</v>
      </c>
      <c r="D46" s="347">
        <f>E32</f>
        <v>5.3510882926316797E-17</v>
      </c>
      <c r="E46" s="347">
        <f>F32</f>
        <v>1.9999999999999999E-6</v>
      </c>
      <c r="F46" s="405">
        <f>G32</f>
        <v>1.0000039999999999</v>
      </c>
    </row>
    <row r="48" spans="1:7" x14ac:dyDescent="0.3">
      <c r="A48" s="121" t="s">
        <v>228</v>
      </c>
      <c r="B48" s="121" t="s">
        <v>221</v>
      </c>
      <c r="C48" s="121" t="s">
        <v>222</v>
      </c>
      <c r="D48" s="121" t="s">
        <v>218</v>
      </c>
      <c r="E48" s="121" t="s">
        <v>219</v>
      </c>
      <c r="F48" s="357" t="s">
        <v>220</v>
      </c>
    </row>
    <row r="49" spans="1:7" x14ac:dyDescent="0.3">
      <c r="A49" s="1" t="s">
        <v>414</v>
      </c>
      <c r="B49" s="347">
        <f>C5</f>
        <v>-5.000000000032756E-6</v>
      </c>
      <c r="C49" s="347">
        <f>D5</f>
        <v>1.9999999998354667E-6</v>
      </c>
      <c r="D49" s="347">
        <f>1/3*E49</f>
        <v>9.9999999999999995E-7</v>
      </c>
      <c r="E49" s="347">
        <f>F5</f>
        <v>3.0000000000000001E-6</v>
      </c>
      <c r="F49" s="358">
        <f>2+C49</f>
        <v>2.0000019999999998</v>
      </c>
    </row>
    <row r="50" spans="1:7" x14ac:dyDescent="0.3">
      <c r="A50" s="1" t="s">
        <v>415</v>
      </c>
      <c r="B50" s="347">
        <f>C12</f>
        <v>0</v>
      </c>
      <c r="C50" s="347">
        <f>D12</f>
        <v>1.9999999999999999E-6</v>
      </c>
      <c r="D50" s="347">
        <f t="shared" ref="D50:D52" si="7">1/3*E50</f>
        <v>9.9999999999999995E-7</v>
      </c>
      <c r="E50" s="347">
        <f>F12</f>
        <v>3.0000000000000001E-6</v>
      </c>
      <c r="F50" s="358">
        <f>2+C50</f>
        <v>2.0000019999999998</v>
      </c>
    </row>
    <row r="51" spans="1:7" x14ac:dyDescent="0.3">
      <c r="A51" s="1" t="s">
        <v>416</v>
      </c>
      <c r="B51" s="347">
        <f>L5</f>
        <v>3.1E-6</v>
      </c>
      <c r="C51" s="347">
        <f>M5</f>
        <v>0</v>
      </c>
      <c r="D51" s="347">
        <f t="shared" si="7"/>
        <v>9.9999999999999995E-7</v>
      </c>
      <c r="E51" s="347">
        <f>O5</f>
        <v>3.0000000000000001E-6</v>
      </c>
      <c r="F51" s="358">
        <f>2+B51</f>
        <v>2.0000030999999998</v>
      </c>
    </row>
    <row r="52" spans="1:7" x14ac:dyDescent="0.3">
      <c r="A52" s="1" t="s">
        <v>417</v>
      </c>
      <c r="B52" s="347">
        <f>L12</f>
        <v>1.7999999999999999E-6</v>
      </c>
      <c r="C52" s="347">
        <f>M12</f>
        <v>0</v>
      </c>
      <c r="D52" s="347">
        <f t="shared" si="7"/>
        <v>9.9999999999999995E-7</v>
      </c>
      <c r="E52" s="347">
        <f>O12</f>
        <v>3.0000000000000001E-6</v>
      </c>
      <c r="F52" s="358">
        <f>2+B52</f>
        <v>2.0000018000000002</v>
      </c>
    </row>
    <row r="53" spans="1:7" x14ac:dyDescent="0.3">
      <c r="A53" s="1" t="s">
        <v>418</v>
      </c>
      <c r="B53" s="347">
        <f>C19</f>
        <v>1.000000000139778E-6</v>
      </c>
      <c r="C53" s="347">
        <f t="shared" ref="C53:F53" si="8">D19</f>
        <v>9.9999999999999995E-8</v>
      </c>
      <c r="D53" s="347">
        <f t="shared" si="8"/>
        <v>4.0000000000000007E-6</v>
      </c>
      <c r="E53" s="347">
        <f t="shared" si="8"/>
        <v>3.0000000000000001E-6</v>
      </c>
      <c r="F53" s="358">
        <f t="shared" si="8"/>
        <v>2.0000010000000001</v>
      </c>
      <c r="G53" s="1"/>
    </row>
    <row r="54" spans="1:7" x14ac:dyDescent="0.3">
      <c r="A54" s="1" t="s">
        <v>419</v>
      </c>
      <c r="B54" s="347">
        <f>L19</f>
        <v>1.9999999999999999E-6</v>
      </c>
      <c r="C54" s="347">
        <f>M19</f>
        <v>7.9999999999999996E-7</v>
      </c>
      <c r="D54" s="347">
        <f t="shared" ref="D54:F54" si="9">N19</f>
        <v>4.0000000000000007E-6</v>
      </c>
      <c r="E54" s="347">
        <f t="shared" si="9"/>
        <v>3.9999999999999998E-6</v>
      </c>
      <c r="F54" s="358">
        <f t="shared" si="9"/>
        <v>2.0000019999999998</v>
      </c>
    </row>
    <row r="55" spans="1:7" x14ac:dyDescent="0.3">
      <c r="A55" s="1" t="s">
        <v>420</v>
      </c>
      <c r="B55" s="347">
        <f>C26</f>
        <v>1.5999999999999999E-6</v>
      </c>
      <c r="C55" s="347">
        <f t="shared" ref="C55:F55" si="10">D26</f>
        <v>0</v>
      </c>
      <c r="D55" s="347">
        <f t="shared" si="10"/>
        <v>4.0000000000000007E-6</v>
      </c>
      <c r="E55" s="347">
        <f t="shared" si="10"/>
        <v>3.0000000000000001E-6</v>
      </c>
      <c r="F55" s="358">
        <f t="shared" si="10"/>
        <v>2</v>
      </c>
    </row>
    <row r="56" spans="1:7" x14ac:dyDescent="0.3">
      <c r="A56" s="1" t="s">
        <v>421</v>
      </c>
      <c r="B56" s="347">
        <f>C33</f>
        <v>1.0000000000065512E-5</v>
      </c>
      <c r="C56" s="347">
        <f>D33</f>
        <v>1.0000000000000001E-5</v>
      </c>
      <c r="D56" s="347">
        <f t="shared" ref="D56:E56" si="11">E33</f>
        <v>3.2755611103271048E-17</v>
      </c>
      <c r="E56" s="347">
        <f t="shared" si="11"/>
        <v>3.9999999999999998E-6</v>
      </c>
      <c r="F56" s="405">
        <f>G33</f>
        <v>2.0000100000000001</v>
      </c>
    </row>
    <row r="58" spans="1:7" x14ac:dyDescent="0.3">
      <c r="A58" s="121" t="s">
        <v>229</v>
      </c>
      <c r="B58" s="121" t="s">
        <v>221</v>
      </c>
      <c r="C58" s="121" t="s">
        <v>222</v>
      </c>
      <c r="D58" s="121" t="s">
        <v>218</v>
      </c>
      <c r="E58" s="121" t="s">
        <v>219</v>
      </c>
      <c r="F58" s="357" t="s">
        <v>220</v>
      </c>
    </row>
    <row r="59" spans="1:7" x14ac:dyDescent="0.3">
      <c r="A59" s="1" t="s">
        <v>422</v>
      </c>
      <c r="B59" s="347">
        <f>C6</f>
        <v>-2.0000000000575113E-6</v>
      </c>
      <c r="C59" s="347">
        <f>D6</f>
        <v>0</v>
      </c>
      <c r="D59" s="347">
        <f>E6</f>
        <v>1.0000000000287557E-6</v>
      </c>
      <c r="E59" s="347">
        <f>F6</f>
        <v>3.0000000000000001E-6</v>
      </c>
      <c r="F59" s="358">
        <f>2+C59</f>
        <v>2</v>
      </c>
    </row>
    <row r="60" spans="1:7" x14ac:dyDescent="0.3">
      <c r="A60" s="1" t="s">
        <v>423</v>
      </c>
      <c r="B60" s="347">
        <f>C13</f>
        <v>6.0000000000000002E-6</v>
      </c>
      <c r="C60" s="347">
        <f>D13</f>
        <v>3.0000000000000001E-6</v>
      </c>
      <c r="D60" s="347">
        <f>E13</f>
        <v>1.5E-6</v>
      </c>
      <c r="E60" s="347">
        <f>F13</f>
        <v>3.0000000000000001E-6</v>
      </c>
      <c r="F60" s="358">
        <f>2+C60</f>
        <v>2.000003</v>
      </c>
    </row>
    <row r="61" spans="1:7" x14ac:dyDescent="0.3">
      <c r="A61" s="1" t="s">
        <v>424</v>
      </c>
      <c r="B61" s="347">
        <f>L6</f>
        <v>1.9E-6</v>
      </c>
      <c r="C61" s="347">
        <f>M6</f>
        <v>0</v>
      </c>
      <c r="D61" s="347">
        <f>N6</f>
        <v>4.0000000000000007E-6</v>
      </c>
      <c r="E61" s="347">
        <f>O6</f>
        <v>3.0000000000000001E-6</v>
      </c>
      <c r="F61" s="358">
        <f>2+B61</f>
        <v>2.0000019</v>
      </c>
    </row>
    <row r="62" spans="1:7" x14ac:dyDescent="0.3">
      <c r="A62" s="1" t="s">
        <v>425</v>
      </c>
      <c r="B62" s="347">
        <f>L13</f>
        <v>1.9E-6</v>
      </c>
      <c r="C62" s="347">
        <f>M13</f>
        <v>0</v>
      </c>
      <c r="D62" s="347">
        <f>N13</f>
        <v>4.0000000000000007E-6</v>
      </c>
      <c r="E62" s="347">
        <f>O13</f>
        <v>3.0000000000000001E-6</v>
      </c>
      <c r="F62" s="358">
        <f>2+B62</f>
        <v>2.0000019</v>
      </c>
    </row>
    <row r="63" spans="1:7" x14ac:dyDescent="0.3">
      <c r="A63" s="1" t="s">
        <v>426</v>
      </c>
      <c r="B63" s="347">
        <f>C20</f>
        <v>1.000000000139778E-6</v>
      </c>
      <c r="C63" s="347">
        <f t="shared" ref="C63:F63" si="12">D20</f>
        <v>-9.9999999999999995E-8</v>
      </c>
      <c r="D63" s="347">
        <f t="shared" si="12"/>
        <v>4.0000000000000007E-6</v>
      </c>
      <c r="E63" s="347">
        <f t="shared" si="12"/>
        <v>3.0000000000000001E-6</v>
      </c>
      <c r="F63" s="358">
        <f t="shared" si="12"/>
        <v>2.0000010000000001</v>
      </c>
    </row>
    <row r="64" spans="1:7" x14ac:dyDescent="0.3">
      <c r="A64" s="1" t="s">
        <v>427</v>
      </c>
      <c r="B64" s="347">
        <f>L20</f>
        <v>3.9999999999999998E-6</v>
      </c>
      <c r="C64" s="347">
        <f>M20</f>
        <v>7.9999999999999996E-7</v>
      </c>
      <c r="D64" s="347">
        <f t="shared" ref="D64:E64" si="13">N20</f>
        <v>4.0000000000000007E-6</v>
      </c>
      <c r="E64" s="347">
        <f t="shared" si="13"/>
        <v>3.9999999999999998E-6</v>
      </c>
      <c r="F64" s="358">
        <f>P20</f>
        <v>2.0000040000000001</v>
      </c>
      <c r="G64" s="1"/>
    </row>
    <row r="65" spans="1:7" x14ac:dyDescent="0.3">
      <c r="A65" s="1" t="s">
        <v>428</v>
      </c>
      <c r="B65" s="347">
        <f>C27</f>
        <v>4.9999999999999998E-7</v>
      </c>
      <c r="C65" s="347">
        <f t="shared" ref="C65:F65" si="14">D27</f>
        <v>0</v>
      </c>
      <c r="D65" s="347">
        <f t="shared" si="14"/>
        <v>4.0000000000000007E-6</v>
      </c>
      <c r="E65" s="347">
        <f t="shared" si="14"/>
        <v>3.0000000000000001E-6</v>
      </c>
      <c r="F65" s="358">
        <f t="shared" si="14"/>
        <v>2</v>
      </c>
    </row>
    <row r="66" spans="1:7" x14ac:dyDescent="0.3">
      <c r="A66" s="1" t="s">
        <v>429</v>
      </c>
      <c r="B66" s="347">
        <f>C34</f>
        <v>1.4000000000180535E-5</v>
      </c>
      <c r="C66" s="347">
        <f t="shared" ref="C66:E66" si="15">D34</f>
        <v>1.4E-5</v>
      </c>
      <c r="D66" s="347">
        <f t="shared" si="15"/>
        <v>9.0267454155943533E-17</v>
      </c>
      <c r="E66" s="347">
        <f t="shared" si="15"/>
        <v>3.9999999999999998E-6</v>
      </c>
      <c r="F66" s="405">
        <f>G34</f>
        <v>2.0000140000000002</v>
      </c>
    </row>
    <row r="68" spans="1:7" x14ac:dyDescent="0.3">
      <c r="A68" s="121" t="s">
        <v>230</v>
      </c>
      <c r="B68" s="121" t="s">
        <v>221</v>
      </c>
      <c r="C68" s="121" t="s">
        <v>222</v>
      </c>
      <c r="D68" s="121" t="s">
        <v>218</v>
      </c>
      <c r="E68" s="121" t="s">
        <v>219</v>
      </c>
      <c r="F68" s="357" t="s">
        <v>220</v>
      </c>
    </row>
    <row r="69" spans="1:7" x14ac:dyDescent="0.3">
      <c r="A69" s="1" t="s">
        <v>430</v>
      </c>
      <c r="B69" s="1">
        <f>C7</f>
        <v>-1.699999999971169E-5</v>
      </c>
      <c r="C69" s="1">
        <f>D7</f>
        <v>-5.9999999999504894E-6</v>
      </c>
      <c r="D69" s="1">
        <f>E7</f>
        <v>5.4999999998806004E-6</v>
      </c>
      <c r="E69" s="1">
        <f>F7</f>
        <v>6.9999999999999999E-6</v>
      </c>
      <c r="F69" s="126">
        <f>5+C69</f>
        <v>4.999994</v>
      </c>
    </row>
    <row r="70" spans="1:7" x14ac:dyDescent="0.3">
      <c r="A70" s="1" t="s">
        <v>431</v>
      </c>
      <c r="B70" s="1">
        <f>C14</f>
        <v>-6.9999999999999999E-6</v>
      </c>
      <c r="C70" s="1">
        <f>D14</f>
        <v>1.9999999999999999E-6</v>
      </c>
      <c r="D70" s="120">
        <f>E14</f>
        <v>4.5000000000000001E-6</v>
      </c>
      <c r="E70" s="1">
        <f>F14</f>
        <v>6.9999999999999999E-6</v>
      </c>
      <c r="F70" s="126">
        <f>5+C70</f>
        <v>5.0000020000000003</v>
      </c>
    </row>
    <row r="71" spans="1:7" x14ac:dyDescent="0.3">
      <c r="A71" s="1" t="s">
        <v>432</v>
      </c>
      <c r="B71" s="1">
        <f>L7</f>
        <v>9.0000000000000002E-6</v>
      </c>
      <c r="C71" s="1">
        <f>M7</f>
        <v>0</v>
      </c>
      <c r="D71" s="120">
        <f>N7</f>
        <v>1.0000000000000001E-5</v>
      </c>
      <c r="E71" s="1">
        <f>O7</f>
        <v>7.9999999999999996E-6</v>
      </c>
      <c r="F71" s="126">
        <f>5+B71</f>
        <v>5.0000090000000004</v>
      </c>
    </row>
    <row r="72" spans="1:7" x14ac:dyDescent="0.3">
      <c r="A72" s="1" t="s">
        <v>433</v>
      </c>
      <c r="B72" s="1">
        <f>L14</f>
        <v>3.4999999999999999E-6</v>
      </c>
      <c r="C72" s="1">
        <f>M14</f>
        <v>0</v>
      </c>
      <c r="D72" s="120">
        <f>N14</f>
        <v>1.0000000000000001E-5</v>
      </c>
      <c r="E72" s="1">
        <f>O14</f>
        <v>7.9999999999999996E-6</v>
      </c>
      <c r="F72" s="126">
        <f>5+B72</f>
        <v>5.0000035</v>
      </c>
    </row>
    <row r="73" spans="1:7" x14ac:dyDescent="0.3">
      <c r="A73" s="1" t="s">
        <v>434</v>
      </c>
      <c r="B73" s="1">
        <f>C21</f>
        <v>-7.0000000000902673E-6</v>
      </c>
      <c r="C73" s="1">
        <f t="shared" ref="C73:F73" si="16">D21</f>
        <v>3.7000000000000002E-6</v>
      </c>
      <c r="D73" s="1">
        <f t="shared" si="16"/>
        <v>1.0000000000000001E-5</v>
      </c>
      <c r="E73" s="1">
        <f t="shared" si="16"/>
        <v>7.9999999999999996E-6</v>
      </c>
      <c r="F73" s="125">
        <f t="shared" si="16"/>
        <v>4.9999929999999999</v>
      </c>
    </row>
    <row r="74" spans="1:7" x14ac:dyDescent="0.3">
      <c r="A74" s="1" t="s">
        <v>435</v>
      </c>
      <c r="B74" s="1">
        <f>L21</f>
        <v>5.0000000000000004E-6</v>
      </c>
      <c r="C74" s="1">
        <f t="shared" ref="C74:F74" si="17">M21</f>
        <v>3.4999999999999999E-6</v>
      </c>
      <c r="D74" s="1">
        <f t="shared" si="17"/>
        <v>1.0000000000000001E-5</v>
      </c>
      <c r="E74" s="1">
        <f t="shared" si="17"/>
        <v>7.9999999999999996E-6</v>
      </c>
      <c r="F74" s="125">
        <f t="shared" si="17"/>
        <v>5.0000049999999998</v>
      </c>
    </row>
    <row r="75" spans="1:7" x14ac:dyDescent="0.3">
      <c r="A75" s="1" t="s">
        <v>436</v>
      </c>
      <c r="B75" s="1">
        <f>C28</f>
        <v>3.5999999999999998E-6</v>
      </c>
      <c r="C75" s="1">
        <f t="shared" ref="C75:F75" si="18">D28</f>
        <v>0</v>
      </c>
      <c r="D75" s="1">
        <f t="shared" si="18"/>
        <v>1.0000000000000001E-5</v>
      </c>
      <c r="E75" s="1">
        <f t="shared" si="18"/>
        <v>7.9999999999999996E-6</v>
      </c>
      <c r="F75" s="125">
        <f t="shared" si="18"/>
        <v>5</v>
      </c>
    </row>
    <row r="76" spans="1:7" x14ac:dyDescent="0.3">
      <c r="A76" s="1" t="s">
        <v>437</v>
      </c>
      <c r="B76" s="347">
        <f>C35</f>
        <v>-9.9999999996214228E-6</v>
      </c>
      <c r="C76" s="347">
        <f t="shared" ref="C76:E76" si="19">D35</f>
        <v>-1.0000000000000001E-5</v>
      </c>
      <c r="D76" s="347">
        <f t="shared" si="19"/>
        <v>1.8928899382176026E-16</v>
      </c>
      <c r="E76" s="347">
        <f t="shared" si="19"/>
        <v>7.9999999999999996E-6</v>
      </c>
      <c r="F76" s="405">
        <f>G35</f>
        <v>4.9999900000000004</v>
      </c>
    </row>
    <row r="79" spans="1:7" x14ac:dyDescent="0.3">
      <c r="A79" s="122" t="s">
        <v>231</v>
      </c>
      <c r="B79" s="122" t="s">
        <v>232</v>
      </c>
      <c r="C79" s="122" t="s">
        <v>221</v>
      </c>
      <c r="D79" s="122" t="s">
        <v>222</v>
      </c>
      <c r="E79" s="122" t="s">
        <v>218</v>
      </c>
      <c r="F79" s="122" t="s">
        <v>219</v>
      </c>
      <c r="G79" s="125" t="s">
        <v>220</v>
      </c>
    </row>
    <row r="80" spans="1:7" x14ac:dyDescent="0.3">
      <c r="A80" s="123" t="str">
        <f>ID!B63</f>
        <v>Anak Timbangan Standar, Merek : HÄFNER, Tipe : 7.MEHM-210, SN : 2790715</v>
      </c>
      <c r="B80" s="404">
        <v>1</v>
      </c>
      <c r="C80" s="124">
        <f>VLOOKUP($A$80,$A$39:$E$46,2,FALSE)</f>
        <v>0</v>
      </c>
      <c r="D80" s="124">
        <f>VLOOKUP($A$80,$A$39:$E$46,3,FALSE)</f>
        <v>-3.1999999999809958E-6</v>
      </c>
      <c r="E80" s="124">
        <f>VLOOKUP($A$80,$A$39:$E$46,4,FALSE)</f>
        <v>1.5999999999904979E-6</v>
      </c>
      <c r="F80" s="124">
        <f>VLOOKUP($A$80,$A$39:$E$46,5,FALSE)</f>
        <v>1.8000000000000001E-6</v>
      </c>
      <c r="G80" s="126">
        <f>VLOOKUP($A$80,$A$39:$F$46,6,FALSE)</f>
        <v>0.99999680000000002</v>
      </c>
    </row>
    <row r="81" spans="1:7" x14ac:dyDescent="0.3">
      <c r="A81" s="123" t="str">
        <f>ID!B64</f>
        <v>Anak Timbangan Standar, Merek : HÄFNER, Tipe : 7.MEHM-220, SN : 2800715</v>
      </c>
      <c r="B81" s="404">
        <v>2</v>
      </c>
      <c r="C81" s="124">
        <f>VLOOKUP($A$81,$A$49:$E$56,2,FALSE)</f>
        <v>-5.000000000032756E-6</v>
      </c>
      <c r="D81" s="124">
        <f>VLOOKUP($A$81,$A$49:$E$56,3,FALSE)</f>
        <v>1.9999999998354667E-6</v>
      </c>
      <c r="E81" s="124">
        <f>VLOOKUP($A$81,$A$49:$E$56,4,FALSE)</f>
        <v>9.9999999999999995E-7</v>
      </c>
      <c r="F81" s="124">
        <f>VLOOKUP($A$81,$A$49:$E$56,5,FALSE)</f>
        <v>3.0000000000000001E-6</v>
      </c>
      <c r="G81" s="126">
        <f>VLOOKUP($A$81,$A$49:$F$56,6,FALSE)</f>
        <v>2.0000019999999998</v>
      </c>
    </row>
    <row r="82" spans="1:7" x14ac:dyDescent="0.3">
      <c r="A82" s="123" t="str">
        <f>ID!B65</f>
        <v>Anak Timbangan Standar, Merek : HÄFNER, Tipe : 7.MEHM-220, SN : 2810715</v>
      </c>
      <c r="B82" s="404" t="s">
        <v>224</v>
      </c>
      <c r="C82" s="124">
        <f>VLOOKUP($A$82,$A$59:$E$66,2,FALSE)</f>
        <v>-2.0000000000575113E-6</v>
      </c>
      <c r="D82" s="124">
        <f>VLOOKUP($A$82,$A$59:$E$66,3,FALSE)</f>
        <v>0</v>
      </c>
      <c r="E82" s="124">
        <f>VLOOKUP($A$82,$A$59:$E$66,4,FALSE)</f>
        <v>1.0000000000287557E-6</v>
      </c>
      <c r="F82" s="124">
        <f>VLOOKUP($A$82,$A$59:$E$66,5,FALSE)</f>
        <v>3.0000000000000001E-6</v>
      </c>
      <c r="G82" s="126">
        <f>VLOOKUP($A$82,$A$59:$F$66,6,FALSE)</f>
        <v>2</v>
      </c>
    </row>
    <row r="83" spans="1:7" x14ac:dyDescent="0.3">
      <c r="A83" s="123"/>
      <c r="B83" s="404">
        <v>3</v>
      </c>
      <c r="C83" s="124" t="s">
        <v>77</v>
      </c>
      <c r="D83" s="124" t="s">
        <v>77</v>
      </c>
      <c r="E83" s="124">
        <f>F83/3</f>
        <v>7.9999999999999996E-7</v>
      </c>
      <c r="F83" s="124">
        <f>(F81+F80)/2</f>
        <v>2.3999999999999999E-6</v>
      </c>
      <c r="G83" s="126">
        <f>G81+G80</f>
        <v>2.9999987999999997</v>
      </c>
    </row>
    <row r="84" spans="1:7" x14ac:dyDescent="0.3">
      <c r="A84" s="123"/>
      <c r="B84" s="404">
        <v>4</v>
      </c>
      <c r="C84" s="124" t="s">
        <v>77</v>
      </c>
      <c r="D84" s="124" t="s">
        <v>77</v>
      </c>
      <c r="E84" s="124">
        <f>F84/3</f>
        <v>9.9999999999999995E-7</v>
      </c>
      <c r="F84" s="124">
        <f>(F82+F81)/2</f>
        <v>3.0000000000000001E-6</v>
      </c>
      <c r="G84" s="126">
        <f>G82+G81</f>
        <v>4.0000020000000003</v>
      </c>
    </row>
    <row r="85" spans="1:7" x14ac:dyDescent="0.3">
      <c r="A85" s="123" t="str">
        <f>ID!B66</f>
        <v>Anak Timbangan Standar, Merek : HÄFNER, Tipe : 7.MEHM-230, SN : 2710715</v>
      </c>
      <c r="B85" s="404">
        <v>5</v>
      </c>
      <c r="C85" s="124">
        <f>VLOOKUP($A$85,$A$69:$E$76,2,FALSE)</f>
        <v>-1.699999999971169E-5</v>
      </c>
      <c r="D85" s="124">
        <f>VLOOKUP($A$85,$A$69:$E$76,3,FALSE)</f>
        <v>-5.9999999999504894E-6</v>
      </c>
      <c r="E85" s="124">
        <f>VLOOKUP($A$85,$A$69:$E$76,4,FALSE)</f>
        <v>5.4999999998806004E-6</v>
      </c>
      <c r="F85" s="124">
        <f>VLOOKUP($A$85,$A$69:$E$76,5,FALSE)</f>
        <v>6.9999999999999999E-6</v>
      </c>
      <c r="G85" s="126">
        <f>VLOOKUP($A$85,$A$69:$F$76,6,FALSE)</f>
        <v>4.999994</v>
      </c>
    </row>
    <row r="86" spans="1:7" x14ac:dyDescent="0.3">
      <c r="A86" s="123"/>
      <c r="B86" s="404">
        <v>6</v>
      </c>
      <c r="C86" s="124" t="s">
        <v>77</v>
      </c>
      <c r="D86" s="124" t="s">
        <v>77</v>
      </c>
      <c r="E86" s="124">
        <f>F86/3</f>
        <v>1.4666666666666667E-6</v>
      </c>
      <c r="F86" s="124">
        <f>(F85+F80)/2</f>
        <v>4.4000000000000002E-6</v>
      </c>
      <c r="G86" s="126">
        <f>G85+G80</f>
        <v>5.9999908</v>
      </c>
    </row>
    <row r="87" spans="1:7" x14ac:dyDescent="0.3">
      <c r="A87" s="123"/>
      <c r="B87" s="404">
        <v>7</v>
      </c>
      <c r="C87" s="124" t="s">
        <v>77</v>
      </c>
      <c r="D87" s="124" t="s">
        <v>77</v>
      </c>
      <c r="E87" s="124">
        <f>F87/3</f>
        <v>1.6666666666666665E-6</v>
      </c>
      <c r="F87" s="124">
        <f>(F85+F81)/2</f>
        <v>4.9999999999999996E-6</v>
      </c>
      <c r="G87" s="126">
        <f>G85+G81</f>
        <v>6.9999959999999994</v>
      </c>
    </row>
    <row r="88" spans="1:7" x14ac:dyDescent="0.3">
      <c r="A88" s="123"/>
      <c r="B88" s="404">
        <v>8</v>
      </c>
      <c r="C88" s="124" t="s">
        <v>77</v>
      </c>
      <c r="D88" s="124" t="s">
        <v>77</v>
      </c>
      <c r="E88" s="124">
        <f>F88/3</f>
        <v>1.3111111111111108E-6</v>
      </c>
      <c r="F88" s="124">
        <f>(F85+F81+F80)/3</f>
        <v>3.9333333333333327E-6</v>
      </c>
      <c r="G88" s="126">
        <f>G85+G82+G80</f>
        <v>7.9999908</v>
      </c>
    </row>
    <row r="89" spans="1:7" x14ac:dyDescent="0.3">
      <c r="A89" s="123"/>
      <c r="B89" s="404">
        <v>9</v>
      </c>
      <c r="C89" s="124" t="s">
        <v>77</v>
      </c>
      <c r="D89" s="124" t="s">
        <v>77</v>
      </c>
      <c r="E89" s="124">
        <f>F89/3</f>
        <v>1.4444444444444443E-6</v>
      </c>
      <c r="F89" s="124">
        <f>(F85+F82+F81)/3</f>
        <v>4.3333333333333331E-6</v>
      </c>
      <c r="G89" s="126">
        <f>G85+G81+G82</f>
        <v>8.9999959999999994</v>
      </c>
    </row>
    <row r="90" spans="1:7" x14ac:dyDescent="0.3">
      <c r="A90" s="123"/>
      <c r="B90" s="404">
        <v>10</v>
      </c>
      <c r="C90" s="124" t="s">
        <v>77</v>
      </c>
      <c r="D90" s="124" t="s">
        <v>77</v>
      </c>
      <c r="E90" s="124">
        <f>F90/3</f>
        <v>1.2333333333333333E-6</v>
      </c>
      <c r="F90" s="124">
        <f>(F85+F82+F81+F80)/4</f>
        <v>3.6999999999999997E-6</v>
      </c>
      <c r="G90" s="126">
        <f>G85+G82+G81+G80</f>
        <v>9.9999927999999993</v>
      </c>
    </row>
  </sheetData>
  <mergeCells count="22">
    <mergeCell ref="B2:B3"/>
    <mergeCell ref="P2:P3"/>
    <mergeCell ref="F2:F3"/>
    <mergeCell ref="G2:G3"/>
    <mergeCell ref="J2:J3"/>
    <mergeCell ref="K2:K3"/>
    <mergeCell ref="O2:O3"/>
    <mergeCell ref="P9:P10"/>
    <mergeCell ref="A11:A14"/>
    <mergeCell ref="A4:A7"/>
    <mergeCell ref="K9:K10"/>
    <mergeCell ref="B9:B10"/>
    <mergeCell ref="J11:J14"/>
    <mergeCell ref="J4:J7"/>
    <mergeCell ref="F9:F10"/>
    <mergeCell ref="G9:G10"/>
    <mergeCell ref="J9:J10"/>
    <mergeCell ref="A32:A35"/>
    <mergeCell ref="A18:A21"/>
    <mergeCell ref="A25:A28"/>
    <mergeCell ref="J18:J21"/>
    <mergeCell ref="O9:O10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5"/>
  <sheetViews>
    <sheetView showGridLines="0" view="pageBreakPreview" topLeftCell="A58" zoomScale="92" zoomScaleNormal="100" zoomScaleSheetLayoutView="100" workbookViewId="0">
      <selection activeCell="E72" sqref="E72"/>
    </sheetView>
  </sheetViews>
  <sheetFormatPr defaultColWidth="9.21875" defaultRowHeight="14.4" x14ac:dyDescent="0.3"/>
  <cols>
    <col min="1" max="1" width="38.77734375" style="8" customWidth="1"/>
    <col min="2" max="2" width="10.21875" style="8" customWidth="1"/>
    <col min="3" max="3" width="12.5546875" style="8" customWidth="1"/>
    <col min="4" max="4" width="14.77734375" style="8" bestFit="1" customWidth="1"/>
    <col min="5" max="5" width="12" style="8" customWidth="1"/>
    <col min="6" max="6" width="9.21875" style="8" customWidth="1"/>
    <col min="7" max="7" width="14.77734375" style="8" bestFit="1" customWidth="1"/>
    <col min="8" max="8" width="10.21875" style="8" customWidth="1"/>
    <col min="9" max="9" width="13.21875" style="8" customWidth="1"/>
    <col min="10" max="10" width="13.5546875" style="8" customWidth="1"/>
    <col min="11" max="11" width="12.5546875" style="8" customWidth="1"/>
    <col min="12" max="12" width="10.5546875" style="8" bestFit="1" customWidth="1"/>
    <col min="13" max="13" width="9.21875" style="8"/>
    <col min="14" max="14" width="19" style="8" bestFit="1" customWidth="1"/>
    <col min="15" max="16384" width="9.21875" style="8"/>
  </cols>
  <sheetData>
    <row r="1" spans="1:11" ht="18" x14ac:dyDescent="0.35">
      <c r="A1" s="557" t="s">
        <v>154</v>
      </c>
      <c r="B1" s="557"/>
      <c r="C1" s="557"/>
      <c r="D1" s="557"/>
      <c r="E1" s="557"/>
      <c r="F1" s="557"/>
      <c r="G1" s="557"/>
      <c r="H1" s="557"/>
      <c r="I1" s="557"/>
      <c r="J1" s="557"/>
      <c r="K1" s="557"/>
    </row>
    <row r="2" spans="1:11" x14ac:dyDescent="0.3">
      <c r="A2" s="7" t="s">
        <v>155</v>
      </c>
      <c r="B2" s="7">
        <f>ID!B44</f>
        <v>1</v>
      </c>
      <c r="C2" s="7" t="s">
        <v>37</v>
      </c>
    </row>
    <row r="3" spans="1:11" ht="16.8" x14ac:dyDescent="0.35">
      <c r="A3" s="25" t="s">
        <v>156</v>
      </c>
      <c r="B3" s="25"/>
      <c r="C3" s="25" t="s">
        <v>157</v>
      </c>
      <c r="D3" s="25" t="s">
        <v>158</v>
      </c>
      <c r="E3" s="25" t="s">
        <v>130</v>
      </c>
      <c r="F3" s="25" t="s">
        <v>159</v>
      </c>
      <c r="G3" s="25" t="s">
        <v>160</v>
      </c>
      <c r="H3" s="25" t="s">
        <v>161</v>
      </c>
      <c r="I3" s="25" t="s">
        <v>162</v>
      </c>
      <c r="J3" s="25" t="s">
        <v>163</v>
      </c>
      <c r="K3" s="25" t="s">
        <v>164</v>
      </c>
    </row>
    <row r="4" spans="1:11" x14ac:dyDescent="0.3">
      <c r="A4" s="21" t="s">
        <v>165</v>
      </c>
      <c r="B4" s="26" t="s">
        <v>37</v>
      </c>
      <c r="C4" s="26" t="s">
        <v>166</v>
      </c>
      <c r="D4" s="119">
        <f>VLOOKUP(B2,'Sertifikat '!$B$80:$G$90,5,FALSE)</f>
        <v>1.8000000000000001E-6</v>
      </c>
      <c r="E4" s="128">
        <v>2</v>
      </c>
      <c r="F4" s="26">
        <v>60</v>
      </c>
      <c r="G4" s="26">
        <f t="shared" ref="G4:G9" si="0">D4/E4</f>
        <v>9.0000000000000007E-7</v>
      </c>
      <c r="H4" s="26">
        <v>1</v>
      </c>
      <c r="I4" s="26">
        <f t="shared" ref="I4:I9" si="1">G4*H4</f>
        <v>9.0000000000000007E-7</v>
      </c>
      <c r="J4" s="26">
        <f t="shared" ref="J4:J9" si="2">I4^2</f>
        <v>8.1000000000000008E-13</v>
      </c>
      <c r="K4" s="26">
        <f t="shared" ref="K4:K9" si="3">(I4^4)/F4</f>
        <v>1.0935000000000002E-26</v>
      </c>
    </row>
    <row r="5" spans="1:11" x14ac:dyDescent="0.3">
      <c r="A5" s="118" t="s">
        <v>119</v>
      </c>
      <c r="B5" s="26" t="s">
        <v>37</v>
      </c>
      <c r="C5" s="26" t="s">
        <v>167</v>
      </c>
      <c r="D5" s="26">
        <f>(0.5*ID!D7)*SQRT(2)</f>
        <v>3.5355339059327383E-2</v>
      </c>
      <c r="E5" s="26">
        <f>VLOOKUP(ID!F7,ID!L23:N24,3,(FALSE))</f>
        <v>2.4494897427831779</v>
      </c>
      <c r="F5" s="26">
        <v>50</v>
      </c>
      <c r="G5" s="26">
        <f t="shared" si="0"/>
        <v>1.4433756729740649E-2</v>
      </c>
      <c r="H5" s="26">
        <v>1</v>
      </c>
      <c r="I5" s="26">
        <f t="shared" si="1"/>
        <v>1.4433756729740649E-2</v>
      </c>
      <c r="J5" s="26">
        <f t="shared" si="2"/>
        <v>2.0833333333333348E-4</v>
      </c>
      <c r="K5" s="26">
        <f t="shared" si="3"/>
        <v>8.6805555555555678E-10</v>
      </c>
    </row>
    <row r="6" spans="1:11" x14ac:dyDescent="0.3">
      <c r="A6" s="118" t="s">
        <v>168</v>
      </c>
      <c r="B6" s="26" t="s">
        <v>37</v>
      </c>
      <c r="C6" s="26" t="s">
        <v>169</v>
      </c>
      <c r="D6" s="27">
        <f>D48</f>
        <v>9.3622225828712033E-16</v>
      </c>
      <c r="E6" s="26">
        <f>SQRT(2)</f>
        <v>1.4142135623730951</v>
      </c>
      <c r="F6" s="26">
        <v>9</v>
      </c>
      <c r="G6" s="26">
        <f t="shared" si="0"/>
        <v>6.6200910753260613E-16</v>
      </c>
      <c r="H6" s="26">
        <v>1</v>
      </c>
      <c r="I6" s="26">
        <f t="shared" si="1"/>
        <v>6.6200910753260613E-16</v>
      </c>
      <c r="J6" s="26">
        <f t="shared" si="2"/>
        <v>4.3825605845611769E-31</v>
      </c>
      <c r="K6" s="26">
        <f t="shared" si="3"/>
        <v>2.1340930308165782E-62</v>
      </c>
    </row>
    <row r="7" spans="1:11" x14ac:dyDescent="0.3">
      <c r="A7" s="21" t="s">
        <v>170</v>
      </c>
      <c r="B7" s="26" t="s">
        <v>37</v>
      </c>
      <c r="C7" s="26" t="s">
        <v>167</v>
      </c>
      <c r="D7" s="119">
        <f>VLOOKUP(B2,'Sertifikat '!$B$80:$G$90,4,FALSE)</f>
        <v>1.5999999999904979E-6</v>
      </c>
      <c r="E7" s="26">
        <f>SQRT(3)</f>
        <v>1.7320508075688772</v>
      </c>
      <c r="F7" s="26">
        <v>50</v>
      </c>
      <c r="G7" s="26">
        <f t="shared" si="0"/>
        <v>9.2376043069791521E-7</v>
      </c>
      <c r="H7" s="26">
        <v>1</v>
      </c>
      <c r="I7" s="26">
        <f t="shared" si="1"/>
        <v>9.2376043069791521E-7</v>
      </c>
      <c r="J7" s="26">
        <f t="shared" si="2"/>
        <v>8.5333333332319781E-13</v>
      </c>
      <c r="K7" s="26">
        <f t="shared" si="3"/>
        <v>1.4563555555209597E-26</v>
      </c>
    </row>
    <row r="8" spans="1:11" x14ac:dyDescent="0.3">
      <c r="A8" s="21" t="s">
        <v>171</v>
      </c>
      <c r="B8" s="26" t="s">
        <v>37</v>
      </c>
      <c r="C8" s="26" t="s">
        <v>167</v>
      </c>
      <c r="D8" s="27">
        <f>(ID!G44*ID!$H$56/(2*ID!$F$50))</f>
        <v>9.9999999999997877E-4</v>
      </c>
      <c r="E8" s="26">
        <f>SQRT(3)</f>
        <v>1.7320508075688772</v>
      </c>
      <c r="F8" s="26">
        <v>50</v>
      </c>
      <c r="G8" s="26">
        <f t="shared" si="0"/>
        <v>5.7735026918961355E-4</v>
      </c>
      <c r="H8" s="26">
        <v>1</v>
      </c>
      <c r="I8" s="26">
        <f t="shared" si="1"/>
        <v>5.7735026918961355E-4</v>
      </c>
      <c r="J8" s="26">
        <f t="shared" si="2"/>
        <v>3.3333333333331922E-7</v>
      </c>
      <c r="K8" s="26">
        <f t="shared" si="3"/>
        <v>2.2222222222220343E-15</v>
      </c>
    </row>
    <row r="9" spans="1:11" x14ac:dyDescent="0.3">
      <c r="A9" s="21" t="s">
        <v>172</v>
      </c>
      <c r="B9" s="26" t="s">
        <v>37</v>
      </c>
      <c r="C9" s="26" t="s">
        <v>167</v>
      </c>
      <c r="D9" s="26">
        <f>(B2*10^-6)</f>
        <v>9.9999999999999995E-7</v>
      </c>
      <c r="E9" s="26">
        <f>SQRT(3)</f>
        <v>1.7320508075688772</v>
      </c>
      <c r="F9" s="26">
        <v>50</v>
      </c>
      <c r="G9" s="26">
        <f t="shared" si="0"/>
        <v>5.7735026918962578E-7</v>
      </c>
      <c r="H9" s="26">
        <v>1</v>
      </c>
      <c r="I9" s="26">
        <f t="shared" si="1"/>
        <v>5.7735026918962578E-7</v>
      </c>
      <c r="J9" s="26">
        <f t="shared" si="2"/>
        <v>3.3333333333333334E-13</v>
      </c>
      <c r="K9" s="26">
        <f t="shared" si="3"/>
        <v>2.2222222222222221E-27</v>
      </c>
    </row>
    <row r="10" spans="1:11" x14ac:dyDescent="0.3">
      <c r="A10" s="558" t="s">
        <v>173</v>
      </c>
      <c r="B10" s="558"/>
      <c r="C10" s="558"/>
      <c r="D10" s="558"/>
      <c r="E10" s="558"/>
      <c r="F10" s="558"/>
      <c r="G10" s="558"/>
      <c r="H10" s="558"/>
      <c r="I10" s="558"/>
      <c r="J10" s="26">
        <f>SUM(J4:J9)</f>
        <v>2.0866666866333345E-4</v>
      </c>
      <c r="K10" s="26">
        <f>SUM(K4:K9)</f>
        <v>8.6805777777777901E-10</v>
      </c>
    </row>
    <row r="11" spans="1:11" x14ac:dyDescent="0.3">
      <c r="A11" s="558" t="s">
        <v>174</v>
      </c>
      <c r="B11" s="558"/>
      <c r="C11" s="558"/>
      <c r="D11" s="558"/>
      <c r="E11" s="558"/>
      <c r="F11" s="558"/>
      <c r="G11" s="558"/>
      <c r="H11" s="558"/>
      <c r="I11" s="558"/>
      <c r="J11" s="26">
        <f>SQRT(J10)</f>
        <v>1.4445299189124933E-2</v>
      </c>
      <c r="K11" s="26"/>
    </row>
    <row r="12" spans="1:11" x14ac:dyDescent="0.3">
      <c r="A12" s="558" t="s">
        <v>175</v>
      </c>
      <c r="B12" s="558"/>
      <c r="C12" s="558"/>
      <c r="D12" s="558"/>
      <c r="E12" s="558"/>
      <c r="F12" s="558"/>
      <c r="G12" s="558"/>
      <c r="H12" s="558"/>
      <c r="I12" s="558"/>
      <c r="J12" s="26">
        <f>J10^2/K10</f>
        <v>50.160000550332022</v>
      </c>
      <c r="K12" s="26"/>
    </row>
    <row r="13" spans="1:11" x14ac:dyDescent="0.3">
      <c r="A13" s="558" t="s">
        <v>176</v>
      </c>
      <c r="B13" s="558"/>
      <c r="C13" s="558"/>
      <c r="D13" s="558"/>
      <c r="E13" s="558"/>
      <c r="F13" s="558"/>
      <c r="G13" s="558"/>
      <c r="H13" s="558"/>
      <c r="I13" s="558"/>
      <c r="J13" s="26">
        <f>TINV(0.05,J12)</f>
        <v>2.0085591121007611</v>
      </c>
      <c r="K13" s="26"/>
    </row>
    <row r="14" spans="1:11" x14ac:dyDescent="0.3">
      <c r="A14" s="558" t="s">
        <v>177</v>
      </c>
      <c r="B14" s="558"/>
      <c r="C14" s="558"/>
      <c r="D14" s="558"/>
      <c r="E14" s="558"/>
      <c r="F14" s="558"/>
      <c r="G14" s="558"/>
      <c r="H14" s="558"/>
      <c r="I14" s="558"/>
      <c r="J14" s="28">
        <f>J11*J13</f>
        <v>2.9014237313338621E-2</v>
      </c>
      <c r="K14" s="25" t="s">
        <v>37</v>
      </c>
    </row>
    <row r="15" spans="1:11" ht="10.5" customHeight="1" x14ac:dyDescent="0.3"/>
    <row r="16" spans="1:11" x14ac:dyDescent="0.3">
      <c r="A16" s="7" t="s">
        <v>155</v>
      </c>
      <c r="B16" s="7">
        <f>ID!B45</f>
        <v>2</v>
      </c>
      <c r="C16" s="7" t="s">
        <v>37</v>
      </c>
    </row>
    <row r="17" spans="1:11" ht="16.8" x14ac:dyDescent="0.35">
      <c r="A17" s="25" t="s">
        <v>156</v>
      </c>
      <c r="B17" s="25" t="s">
        <v>16</v>
      </c>
      <c r="C17" s="25" t="s">
        <v>157</v>
      </c>
      <c r="D17" s="25" t="s">
        <v>158</v>
      </c>
      <c r="E17" s="25" t="s">
        <v>130</v>
      </c>
      <c r="F17" s="25" t="s">
        <v>159</v>
      </c>
      <c r="G17" s="25" t="s">
        <v>160</v>
      </c>
      <c r="H17" s="25" t="s">
        <v>161</v>
      </c>
      <c r="I17" s="25" t="s">
        <v>162</v>
      </c>
      <c r="J17" s="25" t="s">
        <v>163</v>
      </c>
      <c r="K17" s="25" t="s">
        <v>164</v>
      </c>
    </row>
    <row r="18" spans="1:11" x14ac:dyDescent="0.3">
      <c r="A18" s="21" t="s">
        <v>165</v>
      </c>
      <c r="B18" s="26" t="s">
        <v>37</v>
      </c>
      <c r="C18" s="26" t="s">
        <v>166</v>
      </c>
      <c r="D18" s="119">
        <f>VLOOKUP(B16,'Sertifikat '!$B$80:$G$90,5,FALSE)</f>
        <v>3.0000000000000001E-6</v>
      </c>
      <c r="E18" s="26">
        <v>2</v>
      </c>
      <c r="F18" s="26">
        <v>60</v>
      </c>
      <c r="G18" s="26">
        <f t="shared" ref="G18:G23" si="4">D18/E18</f>
        <v>1.5E-6</v>
      </c>
      <c r="H18" s="26">
        <v>1</v>
      </c>
      <c r="I18" s="26">
        <f t="shared" ref="I18:I23" si="5">G18*H18</f>
        <v>1.5E-6</v>
      </c>
      <c r="J18" s="26">
        <f t="shared" ref="J18:J23" si="6">I18^2</f>
        <v>2.2500000000000003E-12</v>
      </c>
      <c r="K18" s="26">
        <f t="shared" ref="K18:K23" si="7">(I18^4)/F18</f>
        <v>8.4375000000000025E-26</v>
      </c>
    </row>
    <row r="19" spans="1:11" x14ac:dyDescent="0.3">
      <c r="A19" s="118" t="s">
        <v>119</v>
      </c>
      <c r="B19" s="26" t="s">
        <v>37</v>
      </c>
      <c r="C19" s="26" t="s">
        <v>167</v>
      </c>
      <c r="D19" s="26">
        <f>(0.5*ID!D7)*SQRT(2)</f>
        <v>3.5355339059327383E-2</v>
      </c>
      <c r="E19" s="26">
        <f>E5</f>
        <v>2.4494897427831779</v>
      </c>
      <c r="F19" s="26">
        <v>50</v>
      </c>
      <c r="G19" s="26">
        <f t="shared" si="4"/>
        <v>1.4433756729740649E-2</v>
      </c>
      <c r="H19" s="26">
        <v>1</v>
      </c>
      <c r="I19" s="26">
        <f t="shared" si="5"/>
        <v>1.4433756729740649E-2</v>
      </c>
      <c r="J19" s="26">
        <f t="shared" si="6"/>
        <v>2.0833333333333348E-4</v>
      </c>
      <c r="K19" s="26">
        <f t="shared" si="7"/>
        <v>8.6805555555555678E-10</v>
      </c>
    </row>
    <row r="20" spans="1:11" x14ac:dyDescent="0.3">
      <c r="A20" s="118" t="s">
        <v>168</v>
      </c>
      <c r="B20" s="26" t="s">
        <v>37</v>
      </c>
      <c r="C20" s="26" t="s">
        <v>166</v>
      </c>
      <c r="D20" s="27">
        <f>D6</f>
        <v>9.3622225828712033E-16</v>
      </c>
      <c r="E20" s="26">
        <f>SQRT(2)</f>
        <v>1.4142135623730951</v>
      </c>
      <c r="F20" s="26">
        <v>9</v>
      </c>
      <c r="G20" s="26">
        <f t="shared" si="4"/>
        <v>6.6200910753260613E-16</v>
      </c>
      <c r="H20" s="26">
        <v>1</v>
      </c>
      <c r="I20" s="26">
        <f t="shared" si="5"/>
        <v>6.6200910753260613E-16</v>
      </c>
      <c r="J20" s="26">
        <f t="shared" si="6"/>
        <v>4.3825605845611769E-31</v>
      </c>
      <c r="K20" s="26">
        <f t="shared" si="7"/>
        <v>2.1340930308165782E-62</v>
      </c>
    </row>
    <row r="21" spans="1:11" x14ac:dyDescent="0.3">
      <c r="A21" s="21" t="s">
        <v>170</v>
      </c>
      <c r="B21" s="26" t="s">
        <v>37</v>
      </c>
      <c r="C21" s="26" t="s">
        <v>167</v>
      </c>
      <c r="D21" s="119">
        <f>VLOOKUP(B16,'Sertifikat '!$B$80:$G$90,4,FALSE)</f>
        <v>9.9999999999999995E-7</v>
      </c>
      <c r="E21" s="26">
        <f>SQRT(3)</f>
        <v>1.7320508075688772</v>
      </c>
      <c r="F21" s="26">
        <v>50</v>
      </c>
      <c r="G21" s="26">
        <f t="shared" si="4"/>
        <v>5.7735026918962578E-7</v>
      </c>
      <c r="H21" s="26">
        <v>1</v>
      </c>
      <c r="I21" s="26">
        <f t="shared" si="5"/>
        <v>5.7735026918962578E-7</v>
      </c>
      <c r="J21" s="26">
        <f t="shared" si="6"/>
        <v>3.3333333333333334E-13</v>
      </c>
      <c r="K21" s="26">
        <f t="shared" si="7"/>
        <v>2.2222222222222221E-27</v>
      </c>
    </row>
    <row r="22" spans="1:11" x14ac:dyDescent="0.3">
      <c r="A22" s="21" t="s">
        <v>171</v>
      </c>
      <c r="B22" s="26" t="s">
        <v>37</v>
      </c>
      <c r="C22" s="26" t="s">
        <v>167</v>
      </c>
      <c r="D22" s="27">
        <f>(ID!G45*ID!$H$56/(2*ID!$F$50))</f>
        <v>1.9999999999999575E-3</v>
      </c>
      <c r="E22" s="26">
        <f>SQRT(3)</f>
        <v>1.7320508075688772</v>
      </c>
      <c r="F22" s="26">
        <v>50</v>
      </c>
      <c r="G22" s="26">
        <f t="shared" si="4"/>
        <v>1.1547005383792271E-3</v>
      </c>
      <c r="H22" s="26">
        <v>1</v>
      </c>
      <c r="I22" s="26">
        <f t="shared" si="5"/>
        <v>1.1547005383792271E-3</v>
      </c>
      <c r="J22" s="26">
        <f t="shared" si="6"/>
        <v>1.3333333333332769E-6</v>
      </c>
      <c r="K22" s="26">
        <f t="shared" si="7"/>
        <v>3.5555555555552548E-14</v>
      </c>
    </row>
    <row r="23" spans="1:11" x14ac:dyDescent="0.3">
      <c r="A23" s="21" t="s">
        <v>172</v>
      </c>
      <c r="B23" s="26" t="s">
        <v>37</v>
      </c>
      <c r="C23" s="26" t="s">
        <v>167</v>
      </c>
      <c r="D23" s="26">
        <f>(B16*10^-6)</f>
        <v>1.9999999999999999E-6</v>
      </c>
      <c r="E23" s="26">
        <f>SQRT(3)</f>
        <v>1.7320508075688772</v>
      </c>
      <c r="F23" s="26">
        <v>50</v>
      </c>
      <c r="G23" s="26">
        <f t="shared" si="4"/>
        <v>1.1547005383792516E-6</v>
      </c>
      <c r="H23" s="26">
        <v>1</v>
      </c>
      <c r="I23" s="26">
        <f t="shared" si="5"/>
        <v>1.1547005383792516E-6</v>
      </c>
      <c r="J23" s="26">
        <f t="shared" si="6"/>
        <v>1.3333333333333334E-12</v>
      </c>
      <c r="K23" s="26">
        <f t="shared" si="7"/>
        <v>3.5555555555555554E-26</v>
      </c>
    </row>
    <row r="24" spans="1:11" x14ac:dyDescent="0.3">
      <c r="A24" s="558" t="s">
        <v>173</v>
      </c>
      <c r="B24" s="558"/>
      <c r="C24" s="558"/>
      <c r="D24" s="558"/>
      <c r="E24" s="558"/>
      <c r="F24" s="558"/>
      <c r="G24" s="558"/>
      <c r="H24" s="558"/>
      <c r="I24" s="558"/>
      <c r="J24" s="26">
        <f>SUM(J18:J23)</f>
        <v>2.0966667058333342E-4</v>
      </c>
      <c r="K24" s="26">
        <f>SUM(K18:K23)</f>
        <v>8.6809111111111246E-10</v>
      </c>
    </row>
    <row r="25" spans="1:11" x14ac:dyDescent="0.3">
      <c r="A25" s="558" t="s">
        <v>174</v>
      </c>
      <c r="B25" s="558"/>
      <c r="C25" s="558"/>
      <c r="D25" s="558"/>
      <c r="E25" s="558"/>
      <c r="F25" s="558"/>
      <c r="G25" s="558"/>
      <c r="H25" s="558"/>
      <c r="I25" s="558"/>
      <c r="J25" s="26">
        <f>SQRT(J24)</f>
        <v>1.4479871221227536E-2</v>
      </c>
      <c r="K25" s="26"/>
    </row>
    <row r="26" spans="1:11" x14ac:dyDescent="0.3">
      <c r="A26" s="558" t="s">
        <v>175</v>
      </c>
      <c r="B26" s="558"/>
      <c r="C26" s="558"/>
      <c r="D26" s="558"/>
      <c r="E26" s="558"/>
      <c r="F26" s="558"/>
      <c r="G26" s="558"/>
      <c r="H26" s="558"/>
      <c r="I26" s="558"/>
      <c r="J26" s="26">
        <f>J24^2/K24</f>
        <v>50.639975678628183</v>
      </c>
      <c r="K26" s="26"/>
    </row>
    <row r="27" spans="1:11" x14ac:dyDescent="0.3">
      <c r="A27" s="558" t="s">
        <v>176</v>
      </c>
      <c r="B27" s="558"/>
      <c r="C27" s="558"/>
      <c r="D27" s="558"/>
      <c r="E27" s="558"/>
      <c r="F27" s="558"/>
      <c r="G27" s="558"/>
      <c r="H27" s="558"/>
      <c r="I27" s="558"/>
      <c r="J27" s="26">
        <f>TINV(0.05,J26)</f>
        <v>2.0085591121007611</v>
      </c>
      <c r="K27" s="26"/>
    </row>
    <row r="28" spans="1:11" x14ac:dyDescent="0.3">
      <c r="A28" s="558" t="s">
        <v>177</v>
      </c>
      <c r="B28" s="558"/>
      <c r="C28" s="558"/>
      <c r="D28" s="558"/>
      <c r="E28" s="558"/>
      <c r="F28" s="558"/>
      <c r="G28" s="558"/>
      <c r="H28" s="558"/>
      <c r="I28" s="558"/>
      <c r="J28" s="28">
        <f>J25*J27</f>
        <v>2.9083677283442144E-2</v>
      </c>
      <c r="K28" s="25" t="s">
        <v>37</v>
      </c>
    </row>
    <row r="29" spans="1:11" ht="10.5" customHeight="1" x14ac:dyDescent="0.3"/>
    <row r="30" spans="1:11" x14ac:dyDescent="0.3">
      <c r="A30" s="7" t="s">
        <v>155</v>
      </c>
      <c r="B30" s="7">
        <f>ID!B46</f>
        <v>3</v>
      </c>
      <c r="C30" s="7" t="s">
        <v>37</v>
      </c>
    </row>
    <row r="31" spans="1:11" ht="16.8" x14ac:dyDescent="0.35">
      <c r="A31" s="25" t="s">
        <v>156</v>
      </c>
      <c r="B31" s="25" t="s">
        <v>16</v>
      </c>
      <c r="C31" s="25" t="s">
        <v>157</v>
      </c>
      <c r="D31" s="25" t="s">
        <v>158</v>
      </c>
      <c r="E31" s="25" t="s">
        <v>130</v>
      </c>
      <c r="F31" s="25" t="s">
        <v>159</v>
      </c>
      <c r="G31" s="25" t="s">
        <v>160</v>
      </c>
      <c r="H31" s="25" t="s">
        <v>161</v>
      </c>
      <c r="I31" s="25" t="s">
        <v>162</v>
      </c>
      <c r="J31" s="25" t="s">
        <v>163</v>
      </c>
      <c r="K31" s="25" t="s">
        <v>164</v>
      </c>
    </row>
    <row r="32" spans="1:11" x14ac:dyDescent="0.3">
      <c r="A32" s="21" t="s">
        <v>165</v>
      </c>
      <c r="B32" s="26" t="s">
        <v>37</v>
      </c>
      <c r="C32" s="26" t="s">
        <v>166</v>
      </c>
      <c r="D32" s="119">
        <f>VLOOKUP(B30,'Sertifikat '!$B$80:$G$90,5,FALSE)</f>
        <v>2.3999999999999999E-6</v>
      </c>
      <c r="E32" s="26">
        <v>2</v>
      </c>
      <c r="F32" s="26">
        <v>60</v>
      </c>
      <c r="G32" s="26">
        <f t="shared" ref="G32:G37" si="8">D32/E32</f>
        <v>1.1999999999999999E-6</v>
      </c>
      <c r="H32" s="26">
        <v>1</v>
      </c>
      <c r="I32" s="26">
        <f>G32*H32</f>
        <v>1.1999999999999999E-6</v>
      </c>
      <c r="J32" s="26">
        <f>I32^2</f>
        <v>1.4399999999999999E-12</v>
      </c>
      <c r="K32" s="26">
        <f t="shared" ref="K32:K37" si="9">(I32^4)/F32</f>
        <v>3.4559999999999993E-26</v>
      </c>
    </row>
    <row r="33" spans="1:11" x14ac:dyDescent="0.3">
      <c r="A33" s="118" t="s">
        <v>119</v>
      </c>
      <c r="B33" s="26" t="s">
        <v>37</v>
      </c>
      <c r="C33" s="26" t="s">
        <v>167</v>
      </c>
      <c r="D33" s="26">
        <f>(0.5*ID!D7)*SQRT(2)</f>
        <v>3.5355339059327383E-2</v>
      </c>
      <c r="E33" s="26">
        <f>E19</f>
        <v>2.4494897427831779</v>
      </c>
      <c r="F33" s="26">
        <v>50</v>
      </c>
      <c r="G33" s="26">
        <f t="shared" si="8"/>
        <v>1.4433756729740649E-2</v>
      </c>
      <c r="H33" s="26">
        <v>1</v>
      </c>
      <c r="I33" s="26">
        <f t="shared" ref="I33:I37" si="10">G33*H33</f>
        <v>1.4433756729740649E-2</v>
      </c>
      <c r="J33" s="26">
        <f t="shared" ref="J33:J37" si="11">I33^2</f>
        <v>2.0833333333333348E-4</v>
      </c>
      <c r="K33" s="26">
        <f t="shared" si="9"/>
        <v>8.6805555555555678E-10</v>
      </c>
    </row>
    <row r="34" spans="1:11" x14ac:dyDescent="0.3">
      <c r="A34" s="118" t="s">
        <v>168</v>
      </c>
      <c r="B34" s="26" t="s">
        <v>37</v>
      </c>
      <c r="C34" s="26" t="s">
        <v>166</v>
      </c>
      <c r="D34" s="27">
        <f>D6</f>
        <v>9.3622225828712033E-16</v>
      </c>
      <c r="E34" s="26">
        <f>SQRT(2)</f>
        <v>1.4142135623730951</v>
      </c>
      <c r="F34" s="26">
        <v>9</v>
      </c>
      <c r="G34" s="26">
        <f t="shared" si="8"/>
        <v>6.6200910753260613E-16</v>
      </c>
      <c r="H34" s="26">
        <v>1</v>
      </c>
      <c r="I34" s="26">
        <f t="shared" si="10"/>
        <v>6.6200910753260613E-16</v>
      </c>
      <c r="J34" s="26">
        <f t="shared" si="11"/>
        <v>4.3825605845611769E-31</v>
      </c>
      <c r="K34" s="26">
        <f t="shared" si="9"/>
        <v>2.1340930308165782E-62</v>
      </c>
    </row>
    <row r="35" spans="1:11" x14ac:dyDescent="0.3">
      <c r="A35" s="21" t="s">
        <v>170</v>
      </c>
      <c r="B35" s="26" t="s">
        <v>37</v>
      </c>
      <c r="C35" s="26" t="s">
        <v>167</v>
      </c>
      <c r="D35" s="119">
        <f>VLOOKUP(B30,'Sertifikat '!$B$80:$G$90,4,FALSE)</f>
        <v>7.9999999999999996E-7</v>
      </c>
      <c r="E35" s="26">
        <f>SQRT(3)</f>
        <v>1.7320508075688772</v>
      </c>
      <c r="F35" s="26">
        <v>50</v>
      </c>
      <c r="G35" s="26">
        <f t="shared" si="8"/>
        <v>4.6188021535170062E-7</v>
      </c>
      <c r="H35" s="26">
        <v>1</v>
      </c>
      <c r="I35" s="26">
        <f t="shared" si="10"/>
        <v>4.6188021535170062E-7</v>
      </c>
      <c r="J35" s="26">
        <f t="shared" si="11"/>
        <v>2.1333333333333335E-13</v>
      </c>
      <c r="K35" s="26">
        <f t="shared" si="9"/>
        <v>9.102222222222224E-28</v>
      </c>
    </row>
    <row r="36" spans="1:11" x14ac:dyDescent="0.3">
      <c r="A36" s="21" t="s">
        <v>171</v>
      </c>
      <c r="B36" s="26" t="s">
        <v>37</v>
      </c>
      <c r="C36" s="26" t="s">
        <v>167</v>
      </c>
      <c r="D36" s="27">
        <f>(ID!G46*ID!$H$56/(2*ID!$F$50))</f>
        <v>3.0499999999999347E-3</v>
      </c>
      <c r="E36" s="26">
        <f>SQRT(3)</f>
        <v>1.7320508075688772</v>
      </c>
      <c r="F36" s="26">
        <v>50</v>
      </c>
      <c r="G36" s="26">
        <f t="shared" si="8"/>
        <v>1.7609183210283209E-3</v>
      </c>
      <c r="H36" s="26">
        <v>1</v>
      </c>
      <c r="I36" s="26">
        <f t="shared" si="10"/>
        <v>1.7609183210283209E-3</v>
      </c>
      <c r="J36" s="26">
        <f t="shared" si="11"/>
        <v>3.1008333333332004E-6</v>
      </c>
      <c r="K36" s="26">
        <f t="shared" si="9"/>
        <v>1.9230334722220572E-13</v>
      </c>
    </row>
    <row r="37" spans="1:11" x14ac:dyDescent="0.3">
      <c r="A37" s="21" t="s">
        <v>172</v>
      </c>
      <c r="B37" s="26" t="s">
        <v>37</v>
      </c>
      <c r="C37" s="26" t="s">
        <v>167</v>
      </c>
      <c r="D37" s="26">
        <f>(B30*10^-6)</f>
        <v>3.0000000000000001E-6</v>
      </c>
      <c r="E37" s="26">
        <f>SQRT(3)</f>
        <v>1.7320508075688772</v>
      </c>
      <c r="F37" s="26">
        <v>50</v>
      </c>
      <c r="G37" s="26">
        <f t="shared" si="8"/>
        <v>1.7320508075688774E-6</v>
      </c>
      <c r="H37" s="26">
        <v>1</v>
      </c>
      <c r="I37" s="26">
        <f t="shared" si="10"/>
        <v>1.7320508075688774E-6</v>
      </c>
      <c r="J37" s="26">
        <f t="shared" si="11"/>
        <v>3.0000000000000001E-12</v>
      </c>
      <c r="K37" s="26">
        <f t="shared" si="9"/>
        <v>1.8000000000000002E-25</v>
      </c>
    </row>
    <row r="38" spans="1:11" x14ac:dyDescent="0.3">
      <c r="A38" s="558" t="s">
        <v>173</v>
      </c>
      <c r="B38" s="558"/>
      <c r="C38" s="558"/>
      <c r="D38" s="558"/>
      <c r="E38" s="558"/>
      <c r="F38" s="558"/>
      <c r="G38" s="558"/>
      <c r="H38" s="558"/>
      <c r="I38" s="558"/>
      <c r="J38" s="26">
        <f>SUM(J32:J37)</f>
        <v>2.1143417132E-4</v>
      </c>
      <c r="K38" s="26">
        <f>SUM(K32:K37)</f>
        <v>8.682478589027792E-10</v>
      </c>
    </row>
    <row r="39" spans="1:11" x14ac:dyDescent="0.3">
      <c r="A39" s="558" t="s">
        <v>174</v>
      </c>
      <c r="B39" s="558"/>
      <c r="C39" s="558"/>
      <c r="D39" s="558"/>
      <c r="E39" s="558"/>
      <c r="F39" s="558"/>
      <c r="G39" s="558"/>
      <c r="H39" s="558"/>
      <c r="I39" s="558"/>
      <c r="J39" s="26">
        <f>SQRT(J38)</f>
        <v>1.4540776159476495E-2</v>
      </c>
      <c r="K39" s="26"/>
    </row>
    <row r="40" spans="1:11" x14ac:dyDescent="0.3">
      <c r="A40" s="558" t="s">
        <v>175</v>
      </c>
      <c r="B40" s="558"/>
      <c r="C40" s="558"/>
      <c r="D40" s="558"/>
      <c r="E40" s="558"/>
      <c r="F40" s="558"/>
      <c r="G40" s="558"/>
      <c r="H40" s="558"/>
      <c r="I40" s="558"/>
      <c r="J40" s="26">
        <f>J38^2/K38</f>
        <v>51.488072608976992</v>
      </c>
      <c r="K40" s="26"/>
    </row>
    <row r="41" spans="1:11" x14ac:dyDescent="0.3">
      <c r="A41" s="558" t="s">
        <v>176</v>
      </c>
      <c r="B41" s="558"/>
      <c r="C41" s="558"/>
      <c r="D41" s="558"/>
      <c r="E41" s="558"/>
      <c r="F41" s="558"/>
      <c r="G41" s="558"/>
      <c r="H41" s="558"/>
      <c r="I41" s="558"/>
      <c r="J41" s="26">
        <f>TINV(0.05,J40)</f>
        <v>2.007583770315835</v>
      </c>
      <c r="K41" s="26"/>
    </row>
    <row r="42" spans="1:11" x14ac:dyDescent="0.3">
      <c r="A42" s="558" t="s">
        <v>177</v>
      </c>
      <c r="B42" s="558"/>
      <c r="C42" s="558"/>
      <c r="D42" s="558"/>
      <c r="E42" s="558"/>
      <c r="F42" s="558"/>
      <c r="G42" s="558"/>
      <c r="H42" s="558"/>
      <c r="I42" s="558"/>
      <c r="J42" s="28">
        <f>J39*J41</f>
        <v>2.9191826225560429E-2</v>
      </c>
      <c r="K42" s="25" t="s">
        <v>37</v>
      </c>
    </row>
    <row r="44" spans="1:11" x14ac:dyDescent="0.3">
      <c r="A44" s="29" t="s">
        <v>155</v>
      </c>
      <c r="B44" s="31">
        <f>ID!B47</f>
        <v>5</v>
      </c>
      <c r="C44" s="22" t="s">
        <v>37</v>
      </c>
      <c r="D44" s="30"/>
      <c r="E44" s="30"/>
      <c r="F44" s="30"/>
      <c r="G44" s="30"/>
      <c r="H44" s="30"/>
      <c r="I44" s="30"/>
      <c r="J44" s="30"/>
      <c r="K44" s="30"/>
    </row>
    <row r="45" spans="1:11" ht="16.8" x14ac:dyDescent="0.35">
      <c r="A45" s="25" t="s">
        <v>156</v>
      </c>
      <c r="B45" s="25" t="s">
        <v>16</v>
      </c>
      <c r="C45" s="25" t="s">
        <v>157</v>
      </c>
      <c r="D45" s="25" t="s">
        <v>158</v>
      </c>
      <c r="E45" s="25" t="s">
        <v>130</v>
      </c>
      <c r="F45" s="25" t="s">
        <v>159</v>
      </c>
      <c r="G45" s="25" t="s">
        <v>160</v>
      </c>
      <c r="H45" s="25" t="s">
        <v>161</v>
      </c>
      <c r="I45" s="25" t="s">
        <v>162</v>
      </c>
      <c r="J45" s="25" t="s">
        <v>163</v>
      </c>
      <c r="K45" s="25" t="s">
        <v>164</v>
      </c>
    </row>
    <row r="46" spans="1:11" x14ac:dyDescent="0.3">
      <c r="A46" s="21" t="s">
        <v>165</v>
      </c>
      <c r="B46" s="26" t="s">
        <v>37</v>
      </c>
      <c r="C46" s="26" t="s">
        <v>166</v>
      </c>
      <c r="D46" s="119">
        <f>VLOOKUP(B44,'Sertifikat '!$B$80:$G$90,5,FALSE)</f>
        <v>6.9999999999999999E-6</v>
      </c>
      <c r="E46" s="26">
        <v>2</v>
      </c>
      <c r="F46" s="26">
        <v>60</v>
      </c>
      <c r="G46" s="26">
        <f t="shared" ref="G46:G51" si="12">D46/E46</f>
        <v>3.4999999999999999E-6</v>
      </c>
      <c r="H46" s="26">
        <v>1</v>
      </c>
      <c r="I46" s="26">
        <f>G46*H46</f>
        <v>3.4999999999999999E-6</v>
      </c>
      <c r="J46" s="26">
        <f>I46^2</f>
        <v>1.225E-11</v>
      </c>
      <c r="K46" s="26">
        <f t="shared" ref="K46:K51" si="13">(I46^4)/F46</f>
        <v>2.5010416666666666E-24</v>
      </c>
    </row>
    <row r="47" spans="1:11" x14ac:dyDescent="0.3">
      <c r="A47" s="118" t="s">
        <v>119</v>
      </c>
      <c r="B47" s="26" t="s">
        <v>37</v>
      </c>
      <c r="C47" s="26" t="s">
        <v>167</v>
      </c>
      <c r="D47" s="26">
        <f>(0.5*ID!D7)*SQRT(2)</f>
        <v>3.5355339059327383E-2</v>
      </c>
      <c r="E47" s="26">
        <f>E33</f>
        <v>2.4494897427831779</v>
      </c>
      <c r="F47" s="26">
        <v>50</v>
      </c>
      <c r="G47" s="26">
        <f t="shared" si="12"/>
        <v>1.4433756729740649E-2</v>
      </c>
      <c r="H47" s="26">
        <v>1</v>
      </c>
      <c r="I47" s="26">
        <f t="shared" ref="I47:I51" si="14">G47*H47</f>
        <v>1.4433756729740649E-2</v>
      </c>
      <c r="J47" s="26">
        <f t="shared" ref="J47:J51" si="15">I47^2</f>
        <v>2.0833333333333348E-4</v>
      </c>
      <c r="K47" s="26">
        <f t="shared" si="13"/>
        <v>8.6805555555555678E-10</v>
      </c>
    </row>
    <row r="48" spans="1:11" x14ac:dyDescent="0.3">
      <c r="A48" s="118" t="s">
        <v>168</v>
      </c>
      <c r="B48" s="26" t="s">
        <v>37</v>
      </c>
      <c r="C48" s="26" t="s">
        <v>166</v>
      </c>
      <c r="D48" s="27">
        <f>(ID!$E$40)</f>
        <v>9.3622225828712033E-16</v>
      </c>
      <c r="E48" s="26">
        <f>SQRT(2)</f>
        <v>1.4142135623730951</v>
      </c>
      <c r="F48" s="26">
        <v>9</v>
      </c>
      <c r="G48" s="26">
        <f t="shared" si="12"/>
        <v>6.6200910753260613E-16</v>
      </c>
      <c r="H48" s="26">
        <v>1</v>
      </c>
      <c r="I48" s="26">
        <f t="shared" si="14"/>
        <v>6.6200910753260613E-16</v>
      </c>
      <c r="J48" s="26">
        <f t="shared" si="15"/>
        <v>4.3825605845611769E-31</v>
      </c>
      <c r="K48" s="26">
        <f t="shared" si="13"/>
        <v>2.1340930308165782E-62</v>
      </c>
    </row>
    <row r="49" spans="1:11" x14ac:dyDescent="0.3">
      <c r="A49" s="21" t="s">
        <v>170</v>
      </c>
      <c r="B49" s="26" t="s">
        <v>37</v>
      </c>
      <c r="C49" s="26" t="s">
        <v>167</v>
      </c>
      <c r="D49" s="119">
        <f>VLOOKUP(B44,'Sertifikat '!$B$80:$G$90,4,FALSE)</f>
        <v>5.4999999998806004E-6</v>
      </c>
      <c r="E49" s="26">
        <f>SQRT(3)</f>
        <v>1.7320508075688772</v>
      </c>
      <c r="F49" s="26">
        <v>50</v>
      </c>
      <c r="G49" s="26">
        <f t="shared" si="12"/>
        <v>3.1754264804740065E-6</v>
      </c>
      <c r="H49" s="26">
        <v>1</v>
      </c>
      <c r="I49" s="26">
        <f t="shared" si="14"/>
        <v>3.1754264804740065E-6</v>
      </c>
      <c r="J49" s="26">
        <f t="shared" si="15"/>
        <v>1.0083333332895536E-11</v>
      </c>
      <c r="K49" s="26">
        <f t="shared" si="13"/>
        <v>2.033472222045644E-24</v>
      </c>
    </row>
    <row r="50" spans="1:11" x14ac:dyDescent="0.3">
      <c r="A50" s="21" t="s">
        <v>171</v>
      </c>
      <c r="B50" s="26" t="s">
        <v>37</v>
      </c>
      <c r="C50" s="26" t="s">
        <v>167</v>
      </c>
      <c r="D50" s="27">
        <f>(ID!G47*ID!$H$56/(2*ID!$F$50))</f>
        <v>5.0499999999998922E-3</v>
      </c>
      <c r="E50" s="26">
        <f>SQRT(3)</f>
        <v>1.7320508075688772</v>
      </c>
      <c r="F50" s="26">
        <v>50</v>
      </c>
      <c r="G50" s="26">
        <f t="shared" si="12"/>
        <v>2.9156188594075482E-3</v>
      </c>
      <c r="H50" s="26">
        <v>1</v>
      </c>
      <c r="I50" s="26">
        <f t="shared" si="14"/>
        <v>2.9156188594075482E-3</v>
      </c>
      <c r="J50" s="26">
        <f t="shared" si="15"/>
        <v>8.5008333333329726E-6</v>
      </c>
      <c r="K50" s="26">
        <f t="shared" si="13"/>
        <v>1.4452833472220995E-12</v>
      </c>
    </row>
    <row r="51" spans="1:11" x14ac:dyDescent="0.3">
      <c r="A51" s="21" t="s">
        <v>172</v>
      </c>
      <c r="B51" s="26" t="s">
        <v>37</v>
      </c>
      <c r="C51" s="26" t="s">
        <v>167</v>
      </c>
      <c r="D51" s="26">
        <f>(B44*10^-6)</f>
        <v>4.9999999999999996E-6</v>
      </c>
      <c r="E51" s="26">
        <f>SQRT(3)</f>
        <v>1.7320508075688772</v>
      </c>
      <c r="F51" s="26">
        <v>50</v>
      </c>
      <c r="G51" s="26">
        <f t="shared" si="12"/>
        <v>2.8867513459481289E-6</v>
      </c>
      <c r="H51" s="26">
        <v>1</v>
      </c>
      <c r="I51" s="26">
        <f t="shared" si="14"/>
        <v>2.8867513459481289E-6</v>
      </c>
      <c r="J51" s="26">
        <f t="shared" si="15"/>
        <v>8.3333333333333336E-12</v>
      </c>
      <c r="K51" s="26">
        <f t="shared" si="13"/>
        <v>1.3888888888888889E-24</v>
      </c>
    </row>
    <row r="52" spans="1:11" x14ac:dyDescent="0.3">
      <c r="A52" s="558" t="s">
        <v>173</v>
      </c>
      <c r="B52" s="558"/>
      <c r="C52" s="558"/>
      <c r="D52" s="558"/>
      <c r="E52" s="558"/>
      <c r="F52" s="558"/>
      <c r="G52" s="558"/>
      <c r="H52" s="558"/>
      <c r="I52" s="558"/>
      <c r="J52" s="26">
        <f>SUM(J46:J51)</f>
        <v>2.1683419733333314E-4</v>
      </c>
      <c r="K52" s="26">
        <f>SUM(K46:K51)</f>
        <v>8.6950083890278479E-10</v>
      </c>
    </row>
    <row r="53" spans="1:11" x14ac:dyDescent="0.3">
      <c r="A53" s="558" t="s">
        <v>174</v>
      </c>
      <c r="B53" s="558"/>
      <c r="C53" s="558"/>
      <c r="D53" s="558"/>
      <c r="E53" s="558"/>
      <c r="F53" s="558"/>
      <c r="G53" s="558"/>
      <c r="H53" s="558"/>
      <c r="I53" s="558"/>
      <c r="J53" s="26">
        <f>SQRT(J52)</f>
        <v>1.4725291078051161E-2</v>
      </c>
      <c r="K53" s="26"/>
    </row>
    <row r="54" spans="1:11" x14ac:dyDescent="0.3">
      <c r="A54" s="558" t="s">
        <v>175</v>
      </c>
      <c r="B54" s="558"/>
      <c r="C54" s="558"/>
      <c r="D54" s="558"/>
      <c r="E54" s="558"/>
      <c r="F54" s="558"/>
      <c r="G54" s="558"/>
      <c r="H54" s="558"/>
      <c r="I54" s="558"/>
      <c r="J54" s="26">
        <f>J52^2/K52</f>
        <v>54.073632858734527</v>
      </c>
      <c r="K54" s="26"/>
    </row>
    <row r="55" spans="1:11" x14ac:dyDescent="0.3">
      <c r="A55" s="558" t="s">
        <v>176</v>
      </c>
      <c r="B55" s="558"/>
      <c r="C55" s="558"/>
      <c r="D55" s="558"/>
      <c r="E55" s="558"/>
      <c r="F55" s="558"/>
      <c r="G55" s="558"/>
      <c r="H55" s="558"/>
      <c r="I55" s="558"/>
      <c r="J55" s="26">
        <f>TINV(0.05,J54)</f>
        <v>2.0048792881880577</v>
      </c>
      <c r="K55" s="26"/>
    </row>
    <row r="56" spans="1:11" x14ac:dyDescent="0.3">
      <c r="A56" s="558" t="s">
        <v>177</v>
      </c>
      <c r="B56" s="558"/>
      <c r="C56" s="558"/>
      <c r="D56" s="558"/>
      <c r="E56" s="558"/>
      <c r="F56" s="558"/>
      <c r="G56" s="558"/>
      <c r="H56" s="558"/>
      <c r="I56" s="558"/>
      <c r="J56" s="28">
        <f>J53*J55</f>
        <v>2.9522431094925167E-2</v>
      </c>
      <c r="K56" s="25" t="s">
        <v>37</v>
      </c>
    </row>
    <row r="59" spans="1:11" x14ac:dyDescent="0.3">
      <c r="A59" s="7" t="s">
        <v>155</v>
      </c>
      <c r="B59" s="7">
        <f>ID!B48</f>
        <v>10</v>
      </c>
      <c r="C59" s="7" t="s">
        <v>37</v>
      </c>
    </row>
    <row r="60" spans="1:11" ht="16.8" x14ac:dyDescent="0.35">
      <c r="A60" s="25" t="s">
        <v>156</v>
      </c>
      <c r="B60" s="25" t="s">
        <v>16</v>
      </c>
      <c r="C60" s="25" t="s">
        <v>157</v>
      </c>
      <c r="D60" s="25" t="s">
        <v>158</v>
      </c>
      <c r="E60" s="25" t="s">
        <v>130</v>
      </c>
      <c r="F60" s="25" t="s">
        <v>159</v>
      </c>
      <c r="G60" s="25" t="s">
        <v>160</v>
      </c>
      <c r="H60" s="25" t="s">
        <v>161</v>
      </c>
      <c r="I60" s="25" t="s">
        <v>162</v>
      </c>
      <c r="J60" s="25" t="s">
        <v>163</v>
      </c>
      <c r="K60" s="25" t="s">
        <v>164</v>
      </c>
    </row>
    <row r="61" spans="1:11" x14ac:dyDescent="0.3">
      <c r="A61" s="21" t="s">
        <v>165</v>
      </c>
      <c r="B61" s="26" t="s">
        <v>37</v>
      </c>
      <c r="C61" s="26" t="s">
        <v>166</v>
      </c>
      <c r="D61" s="119">
        <f>VLOOKUP(B59,'Sertifikat '!$B$80:$G$90,5,FALSE)</f>
        <v>3.6999999999999997E-6</v>
      </c>
      <c r="E61" s="26">
        <v>2</v>
      </c>
      <c r="F61" s="26">
        <v>60</v>
      </c>
      <c r="G61" s="26">
        <f>D61/E61</f>
        <v>1.8499999999999999E-6</v>
      </c>
      <c r="H61" s="26">
        <v>1</v>
      </c>
      <c r="I61" s="26">
        <f>G61*H61</f>
        <v>1.8499999999999999E-6</v>
      </c>
      <c r="J61" s="26">
        <f>I61^2</f>
        <v>3.4224999999999996E-12</v>
      </c>
      <c r="K61" s="26">
        <f>(I61^4)/F61</f>
        <v>1.9522510416666663E-25</v>
      </c>
    </row>
    <row r="62" spans="1:11" x14ac:dyDescent="0.3">
      <c r="A62" s="118" t="s">
        <v>119</v>
      </c>
      <c r="B62" s="26" t="s">
        <v>37</v>
      </c>
      <c r="C62" s="26" t="s">
        <v>167</v>
      </c>
      <c r="D62" s="26">
        <f>(0.5*ID!D7)*SQRT(2)</f>
        <v>3.5355339059327383E-2</v>
      </c>
      <c r="E62" s="26">
        <f>E47</f>
        <v>2.4494897427831779</v>
      </c>
      <c r="F62" s="26">
        <v>50</v>
      </c>
      <c r="G62" s="26">
        <f t="shared" ref="G62:G66" si="16">D62/E62</f>
        <v>1.4433756729740649E-2</v>
      </c>
      <c r="H62" s="26">
        <v>1</v>
      </c>
      <c r="I62" s="26">
        <f t="shared" ref="I62:I66" si="17">G62*H62</f>
        <v>1.4433756729740649E-2</v>
      </c>
      <c r="J62" s="26">
        <f t="shared" ref="J62:J66" si="18">I62^2</f>
        <v>2.0833333333333348E-4</v>
      </c>
      <c r="K62" s="26">
        <f t="shared" ref="K62:K66" si="19">(I62^4)/F62</f>
        <v>8.6805555555555678E-10</v>
      </c>
    </row>
    <row r="63" spans="1:11" x14ac:dyDescent="0.3">
      <c r="A63" s="118" t="s">
        <v>168</v>
      </c>
      <c r="B63" s="26" t="s">
        <v>37</v>
      </c>
      <c r="C63" s="26" t="s">
        <v>166</v>
      </c>
      <c r="D63" s="27">
        <f>(ID!$E$40)</f>
        <v>9.3622225828712033E-16</v>
      </c>
      <c r="E63" s="26">
        <f>SQRT(2)</f>
        <v>1.4142135623730951</v>
      </c>
      <c r="F63" s="26">
        <v>9</v>
      </c>
      <c r="G63" s="26">
        <f t="shared" si="16"/>
        <v>6.6200910753260613E-16</v>
      </c>
      <c r="H63" s="26">
        <v>1</v>
      </c>
      <c r="I63" s="26">
        <f t="shared" si="17"/>
        <v>6.6200910753260613E-16</v>
      </c>
      <c r="J63" s="26">
        <f t="shared" si="18"/>
        <v>4.3825605845611769E-31</v>
      </c>
      <c r="K63" s="26">
        <f t="shared" si="19"/>
        <v>2.1340930308165782E-62</v>
      </c>
    </row>
    <row r="64" spans="1:11" x14ac:dyDescent="0.3">
      <c r="A64" s="21" t="s">
        <v>170</v>
      </c>
      <c r="B64" s="26" t="s">
        <v>37</v>
      </c>
      <c r="C64" s="26" t="s">
        <v>167</v>
      </c>
      <c r="D64" s="119">
        <f>VLOOKUP(B59,'Sertifikat '!$B$80:$G$90,4,FALSE)</f>
        <v>1.2333333333333333E-6</v>
      </c>
      <c r="E64" s="26">
        <f>SQRT(3)</f>
        <v>1.7320508075688772</v>
      </c>
      <c r="F64" s="26">
        <v>50</v>
      </c>
      <c r="G64" s="26">
        <f t="shared" si="16"/>
        <v>7.1206533200053845E-7</v>
      </c>
      <c r="H64" s="26">
        <v>1</v>
      </c>
      <c r="I64" s="26">
        <f t="shared" si="17"/>
        <v>7.1206533200053845E-7</v>
      </c>
      <c r="J64" s="26">
        <f t="shared" si="18"/>
        <v>5.0703703703703708E-13</v>
      </c>
      <c r="K64" s="26">
        <f t="shared" si="19"/>
        <v>5.1417311385459541E-27</v>
      </c>
    </row>
    <row r="65" spans="1:11" x14ac:dyDescent="0.3">
      <c r="A65" s="21" t="s">
        <v>171</v>
      </c>
      <c r="B65" s="26" t="s">
        <v>37</v>
      </c>
      <c r="C65" s="26" t="s">
        <v>167</v>
      </c>
      <c r="D65" s="27">
        <f>(ID!G48*ID!$H$56/(2*ID!$F$50))</f>
        <v>9.9999999999997868E-3</v>
      </c>
      <c r="E65" s="26">
        <f>SQRT(3)</f>
        <v>1.7320508075688772</v>
      </c>
      <c r="F65" s="26">
        <v>50</v>
      </c>
      <c r="G65" s="26">
        <f t="shared" si="16"/>
        <v>5.7735026918961348E-3</v>
      </c>
      <c r="H65" s="26">
        <v>1</v>
      </c>
      <c r="I65" s="26">
        <f t="shared" si="17"/>
        <v>5.7735026918961348E-3</v>
      </c>
      <c r="J65" s="26">
        <f t="shared" si="18"/>
        <v>3.3333333333331912E-5</v>
      </c>
      <c r="K65" s="26">
        <f t="shared" si="19"/>
        <v>2.2222222222220328E-11</v>
      </c>
    </row>
    <row r="66" spans="1:11" x14ac:dyDescent="0.3">
      <c r="A66" s="21" t="s">
        <v>172</v>
      </c>
      <c r="B66" s="26" t="s">
        <v>37</v>
      </c>
      <c r="C66" s="26" t="s">
        <v>167</v>
      </c>
      <c r="D66" s="26">
        <f>(B59*10^-6)</f>
        <v>9.9999999999999991E-6</v>
      </c>
      <c r="E66" s="26">
        <f>SQRT(3)</f>
        <v>1.7320508075688772</v>
      </c>
      <c r="F66" s="26">
        <v>50</v>
      </c>
      <c r="G66" s="26">
        <f t="shared" si="16"/>
        <v>5.7735026918962578E-6</v>
      </c>
      <c r="H66" s="26">
        <v>1</v>
      </c>
      <c r="I66" s="26">
        <f t="shared" si="17"/>
        <v>5.7735026918962578E-6</v>
      </c>
      <c r="J66" s="26">
        <f t="shared" si="18"/>
        <v>3.3333333333333335E-11</v>
      </c>
      <c r="K66" s="26">
        <f t="shared" si="19"/>
        <v>2.2222222222222223E-23</v>
      </c>
    </row>
    <row r="67" spans="1:11" x14ac:dyDescent="0.3">
      <c r="A67" s="559" t="s">
        <v>173</v>
      </c>
      <c r="B67" s="560"/>
      <c r="C67" s="560"/>
      <c r="D67" s="560"/>
      <c r="E67" s="560"/>
      <c r="F67" s="560"/>
      <c r="G67" s="560"/>
      <c r="H67" s="560"/>
      <c r="I67" s="561"/>
      <c r="J67" s="26">
        <f>SUM(J61:J66)</f>
        <v>2.4166670392953576E-4</v>
      </c>
      <c r="K67" s="26">
        <f>SUM(K61:K66)</f>
        <v>8.9027777777779954E-10</v>
      </c>
    </row>
    <row r="68" spans="1:11" x14ac:dyDescent="0.3">
      <c r="A68" s="559" t="s">
        <v>174</v>
      </c>
      <c r="B68" s="560"/>
      <c r="C68" s="560"/>
      <c r="D68" s="560"/>
      <c r="E68" s="560"/>
      <c r="F68" s="560"/>
      <c r="G68" s="560"/>
      <c r="H68" s="560"/>
      <c r="I68" s="561"/>
      <c r="J68" s="26">
        <f>SQRT(J67)</f>
        <v>1.5545632953647651E-2</v>
      </c>
      <c r="K68" s="26"/>
    </row>
    <row r="69" spans="1:11" x14ac:dyDescent="0.3">
      <c r="A69" s="559" t="s">
        <v>175</v>
      </c>
      <c r="B69" s="560"/>
      <c r="C69" s="560"/>
      <c r="D69" s="560"/>
      <c r="E69" s="560"/>
      <c r="F69" s="560"/>
      <c r="G69" s="560"/>
      <c r="H69" s="560"/>
      <c r="I69" s="561"/>
      <c r="J69" s="26">
        <f>J67^2/K67</f>
        <v>65.600644255036528</v>
      </c>
      <c r="K69" s="26"/>
    </row>
    <row r="70" spans="1:11" x14ac:dyDescent="0.3">
      <c r="A70" s="559" t="s">
        <v>176</v>
      </c>
      <c r="B70" s="560"/>
      <c r="C70" s="560"/>
      <c r="D70" s="560"/>
      <c r="E70" s="560"/>
      <c r="F70" s="560"/>
      <c r="G70" s="560"/>
      <c r="H70" s="560"/>
      <c r="I70" s="561"/>
      <c r="J70" s="26">
        <f>TINV(0.05,J69)</f>
        <v>1.9971379083920051</v>
      </c>
      <c r="K70" s="26"/>
    </row>
    <row r="71" spans="1:11" x14ac:dyDescent="0.3">
      <c r="A71" s="559" t="s">
        <v>177</v>
      </c>
      <c r="B71" s="560"/>
      <c r="C71" s="560"/>
      <c r="D71" s="560"/>
      <c r="E71" s="560"/>
      <c r="F71" s="560"/>
      <c r="G71" s="560"/>
      <c r="H71" s="560"/>
      <c r="I71" s="561"/>
      <c r="J71" s="28">
        <f>J68*J70</f>
        <v>3.1046772881677696E-2</v>
      </c>
      <c r="K71" s="25" t="s">
        <v>37</v>
      </c>
    </row>
    <row r="73" spans="1:11" x14ac:dyDescent="0.3">
      <c r="A73" s="8" t="s">
        <v>329</v>
      </c>
      <c r="C73" s="438">
        <f>ABS(MAX(ID!E40,ID!H40))</f>
        <v>9.3622225828712033E-16</v>
      </c>
      <c r="D73" s="8" t="s">
        <v>37</v>
      </c>
    </row>
    <row r="74" spans="1:11" x14ac:dyDescent="0.3">
      <c r="A74" s="11" t="s">
        <v>178</v>
      </c>
      <c r="B74" s="12"/>
      <c r="C74" s="488">
        <f>ID!J44</f>
        <v>5.0005999999999773E-2</v>
      </c>
      <c r="D74" s="13" t="s">
        <v>37</v>
      </c>
    </row>
    <row r="75" spans="1:11" x14ac:dyDescent="0.3">
      <c r="A75" s="14" t="s">
        <v>325</v>
      </c>
      <c r="B75" s="7"/>
      <c r="C75" s="489">
        <f>VLOOKUP(C74,PENYELIA!T32:U36,2,FALSE)</f>
        <v>2.9522431094925167E-2</v>
      </c>
      <c r="D75" s="15" t="s">
        <v>37</v>
      </c>
    </row>
    <row r="76" spans="1:11" x14ac:dyDescent="0.3">
      <c r="A76" s="16" t="s">
        <v>179</v>
      </c>
      <c r="B76" s="17"/>
      <c r="C76" s="490">
        <f>2.26*(C73)+C74+C75</f>
        <v>7.9528431094927049E-2</v>
      </c>
      <c r="D76" s="18" t="s">
        <v>37</v>
      </c>
    </row>
    <row r="80" spans="1:11" x14ac:dyDescent="0.3">
      <c r="A80" s="19"/>
    </row>
    <row r="81" spans="1:2" x14ac:dyDescent="0.3">
      <c r="B81" s="20"/>
    </row>
    <row r="113" spans="14:15" ht="10.5" customHeight="1" x14ac:dyDescent="0.3"/>
    <row r="124" spans="14:15" x14ac:dyDescent="0.3">
      <c r="N124" s="9"/>
      <c r="O124" s="10"/>
    </row>
    <row r="125" spans="14:15" x14ac:dyDescent="0.3">
      <c r="N125" s="9"/>
      <c r="O125" s="10"/>
    </row>
  </sheetData>
  <mergeCells count="26">
    <mergeCell ref="A11:I11"/>
    <mergeCell ref="A12:I12"/>
    <mergeCell ref="A13:I13"/>
    <mergeCell ref="A14:I14"/>
    <mergeCell ref="A71:I71"/>
    <mergeCell ref="A53:I53"/>
    <mergeCell ref="A54:I54"/>
    <mergeCell ref="A55:I55"/>
    <mergeCell ref="A56:I56"/>
    <mergeCell ref="A67:I67"/>
    <mergeCell ref="A1:K1"/>
    <mergeCell ref="A52:I52"/>
    <mergeCell ref="A68:I68"/>
    <mergeCell ref="A69:I69"/>
    <mergeCell ref="A70:I70"/>
    <mergeCell ref="A38:I38"/>
    <mergeCell ref="A39:I39"/>
    <mergeCell ref="A40:I40"/>
    <mergeCell ref="A41:I41"/>
    <mergeCell ref="A42:I42"/>
    <mergeCell ref="A24:I24"/>
    <mergeCell ref="A25:I25"/>
    <mergeCell ref="A26:I26"/>
    <mergeCell ref="A27:I27"/>
    <mergeCell ref="A28:I28"/>
    <mergeCell ref="A10:I10"/>
  </mergeCells>
  <printOptions horizontalCentered="1"/>
  <pageMargins left="0.5" right="0.25" top="0.5" bottom="0.25" header="0.25" footer="0.25"/>
  <pageSetup paperSize="9" scale="59" orientation="portrait" r:id="rId1"/>
  <headerFooter>
    <oddHeader>&amp;R&amp;8GM.UB - 051-18 / REV : 0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"/>
  <sheetViews>
    <sheetView showGridLines="0" view="pageBreakPreview" zoomScaleNormal="100" zoomScaleSheetLayoutView="100" workbookViewId="0">
      <selection activeCell="A3" sqref="A3"/>
    </sheetView>
  </sheetViews>
  <sheetFormatPr defaultColWidth="9.21875" defaultRowHeight="13.8" x14ac:dyDescent="0.3"/>
  <cols>
    <col min="1" max="1" width="4" style="131" customWidth="1"/>
    <col min="2" max="2" width="25.77734375" style="131" customWidth="1"/>
    <col min="3" max="3" width="1" style="131" customWidth="1"/>
    <col min="4" max="4" width="13.44140625" style="131" customWidth="1"/>
    <col min="5" max="5" width="7.21875" style="131" customWidth="1"/>
    <col min="6" max="6" width="6.44140625" style="131" customWidth="1"/>
    <col min="7" max="7" width="8" style="131" customWidth="1"/>
    <col min="8" max="8" width="13.5546875" style="131" customWidth="1"/>
    <col min="9" max="9" width="15.77734375" style="131" customWidth="1"/>
    <col min="10" max="10" width="7.21875" style="131" customWidth="1"/>
    <col min="11" max="11" width="4.21875" style="131" customWidth="1"/>
    <col min="12" max="12" width="7.44140625" style="131" customWidth="1"/>
    <col min="13" max="13" width="11.21875" style="131" customWidth="1"/>
    <col min="14" max="20" width="9.21875" style="131"/>
    <col min="21" max="21" width="12.21875" style="131" customWidth="1"/>
    <col min="22" max="22" width="17.77734375" style="131" customWidth="1"/>
    <col min="23" max="16384" width="9.21875" style="131"/>
  </cols>
  <sheetData>
    <row r="1" spans="1:27" ht="15.75" customHeight="1" x14ac:dyDescent="0.3">
      <c r="A1" s="571" t="s">
        <v>180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386"/>
      <c r="O1" s="571"/>
      <c r="P1" s="571"/>
      <c r="Q1" s="571"/>
      <c r="R1" s="571"/>
      <c r="S1" s="571"/>
      <c r="T1" s="571"/>
      <c r="U1" s="571"/>
      <c r="V1" s="571"/>
      <c r="W1" s="571"/>
      <c r="X1" s="571"/>
      <c r="Y1" s="571"/>
      <c r="Z1" s="571"/>
      <c r="AA1" s="571"/>
    </row>
    <row r="2" spans="1:27" ht="15.6" x14ac:dyDescent="0.3">
      <c r="A2" s="597" t="str">
        <f>ID!C2&amp;ID!I2</f>
        <v>Nomor Sertifikat : 51 / 1 / IX - 23 / E - 108.145 DLA</v>
      </c>
      <c r="B2" s="597"/>
      <c r="C2" s="597"/>
      <c r="D2" s="597"/>
      <c r="E2" s="597"/>
      <c r="F2" s="597"/>
      <c r="G2" s="597"/>
      <c r="H2" s="597"/>
      <c r="I2" s="597"/>
      <c r="J2" s="597"/>
      <c r="K2" s="597"/>
      <c r="L2" s="597"/>
      <c r="M2" s="597"/>
      <c r="N2" s="387" t="s">
        <v>181</v>
      </c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</row>
    <row r="3" spans="1:27" ht="15" customHeight="1" x14ac:dyDescent="0.3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4"/>
      <c r="T3" s="133"/>
      <c r="U3" s="133"/>
      <c r="V3" s="133"/>
      <c r="W3" s="133"/>
      <c r="X3" s="133"/>
      <c r="Y3" s="133"/>
      <c r="Z3" s="133"/>
      <c r="AA3" s="133"/>
    </row>
    <row r="4" spans="1:27" x14ac:dyDescent="0.3">
      <c r="A4" s="133" t="s">
        <v>32</v>
      </c>
      <c r="B4" s="133"/>
      <c r="C4" s="135" t="s">
        <v>33</v>
      </c>
      <c r="D4" s="133" t="str">
        <f>ID!D4</f>
        <v>Serenity</v>
      </c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</row>
    <row r="5" spans="1:27" x14ac:dyDescent="0.3">
      <c r="A5" s="133" t="s">
        <v>34</v>
      </c>
      <c r="B5" s="133"/>
      <c r="C5" s="135" t="s">
        <v>33</v>
      </c>
      <c r="D5" s="133" t="str">
        <f>ID!D5</f>
        <v>-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</row>
    <row r="6" spans="1:27" x14ac:dyDescent="0.3">
      <c r="A6" s="133" t="s">
        <v>35</v>
      </c>
      <c r="B6" s="133"/>
      <c r="C6" s="135" t="s">
        <v>33</v>
      </c>
      <c r="D6" s="133">
        <f>ID!D6</f>
        <v>1871160551</v>
      </c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</row>
    <row r="7" spans="1:27" x14ac:dyDescent="0.3">
      <c r="A7" s="133" t="str">
        <f>ID!A7</f>
        <v>Resolusi</v>
      </c>
      <c r="B7" s="133"/>
      <c r="C7" s="135" t="s">
        <v>33</v>
      </c>
      <c r="D7" s="136">
        <f>ID!D7</f>
        <v>0.05</v>
      </c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</row>
    <row r="8" spans="1:27" x14ac:dyDescent="0.3">
      <c r="A8" s="133" t="str">
        <f>ID!A8</f>
        <v>Tanggal Penerimaan Alat</v>
      </c>
      <c r="B8" s="133"/>
      <c r="C8" s="135" t="str">
        <f>ID!C8</f>
        <v>:</v>
      </c>
      <c r="D8" s="136">
        <f>ID!D8</f>
        <v>45180</v>
      </c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</row>
    <row r="9" spans="1:27" x14ac:dyDescent="0.3">
      <c r="A9" s="133" t="s">
        <v>39</v>
      </c>
      <c r="B9" s="133"/>
      <c r="C9" s="135" t="s">
        <v>33</v>
      </c>
      <c r="D9" s="133">
        <f>ID!D9</f>
        <v>45180</v>
      </c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</row>
    <row r="10" spans="1:27" x14ac:dyDescent="0.3">
      <c r="A10" s="133" t="str">
        <f>ID!A10</f>
        <v>Tempat Kalibrasi</v>
      </c>
      <c r="B10" s="133"/>
      <c r="C10" s="135" t="s">
        <v>33</v>
      </c>
      <c r="D10" s="133" t="str">
        <f>ID!D10</f>
        <v>Aula</v>
      </c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</row>
    <row r="11" spans="1:27" x14ac:dyDescent="0.3">
      <c r="A11" s="133" t="str">
        <f>ID!A11</f>
        <v>Nama Ruang</v>
      </c>
      <c r="B11" s="133"/>
      <c r="C11" s="135" t="s">
        <v>33</v>
      </c>
      <c r="D11" s="133" t="str">
        <f>ID!D11</f>
        <v>Ruang KIA</v>
      </c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</row>
    <row r="12" spans="1:27" x14ac:dyDescent="0.3">
      <c r="A12" s="133" t="s">
        <v>42</v>
      </c>
      <c r="B12" s="133"/>
      <c r="C12" s="135" t="s">
        <v>33</v>
      </c>
      <c r="D12" s="133" t="str">
        <f>ID!D12</f>
        <v>MK 051-18</v>
      </c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</row>
    <row r="13" spans="1:27" ht="15.75" customHeight="1" x14ac:dyDescent="0.3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</row>
    <row r="14" spans="1:27" x14ac:dyDescent="0.3">
      <c r="A14" s="137" t="s">
        <v>43</v>
      </c>
      <c r="B14" s="134" t="str">
        <f>ID!B14</f>
        <v>Kondisi Ruang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</row>
    <row r="15" spans="1:27" x14ac:dyDescent="0.3">
      <c r="A15" s="133"/>
      <c r="B15" s="133" t="s">
        <v>45</v>
      </c>
      <c r="C15" s="135" t="s">
        <v>33</v>
      </c>
      <c r="D15" s="138" t="str">
        <f>'DB Thermohygro'!L345</f>
        <v>( 26.9 ± 0.5 ) °C</v>
      </c>
      <c r="E15" s="139"/>
      <c r="F15" s="139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</row>
    <row r="16" spans="1:27" x14ac:dyDescent="0.3">
      <c r="A16" s="133"/>
      <c r="B16" s="133" t="s">
        <v>182</v>
      </c>
      <c r="C16" s="135" t="s">
        <v>33</v>
      </c>
      <c r="D16" s="138" t="str">
        <f>'DB Thermohygro'!L346</f>
        <v>( 67.4 ± 2.6 ) %RH</v>
      </c>
      <c r="E16" s="140"/>
      <c r="F16" s="140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</row>
    <row r="17" spans="1:27" ht="15.75" customHeight="1" x14ac:dyDescent="0.3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</row>
    <row r="18" spans="1:27" x14ac:dyDescent="0.3">
      <c r="A18" s="134" t="s">
        <v>49</v>
      </c>
      <c r="B18" s="134" t="str">
        <f>ID!B20</f>
        <v>Pemeriksaan Kondisi Fisik dan Fungsi alat</v>
      </c>
      <c r="C18" s="134"/>
      <c r="D18" s="134"/>
      <c r="E18" s="134"/>
      <c r="F18" s="134"/>
      <c r="G18" s="133"/>
      <c r="H18" s="133"/>
      <c r="I18" s="133"/>
      <c r="J18" s="133"/>
      <c r="K18" s="133"/>
      <c r="L18" s="133"/>
      <c r="M18" s="148" t="s">
        <v>183</v>
      </c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</row>
    <row r="19" spans="1:27" x14ac:dyDescent="0.3">
      <c r="A19" s="133"/>
      <c r="B19" s="133" t="s">
        <v>51</v>
      </c>
      <c r="C19" s="135" t="s">
        <v>33</v>
      </c>
      <c r="D19" s="133" t="str">
        <f>ID!D21</f>
        <v>Baik</v>
      </c>
      <c r="E19" s="133"/>
      <c r="F19" s="133"/>
      <c r="G19" s="133"/>
      <c r="H19" s="133"/>
      <c r="I19" s="133"/>
      <c r="J19" s="133"/>
      <c r="K19" s="133"/>
      <c r="L19" s="133"/>
      <c r="M19" s="149">
        <f>IF(D19="baik",5,IF(D19="Tidak Baik",0))</f>
        <v>5</v>
      </c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</row>
    <row r="20" spans="1:27" x14ac:dyDescent="0.3">
      <c r="A20" s="133"/>
      <c r="B20" s="133" t="s">
        <v>53</v>
      </c>
      <c r="C20" s="135" t="s">
        <v>33</v>
      </c>
      <c r="D20" s="133" t="str">
        <f>ID!D22</f>
        <v>Baik</v>
      </c>
      <c r="E20" s="133"/>
      <c r="F20" s="133"/>
      <c r="G20" s="133"/>
      <c r="H20" s="133"/>
      <c r="I20" s="133"/>
      <c r="J20" s="133"/>
      <c r="K20" s="133"/>
      <c r="L20" s="133"/>
      <c r="M20" s="149">
        <f>IF(D20="baik",5,IF(D20="Tidak Baik",0))</f>
        <v>5</v>
      </c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</row>
    <row r="21" spans="1:27" ht="15.75" customHeight="1" x14ac:dyDescent="0.3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</row>
    <row r="22" spans="1:27" x14ac:dyDescent="0.3">
      <c r="A22" s="134" t="s">
        <v>54</v>
      </c>
      <c r="B22" s="134" t="str">
        <f>ID!B26</f>
        <v>Pengujian Kinerja</v>
      </c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</row>
    <row r="23" spans="1:27" x14ac:dyDescent="0.3">
      <c r="A23" s="133"/>
      <c r="B23" s="134" t="s">
        <v>134</v>
      </c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</row>
    <row r="24" spans="1:27" ht="3" customHeight="1" x14ac:dyDescent="0.3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</row>
    <row r="25" spans="1:27" ht="30.75" customHeight="1" x14ac:dyDescent="0.3">
      <c r="A25" s="133"/>
      <c r="B25" s="385" t="s">
        <v>184</v>
      </c>
      <c r="C25" s="574" t="s">
        <v>185</v>
      </c>
      <c r="D25" s="583"/>
      <c r="E25" s="583"/>
      <c r="F25" s="575"/>
      <c r="G25" s="574" t="s">
        <v>186</v>
      </c>
      <c r="H25" s="575"/>
      <c r="I25" s="580" t="s">
        <v>188</v>
      </c>
      <c r="J25" s="581"/>
      <c r="K25" s="582"/>
      <c r="L25" s="133"/>
      <c r="M25" s="133"/>
      <c r="N25" s="133"/>
      <c r="O25" s="133"/>
      <c r="P25" s="388" t="s">
        <v>183</v>
      </c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spans="1:27" ht="18" hidden="1" customHeight="1" x14ac:dyDescent="0.3">
      <c r="A26" s="133"/>
      <c r="B26" s="166">
        <v>1</v>
      </c>
      <c r="C26" s="585" t="e">
        <f>AVERAGE(ID!#REF!)</f>
        <v>#REF!</v>
      </c>
      <c r="D26" s="586"/>
      <c r="E26" s="586"/>
      <c r="F26" s="587"/>
      <c r="G26" s="585" t="e">
        <f>ID!#REF!</f>
        <v>#REF!</v>
      </c>
      <c r="H26" s="587"/>
      <c r="I26" s="577">
        <f>BUDGETING!J14</f>
        <v>2.9014237313338621E-2</v>
      </c>
      <c r="J26" s="578"/>
      <c r="K26" s="579"/>
      <c r="L26" s="133"/>
      <c r="M26" s="562"/>
      <c r="N26" s="562" t="e">
        <f>SUM(P27:P28)</f>
        <v>#REF!</v>
      </c>
      <c r="O26" s="562" t="e">
        <f>IF(N26=2,1,0)</f>
        <v>#REF!</v>
      </c>
      <c r="P26" s="389" t="e">
        <f>IF(G26&lt;=#REF!,1,0)</f>
        <v>#REF!</v>
      </c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spans="1:27" ht="18" customHeight="1" x14ac:dyDescent="0.3">
      <c r="A27" s="133"/>
      <c r="B27" s="185">
        <f>ID!D28</f>
        <v>5</v>
      </c>
      <c r="C27" s="585">
        <f>AVERAGE(ID!E30:E39)</f>
        <v>5.0499999999999989</v>
      </c>
      <c r="D27" s="586"/>
      <c r="E27" s="586"/>
      <c r="F27" s="587"/>
      <c r="G27" s="585">
        <f>ID!E40</f>
        <v>9.3622225828712033E-16</v>
      </c>
      <c r="H27" s="587"/>
      <c r="I27" s="577">
        <f>BUDGETING!J56</f>
        <v>2.9522431094925167E-2</v>
      </c>
      <c r="J27" s="578"/>
      <c r="K27" s="579"/>
      <c r="L27" s="133"/>
      <c r="M27" s="562"/>
      <c r="N27" s="562"/>
      <c r="O27" s="562"/>
      <c r="P27" s="389" t="e">
        <f>IF(G27&lt;=#REF!,1,0)</f>
        <v>#REF!</v>
      </c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spans="1:27" ht="19.5" customHeight="1" x14ac:dyDescent="0.3">
      <c r="A28" s="133"/>
      <c r="B28" s="185">
        <f>ID!G28</f>
        <v>10</v>
      </c>
      <c r="C28" s="585">
        <f>AVERAGE(ID!H30:H39)</f>
        <v>10</v>
      </c>
      <c r="D28" s="586"/>
      <c r="E28" s="586"/>
      <c r="F28" s="587"/>
      <c r="G28" s="596">
        <f>ID!H40</f>
        <v>0</v>
      </c>
      <c r="H28" s="596"/>
      <c r="I28" s="577">
        <f>BUDGETING!J71</f>
        <v>3.1046772881677696E-2</v>
      </c>
      <c r="J28" s="578"/>
      <c r="K28" s="579"/>
      <c r="L28" s="133"/>
      <c r="M28" s="562"/>
      <c r="N28" s="562"/>
      <c r="O28" s="562"/>
      <c r="P28" s="389" t="e">
        <f>IF(G28&lt;=#REF!,1,0)</f>
        <v>#REF!</v>
      </c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7" ht="6.6" customHeight="1" x14ac:dyDescent="0.3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</row>
    <row r="30" spans="1:27" x14ac:dyDescent="0.3">
      <c r="A30" s="133"/>
      <c r="B30" s="134" t="s">
        <v>140</v>
      </c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</row>
    <row r="31" spans="1:27" ht="30.75" customHeight="1" x14ac:dyDescent="0.3">
      <c r="A31" s="133"/>
      <c r="B31" s="385" t="s">
        <v>184</v>
      </c>
      <c r="C31" s="574" t="s">
        <v>185</v>
      </c>
      <c r="D31" s="583"/>
      <c r="E31" s="583"/>
      <c r="F31" s="575"/>
      <c r="G31" s="574" t="s">
        <v>189</v>
      </c>
      <c r="H31" s="575"/>
      <c r="I31" s="580" t="s">
        <v>188</v>
      </c>
      <c r="J31" s="581"/>
      <c r="K31" s="582"/>
      <c r="L31" s="133"/>
      <c r="M31" s="133"/>
      <c r="N31" s="133"/>
      <c r="O31" s="133"/>
      <c r="P31" s="388" t="s">
        <v>190</v>
      </c>
      <c r="Q31" s="133"/>
      <c r="R31" s="133"/>
      <c r="S31" s="133"/>
      <c r="T31" s="133" t="s">
        <v>191</v>
      </c>
      <c r="U31" s="133" t="s">
        <v>192</v>
      </c>
      <c r="V31" s="133"/>
      <c r="W31" s="133"/>
      <c r="X31" s="133"/>
      <c r="Y31" s="133"/>
      <c r="Z31" s="133"/>
    </row>
    <row r="32" spans="1:27" x14ac:dyDescent="0.3">
      <c r="A32" s="133"/>
      <c r="B32" s="185">
        <f>ID!B44</f>
        <v>1</v>
      </c>
      <c r="C32" s="596">
        <f>ID!G44</f>
        <v>1</v>
      </c>
      <c r="D32" s="596"/>
      <c r="E32" s="596"/>
      <c r="F32" s="596"/>
      <c r="G32" s="576">
        <f>ID!I44</f>
        <v>-3.1999999999809958E-6</v>
      </c>
      <c r="H32" s="576"/>
      <c r="I32" s="564">
        <f>BUDGETING!J14</f>
        <v>2.9014237313338621E-2</v>
      </c>
      <c r="J32" s="565"/>
      <c r="K32" s="566"/>
      <c r="L32" s="133"/>
      <c r="M32" s="133"/>
      <c r="N32" s="563" t="e">
        <f>SUM(P32,P33,P34,P35,P36)</f>
        <v>#REF!</v>
      </c>
      <c r="O32" s="562" t="e">
        <f>IF(N32=4,4,IF(N32=3,3,IF(N32=5,5,IF(N32&lt;=2,0))))</f>
        <v>#REF!</v>
      </c>
      <c r="P32" s="390" t="e">
        <f>IF(ID!M44&lt;=#REF!,1,0)</f>
        <v>#REF!</v>
      </c>
      <c r="Q32" s="133"/>
      <c r="R32" s="133"/>
      <c r="S32" s="133"/>
      <c r="T32" s="406">
        <f t="shared" ref="T32:T36" si="0">ABS(G32)</f>
        <v>3.1999999999809958E-6</v>
      </c>
      <c r="U32" s="407">
        <f>I32</f>
        <v>2.9014237313338621E-2</v>
      </c>
      <c r="V32" s="133"/>
      <c r="W32" s="133"/>
      <c r="X32" s="133"/>
      <c r="Y32" s="133"/>
      <c r="Z32" s="133"/>
    </row>
    <row r="33" spans="1:27" x14ac:dyDescent="0.3">
      <c r="A33" s="133"/>
      <c r="B33" s="185">
        <f>ID!B45</f>
        <v>2</v>
      </c>
      <c r="C33" s="596">
        <f>ID!G45</f>
        <v>2</v>
      </c>
      <c r="D33" s="596"/>
      <c r="E33" s="596"/>
      <c r="F33" s="596"/>
      <c r="G33" s="576">
        <f>ID!I45</f>
        <v>1.9999999998354667E-6</v>
      </c>
      <c r="H33" s="576"/>
      <c r="I33" s="564">
        <f>BUDGETING!J28</f>
        <v>2.9083677283442144E-2</v>
      </c>
      <c r="J33" s="565"/>
      <c r="K33" s="566"/>
      <c r="L33" s="133"/>
      <c r="M33" s="133"/>
      <c r="N33" s="562"/>
      <c r="O33" s="562"/>
      <c r="P33" s="390" t="e">
        <f>IF(ID!M45&lt;=#REF!,1,0)</f>
        <v>#REF!</v>
      </c>
      <c r="Q33" s="133"/>
      <c r="R33" s="133"/>
      <c r="S33" s="133"/>
      <c r="T33" s="406">
        <f t="shared" si="0"/>
        <v>1.9999999998354667E-6</v>
      </c>
      <c r="U33" s="407">
        <f t="shared" ref="U33:U36" si="1">I33</f>
        <v>2.9083677283442144E-2</v>
      </c>
      <c r="V33" s="133"/>
      <c r="W33" s="133"/>
      <c r="X33" s="133"/>
      <c r="Y33" s="133"/>
      <c r="Z33" s="133"/>
    </row>
    <row r="34" spans="1:27" x14ac:dyDescent="0.3">
      <c r="A34" s="133"/>
      <c r="B34" s="185">
        <f>ID!B46</f>
        <v>3</v>
      </c>
      <c r="C34" s="596">
        <f>ID!G46</f>
        <v>3.05</v>
      </c>
      <c r="D34" s="596"/>
      <c r="E34" s="596"/>
      <c r="F34" s="596"/>
      <c r="G34" s="576">
        <f>ID!I46</f>
        <v>-5.0001200000000079E-2</v>
      </c>
      <c r="H34" s="576"/>
      <c r="I34" s="564">
        <f>BUDGETING!J42</f>
        <v>2.9191826225560429E-2</v>
      </c>
      <c r="J34" s="565"/>
      <c r="K34" s="566"/>
      <c r="L34" s="133"/>
      <c r="M34" s="133"/>
      <c r="N34" s="562"/>
      <c r="O34" s="562"/>
      <c r="P34" s="390" t="e">
        <f>IF(ID!M46&lt;=#REF!,1,0)</f>
        <v>#REF!</v>
      </c>
      <c r="Q34" s="133"/>
      <c r="R34" s="133"/>
      <c r="S34" s="133"/>
      <c r="T34" s="406">
        <f t="shared" si="0"/>
        <v>5.0001200000000079E-2</v>
      </c>
      <c r="U34" s="407">
        <f t="shared" si="1"/>
        <v>2.9191826225560429E-2</v>
      </c>
      <c r="V34" s="133"/>
      <c r="W34" s="133"/>
      <c r="X34" s="133"/>
      <c r="Y34" s="133"/>
      <c r="Z34" s="133"/>
    </row>
    <row r="35" spans="1:27" x14ac:dyDescent="0.3">
      <c r="A35" s="133"/>
      <c r="B35" s="185">
        <f>ID!B47</f>
        <v>5</v>
      </c>
      <c r="C35" s="585">
        <f>ID!G47</f>
        <v>5.05</v>
      </c>
      <c r="D35" s="586"/>
      <c r="E35" s="586"/>
      <c r="F35" s="587"/>
      <c r="G35" s="576">
        <f>ID!I47</f>
        <v>-5.0005999999999773E-2</v>
      </c>
      <c r="H35" s="576"/>
      <c r="I35" s="564">
        <f>BUDGETING!J56</f>
        <v>2.9522431094925167E-2</v>
      </c>
      <c r="J35" s="565"/>
      <c r="K35" s="566"/>
      <c r="L35" s="133"/>
      <c r="M35" s="133"/>
      <c r="N35" s="562"/>
      <c r="O35" s="562"/>
      <c r="P35" s="390" t="e">
        <f>IF(ID!M47&lt;=#REF!,1,0)</f>
        <v>#REF!</v>
      </c>
      <c r="Q35" s="133"/>
      <c r="R35" s="133"/>
      <c r="S35" s="133"/>
      <c r="T35" s="406">
        <f t="shared" si="0"/>
        <v>5.0005999999999773E-2</v>
      </c>
      <c r="U35" s="407">
        <f t="shared" si="1"/>
        <v>2.9522431094925167E-2</v>
      </c>
      <c r="V35" s="133"/>
      <c r="W35" s="133"/>
      <c r="X35" s="133"/>
      <c r="Y35" s="133"/>
      <c r="Z35" s="133"/>
    </row>
    <row r="36" spans="1:27" x14ac:dyDescent="0.3">
      <c r="A36" s="133"/>
      <c r="B36" s="185">
        <f>ID!B48</f>
        <v>10</v>
      </c>
      <c r="C36" s="585">
        <f>ID!G48</f>
        <v>10</v>
      </c>
      <c r="D36" s="586"/>
      <c r="E36" s="586"/>
      <c r="F36" s="587"/>
      <c r="G36" s="576">
        <f>ID!I48</f>
        <v>-7.20000000065113E-6</v>
      </c>
      <c r="H36" s="576"/>
      <c r="I36" s="564">
        <f>BUDGETING!J71</f>
        <v>3.1046772881677696E-2</v>
      </c>
      <c r="J36" s="565"/>
      <c r="K36" s="566"/>
      <c r="L36" s="133"/>
      <c r="M36" s="133"/>
      <c r="N36" s="562"/>
      <c r="O36" s="562"/>
      <c r="P36" s="390" t="e">
        <f>IF(ID!M48&lt;=#REF!,1,0)</f>
        <v>#REF!</v>
      </c>
      <c r="Q36" s="133"/>
      <c r="R36" s="133"/>
      <c r="S36" s="133"/>
      <c r="T36" s="406">
        <f t="shared" si="0"/>
        <v>7.20000000065113E-6</v>
      </c>
      <c r="U36" s="407">
        <f t="shared" si="1"/>
        <v>3.1046772881677696E-2</v>
      </c>
      <c r="V36" s="133"/>
      <c r="W36" s="133"/>
      <c r="X36" s="133"/>
      <c r="Y36" s="133"/>
      <c r="Z36" s="133"/>
    </row>
    <row r="37" spans="1:27" ht="7.5" customHeight="1" x14ac:dyDescent="0.3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</row>
    <row r="38" spans="1:27" x14ac:dyDescent="0.3">
      <c r="A38" s="133"/>
      <c r="B38" s="134" t="s">
        <v>69</v>
      </c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</row>
    <row r="39" spans="1:27" x14ac:dyDescent="0.3">
      <c r="A39" s="133"/>
      <c r="B39" s="384" t="s">
        <v>193</v>
      </c>
      <c r="C39" s="584" t="s">
        <v>194</v>
      </c>
      <c r="D39" s="584"/>
      <c r="E39" s="584"/>
      <c r="F39" s="584" t="s">
        <v>195</v>
      </c>
      <c r="G39" s="584"/>
      <c r="H39" s="385" t="s">
        <v>196</v>
      </c>
      <c r="I39" s="385" t="s">
        <v>197</v>
      </c>
      <c r="J39" s="133"/>
      <c r="K39" s="600" t="s">
        <v>198</v>
      </c>
      <c r="L39" s="600"/>
      <c r="M39" s="600"/>
      <c r="N39" s="133"/>
      <c r="O39" s="133" t="e">
        <f>IF(O32+O26=6,90,IF(O32+O26=5,80,IF(O32+O26=4,70,IF(O32+O26&lt;=3,0))))</f>
        <v>#REF!</v>
      </c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</row>
    <row r="40" spans="1:27" ht="19.5" customHeight="1" x14ac:dyDescent="0.3">
      <c r="A40" s="133"/>
      <c r="B40" s="383">
        <f>ID!E56</f>
        <v>4.9950000000000001</v>
      </c>
      <c r="C40" s="596">
        <f>ID!E57</f>
        <v>5</v>
      </c>
      <c r="D40" s="596"/>
      <c r="E40" s="596"/>
      <c r="F40" s="596">
        <f>ID!E58</f>
        <v>5.0049999999999999</v>
      </c>
      <c r="G40" s="596"/>
      <c r="H40" s="166">
        <f>ID!E59</f>
        <v>5</v>
      </c>
      <c r="I40" s="166">
        <f>ID!E60</f>
        <v>5.0000000250000003</v>
      </c>
      <c r="J40" s="133"/>
      <c r="K40" s="601"/>
      <c r="L40" s="601"/>
      <c r="M40" s="601"/>
      <c r="N40" s="133"/>
      <c r="O40" s="391">
        <f>IF(G45&gt;(O42),0,90)</f>
        <v>90</v>
      </c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</row>
    <row r="41" spans="1:27" ht="9" customHeight="1" x14ac:dyDescent="0.3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602">
        <f>O40</f>
        <v>90</v>
      </c>
      <c r="L41" s="602"/>
      <c r="M41" s="602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</row>
    <row r="42" spans="1:27" ht="15" customHeight="1" x14ac:dyDescent="0.3">
      <c r="A42" s="133"/>
      <c r="B42" s="141" t="s">
        <v>199</v>
      </c>
      <c r="C42" s="133"/>
      <c r="D42" s="133"/>
      <c r="E42" s="133"/>
      <c r="F42" s="133"/>
      <c r="G42" s="133"/>
      <c r="H42" s="133"/>
      <c r="I42" s="133"/>
      <c r="J42" s="133"/>
      <c r="K42" s="603"/>
      <c r="L42" s="603"/>
      <c r="M42" s="603"/>
      <c r="N42" s="133"/>
      <c r="O42" s="133">
        <f>ID!D7*10</f>
        <v>0.5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</row>
    <row r="43" spans="1:27" ht="15" customHeight="1" x14ac:dyDescent="0.3">
      <c r="A43" s="133"/>
      <c r="B43" s="604" t="s">
        <v>145</v>
      </c>
      <c r="C43" s="606" t="s">
        <v>387</v>
      </c>
      <c r="D43" s="607"/>
      <c r="E43" s="607"/>
      <c r="F43" s="608"/>
      <c r="G43" s="606" t="s">
        <v>386</v>
      </c>
      <c r="H43" s="607"/>
      <c r="I43" s="612" t="s">
        <v>385</v>
      </c>
      <c r="J43" s="61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</row>
    <row r="44" spans="1:27" ht="15" customHeight="1" x14ac:dyDescent="0.3">
      <c r="A44" s="133"/>
      <c r="B44" s="605"/>
      <c r="C44" s="609"/>
      <c r="D44" s="610"/>
      <c r="E44" s="610"/>
      <c r="F44" s="611"/>
      <c r="G44" s="609"/>
      <c r="H44" s="610"/>
      <c r="I44" s="612"/>
      <c r="J44" s="61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</row>
    <row r="45" spans="1:27" ht="15" customHeight="1" x14ac:dyDescent="0.3">
      <c r="A45" s="133"/>
      <c r="B45" s="166">
        <f>BUDGETING!C74</f>
        <v>5.0005999999999773E-2</v>
      </c>
      <c r="C45" s="596">
        <f>BUDGETING!C75</f>
        <v>2.9522431094925167E-2</v>
      </c>
      <c r="D45" s="596"/>
      <c r="E45" s="596"/>
      <c r="F45" s="596"/>
      <c r="G45" s="596">
        <f>BUDGETING!C76</f>
        <v>7.9528431094927049E-2</v>
      </c>
      <c r="H45" s="596"/>
      <c r="I45" s="598">
        <f>D7*10</f>
        <v>0.5</v>
      </c>
      <c r="J45" s="599"/>
      <c r="K45" s="133"/>
      <c r="L45" s="133"/>
      <c r="M45" s="133"/>
      <c r="N45" s="133"/>
      <c r="O45" s="133" t="s">
        <v>200</v>
      </c>
      <c r="P45" s="133"/>
      <c r="Q45" s="133"/>
      <c r="R45" s="133"/>
      <c r="S45" s="133"/>
      <c r="T45" s="133">
        <v>3</v>
      </c>
      <c r="U45" s="133">
        <f>D7*T45</f>
        <v>0.15000000000000002</v>
      </c>
      <c r="V45" s="133"/>
      <c r="W45" s="133"/>
      <c r="X45" s="133"/>
      <c r="Y45" s="133"/>
      <c r="Z45" s="133"/>
      <c r="AA45" s="133"/>
    </row>
    <row r="46" spans="1:27" ht="9.6" customHeight="1" x14ac:dyDescent="0.3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 t="s">
        <v>201</v>
      </c>
      <c r="P46" s="133"/>
      <c r="Q46" s="133"/>
      <c r="R46" s="133"/>
      <c r="S46" s="133"/>
      <c r="T46" s="133">
        <v>5</v>
      </c>
      <c r="U46" s="133">
        <f>T46*D7</f>
        <v>0.25</v>
      </c>
      <c r="V46" s="133"/>
      <c r="W46" s="133"/>
      <c r="X46" s="133"/>
      <c r="Y46" s="133"/>
      <c r="Z46" s="133"/>
      <c r="AA46" s="133"/>
    </row>
    <row r="47" spans="1:27" ht="15.75" customHeight="1" x14ac:dyDescent="0.3">
      <c r="A47" s="142" t="s">
        <v>75</v>
      </c>
      <c r="B47" s="142" t="s">
        <v>76</v>
      </c>
      <c r="N47" s="133"/>
      <c r="O47" s="133" t="s">
        <v>202</v>
      </c>
      <c r="P47" s="133"/>
      <c r="Q47" s="133"/>
      <c r="R47" s="133"/>
      <c r="S47" s="133"/>
      <c r="T47" s="133">
        <v>7</v>
      </c>
      <c r="U47" s="133">
        <f>7*D7</f>
        <v>0.35000000000000003</v>
      </c>
      <c r="V47" s="133"/>
      <c r="W47" s="133"/>
      <c r="X47" s="133"/>
      <c r="Y47" s="133"/>
      <c r="Z47" s="133"/>
      <c r="AA47" s="133"/>
    </row>
    <row r="48" spans="1:27" ht="15.75" customHeight="1" x14ac:dyDescent="0.3">
      <c r="B48" s="131" t="s">
        <v>203</v>
      </c>
      <c r="N48" s="133"/>
      <c r="O48" s="133" t="s">
        <v>204</v>
      </c>
      <c r="P48" s="133"/>
      <c r="Q48" s="133"/>
      <c r="R48" s="133"/>
      <c r="S48" s="133"/>
      <c r="T48" s="133">
        <v>10</v>
      </c>
      <c r="U48" s="133">
        <f>T48*D7</f>
        <v>0.5</v>
      </c>
      <c r="V48" s="133"/>
      <c r="W48" s="133"/>
      <c r="X48" s="133"/>
      <c r="Y48" s="133"/>
      <c r="Z48" s="133"/>
      <c r="AA48" s="133"/>
    </row>
    <row r="49" spans="1:27" ht="15" customHeight="1" x14ac:dyDescent="0.3">
      <c r="B49" s="131" t="str">
        <f>'Cetik Cetik'!B90</f>
        <v>Hasil pengujian kinerja timbangan bayi tertelusur ke Satuan Internasional ( SI ) melalui SNSU</v>
      </c>
      <c r="N49" s="133"/>
      <c r="O49" s="133" t="s">
        <v>205</v>
      </c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</row>
    <row r="50" spans="1:27" ht="15" hidden="1" customHeight="1" x14ac:dyDescent="0.3">
      <c r="B50" s="131" t="str">
        <f>IF(G45&lt;2*O42,O51,IF(G45&lt;3*O42,O52,IF(G45&lt;5*O42,O53,IF(G45&lt;7*O42,O54,IF(G45&lt;10*O42,O55,IF(G45&gt;10*O42,O56))))))</f>
        <v>Hasil pengukuran timbangan bayi berdasarkan LOP ( Limit Of Perfomance ) 1x s/d 2x resolusi</v>
      </c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</row>
    <row r="51" spans="1:27" ht="5.0999999999999996" customHeight="1" x14ac:dyDescent="0.3">
      <c r="N51" s="133"/>
      <c r="O51" s="133" t="s">
        <v>206</v>
      </c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</row>
    <row r="52" spans="1:27" x14ac:dyDescent="0.3">
      <c r="A52" s="142" t="s">
        <v>78</v>
      </c>
      <c r="B52" s="142" t="s">
        <v>79</v>
      </c>
      <c r="N52" s="133"/>
      <c r="O52" s="133" t="s">
        <v>207</v>
      </c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</row>
    <row r="53" spans="1:27" x14ac:dyDescent="0.3">
      <c r="B53" s="131" t="str">
        <f>ID!B63</f>
        <v>Anak Timbangan Standar, Merek : HÄFNER, Tipe : 7.MEHM-210, SN : 2790715</v>
      </c>
      <c r="N53" s="133"/>
      <c r="O53" s="133" t="s">
        <v>208</v>
      </c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</row>
    <row r="54" spans="1:27" x14ac:dyDescent="0.3">
      <c r="B54" s="131" t="str">
        <f>ID!B64</f>
        <v>Anak Timbangan Standar, Merek : HÄFNER, Tipe : 7.MEHM-220, SN : 2800715</v>
      </c>
      <c r="N54" s="133"/>
      <c r="O54" s="133" t="s">
        <v>209</v>
      </c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</row>
    <row r="55" spans="1:27" x14ac:dyDescent="0.3">
      <c r="B55" s="131" t="str">
        <f>ID!B65</f>
        <v>Anak Timbangan Standar, Merek : HÄFNER, Tipe : 7.MEHM-220, SN : 2810715</v>
      </c>
      <c r="N55" s="133"/>
      <c r="O55" s="133" t="s">
        <v>210</v>
      </c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</row>
    <row r="56" spans="1:27" x14ac:dyDescent="0.3">
      <c r="B56" s="131" t="str">
        <f>ID!B66</f>
        <v>Anak Timbangan Standar, Merek : HÄFNER, Tipe : 7.MEHM-230, SN : 2710715</v>
      </c>
      <c r="N56" s="133"/>
      <c r="O56" s="133" t="s">
        <v>211</v>
      </c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</row>
    <row r="57" spans="1:27" ht="8.1" customHeight="1" x14ac:dyDescent="0.3"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</row>
    <row r="58" spans="1:27" x14ac:dyDescent="0.3">
      <c r="A58" s="142" t="s">
        <v>89</v>
      </c>
      <c r="B58" s="142" t="s">
        <v>90</v>
      </c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</row>
    <row r="59" spans="1:27" ht="16.5" customHeight="1" x14ac:dyDescent="0.3">
      <c r="B59" s="525" t="str">
        <f>ID!B70</f>
        <v>Alat yang dikalibrasi dalam batas toleransi dan dinyatakan LAIK PAKAI, dimana hasil atau skor akhir sama dengan atau melampaui 70 % berdasarkan Keputusan Direktur Jenderal Pelayanan Kesehatan No : HK.02.02/V/0412/2020</v>
      </c>
      <c r="C59" s="525"/>
      <c r="D59" s="525"/>
      <c r="E59" s="525"/>
      <c r="F59" s="525"/>
      <c r="G59" s="525"/>
      <c r="H59" s="525"/>
      <c r="I59" s="525"/>
      <c r="J59" s="525"/>
      <c r="K59" s="525"/>
      <c r="L59" s="525"/>
      <c r="M59" s="525"/>
      <c r="N59" s="392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</row>
    <row r="60" spans="1:27" ht="14.25" customHeight="1" x14ac:dyDescent="0.3">
      <c r="B60" s="525"/>
      <c r="C60" s="525"/>
      <c r="D60" s="525"/>
      <c r="E60" s="525"/>
      <c r="F60" s="525"/>
      <c r="G60" s="525"/>
      <c r="H60" s="525"/>
      <c r="I60" s="525"/>
      <c r="J60" s="525"/>
      <c r="K60" s="525"/>
      <c r="L60" s="525"/>
      <c r="M60" s="525"/>
      <c r="N60" s="392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</row>
    <row r="61" spans="1:27" x14ac:dyDescent="0.3">
      <c r="A61" s="142" t="s">
        <v>92</v>
      </c>
      <c r="B61" s="142" t="s">
        <v>212</v>
      </c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</row>
    <row r="62" spans="1:27" x14ac:dyDescent="0.3">
      <c r="B62" s="131" t="str">
        <f>ID!B73</f>
        <v>Muhammad Ihsan Ilyas</v>
      </c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</row>
    <row r="63" spans="1:27" ht="5.55" customHeight="1" x14ac:dyDescent="0.3"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</row>
    <row r="64" spans="1:27" x14ac:dyDescent="0.3">
      <c r="B64" s="568" t="s">
        <v>213</v>
      </c>
      <c r="C64" s="569"/>
      <c r="D64" s="569"/>
      <c r="E64" s="570"/>
      <c r="F64" s="591" t="s">
        <v>95</v>
      </c>
      <c r="G64" s="591"/>
      <c r="H64" s="143" t="s">
        <v>214</v>
      </c>
      <c r="I64" s="348" t="s">
        <v>183</v>
      </c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</row>
    <row r="65" spans="2:27" x14ac:dyDescent="0.3">
      <c r="B65" s="129" t="s">
        <v>215</v>
      </c>
      <c r="C65" s="588" t="str">
        <f>ID!B73</f>
        <v>Muhammad Ihsan Ilyas</v>
      </c>
      <c r="D65" s="589"/>
      <c r="E65" s="590"/>
      <c r="F65" s="592">
        <f>ID!G73</f>
        <v>45180</v>
      </c>
      <c r="G65" s="592"/>
      <c r="H65" s="144"/>
      <c r="I65" s="572">
        <f>SUM(K41,M19,M20)</f>
        <v>100</v>
      </c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</row>
    <row r="66" spans="2:27" x14ac:dyDescent="0.3">
      <c r="B66" s="111" t="s">
        <v>216</v>
      </c>
      <c r="C66" s="593"/>
      <c r="D66" s="594"/>
      <c r="E66" s="595"/>
      <c r="F66" s="567"/>
      <c r="G66" s="567"/>
      <c r="H66" s="144"/>
      <c r="I66" s="57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</row>
    <row r="67" spans="2:27" x14ac:dyDescent="0.3">
      <c r="J67" s="145"/>
      <c r="K67" s="145"/>
    </row>
    <row r="68" spans="2:27" x14ac:dyDescent="0.3">
      <c r="J68" s="145"/>
      <c r="K68" s="145"/>
    </row>
    <row r="69" spans="2:27" x14ac:dyDescent="0.3">
      <c r="J69" s="146"/>
      <c r="K69" s="145"/>
    </row>
    <row r="70" spans="2:27" x14ac:dyDescent="0.3">
      <c r="J70" s="147"/>
      <c r="K70" s="145"/>
    </row>
  </sheetData>
  <sheetProtection formatCells="0" formatColumns="0" formatRows="0" insertRows="0" deleteRows="0"/>
  <mergeCells count="59">
    <mergeCell ref="I45:J45"/>
    <mergeCell ref="K39:M40"/>
    <mergeCell ref="K41:M42"/>
    <mergeCell ref="B43:B44"/>
    <mergeCell ref="C43:F44"/>
    <mergeCell ref="G43:H44"/>
    <mergeCell ref="I43:J44"/>
    <mergeCell ref="A1:M1"/>
    <mergeCell ref="C33:F33"/>
    <mergeCell ref="C34:F34"/>
    <mergeCell ref="C35:F35"/>
    <mergeCell ref="C36:F36"/>
    <mergeCell ref="C27:F27"/>
    <mergeCell ref="C28:F28"/>
    <mergeCell ref="A2:M2"/>
    <mergeCell ref="I25:K25"/>
    <mergeCell ref="I27:K27"/>
    <mergeCell ref="I35:K35"/>
    <mergeCell ref="G28:H28"/>
    <mergeCell ref="I26:K26"/>
    <mergeCell ref="G33:H33"/>
    <mergeCell ref="C65:E65"/>
    <mergeCell ref="F64:G64"/>
    <mergeCell ref="F65:G65"/>
    <mergeCell ref="C66:E66"/>
    <mergeCell ref="G25:H25"/>
    <mergeCell ref="G27:H27"/>
    <mergeCell ref="C31:F31"/>
    <mergeCell ref="G26:H26"/>
    <mergeCell ref="C45:F45"/>
    <mergeCell ref="G45:H45"/>
    <mergeCell ref="G32:H32"/>
    <mergeCell ref="C40:E40"/>
    <mergeCell ref="F40:G40"/>
    <mergeCell ref="C32:F32"/>
    <mergeCell ref="G35:H35"/>
    <mergeCell ref="G36:H36"/>
    <mergeCell ref="F66:G66"/>
    <mergeCell ref="B64:E64"/>
    <mergeCell ref="O1:AA1"/>
    <mergeCell ref="I65:I66"/>
    <mergeCell ref="B59:M60"/>
    <mergeCell ref="G31:H31"/>
    <mergeCell ref="G34:H34"/>
    <mergeCell ref="I28:K28"/>
    <mergeCell ref="I31:K31"/>
    <mergeCell ref="I32:K32"/>
    <mergeCell ref="I33:K33"/>
    <mergeCell ref="C25:F25"/>
    <mergeCell ref="C39:E39"/>
    <mergeCell ref="F39:G39"/>
    <mergeCell ref="C26:F26"/>
    <mergeCell ref="M26:M28"/>
    <mergeCell ref="N26:N28"/>
    <mergeCell ref="O26:O28"/>
    <mergeCell ref="N32:N36"/>
    <mergeCell ref="O32:O36"/>
    <mergeCell ref="I36:K36"/>
    <mergeCell ref="I34:K34"/>
  </mergeCells>
  <printOptions horizontalCentered="1"/>
  <pageMargins left="0.5" right="0.25" top="0.5" bottom="0.25" header="0.25" footer="0.25"/>
  <pageSetup paperSize="9" scale="71" orientation="portrait" horizontalDpi="4294967293" r:id="rId1"/>
  <headerFooter>
    <oddHeader>&amp;R&amp;8GM.LHP - 051-18 / REV : 0</oddHeader>
    <oddFooter>&amp;R&amp;9&amp;K00-020Timbangan Bayi 12.6.2023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78"/>
  <sheetViews>
    <sheetView showGridLines="0" view="pageBreakPreview" topLeftCell="A50" zoomScaleNormal="100" zoomScaleSheetLayoutView="100" workbookViewId="0">
      <selection activeCell="B52" sqref="B52"/>
    </sheetView>
  </sheetViews>
  <sheetFormatPr defaultColWidth="9.21875" defaultRowHeight="13.8" x14ac:dyDescent="0.3"/>
  <cols>
    <col min="1" max="1" width="4" style="131" customWidth="1"/>
    <col min="2" max="2" width="25.77734375" style="131" customWidth="1"/>
    <col min="3" max="3" width="1" style="131" customWidth="1"/>
    <col min="4" max="4" width="17.88671875" style="131" customWidth="1"/>
    <col min="5" max="5" width="5.77734375" style="131" customWidth="1"/>
    <col min="6" max="6" width="7.5546875" style="131" customWidth="1"/>
    <col min="7" max="7" width="6.21875" style="131" customWidth="1"/>
    <col min="8" max="8" width="12.21875" style="131" customWidth="1"/>
    <col min="9" max="9" width="14" style="131" customWidth="1"/>
    <col min="10" max="10" width="9.21875" style="131"/>
    <col min="11" max="11" width="13.21875" style="131" customWidth="1"/>
    <col min="12" max="12" width="9.21875" style="131" customWidth="1"/>
    <col min="13" max="13" width="1.44140625" style="131" customWidth="1"/>
    <col min="14" max="16384" width="9.21875" style="131"/>
  </cols>
  <sheetData>
    <row r="1" spans="1:14" ht="15.75" customHeight="1" x14ac:dyDescent="0.3">
      <c r="A1" s="571" t="str">
        <f>PENYELIA!A1</f>
        <v>HASIL KALIBRASI TIMBANGAN BAYI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130"/>
    </row>
    <row r="2" spans="1:14" ht="16.8" x14ac:dyDescent="0.3">
      <c r="A2" s="618" t="str">
        <f>PENYELIA!A2</f>
        <v>Nomor Sertifikat : 51 / 1 / IX - 23 / E - 108.145 DLA</v>
      </c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132"/>
    </row>
    <row r="3" spans="1:14" ht="11.55" customHeight="1" x14ac:dyDescent="0.3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</row>
    <row r="4" spans="1:14" x14ac:dyDescent="0.3">
      <c r="A4" s="133" t="s">
        <v>32</v>
      </c>
      <c r="B4" s="133"/>
      <c r="C4" s="135" t="s">
        <v>33</v>
      </c>
      <c r="D4" s="133" t="str">
        <f>PENYELIA!D4</f>
        <v>Serenity</v>
      </c>
      <c r="E4" s="133"/>
      <c r="F4" s="133"/>
      <c r="G4" s="133"/>
      <c r="H4" s="133"/>
      <c r="I4" s="133"/>
      <c r="J4" s="133"/>
      <c r="K4" s="133"/>
      <c r="L4" s="133"/>
      <c r="M4" s="133"/>
    </row>
    <row r="5" spans="1:14" x14ac:dyDescent="0.3">
      <c r="A5" s="133" t="s">
        <v>34</v>
      </c>
      <c r="B5" s="133"/>
      <c r="C5" s="135" t="s">
        <v>33</v>
      </c>
      <c r="D5" s="133" t="str">
        <f>PENYELIA!D5</f>
        <v>-</v>
      </c>
      <c r="E5" s="133"/>
      <c r="F5" s="133"/>
      <c r="G5" s="133"/>
      <c r="H5" s="133"/>
      <c r="I5" s="133"/>
      <c r="J5" s="133"/>
      <c r="K5" s="133"/>
      <c r="L5" s="133"/>
      <c r="M5" s="133"/>
    </row>
    <row r="6" spans="1:14" x14ac:dyDescent="0.3">
      <c r="A6" s="133" t="s">
        <v>35</v>
      </c>
      <c r="B6" s="133"/>
      <c r="C6" s="135" t="s">
        <v>33</v>
      </c>
      <c r="D6" s="133">
        <f>PENYELIA!D6</f>
        <v>1871160551</v>
      </c>
      <c r="E6" s="133"/>
      <c r="F6" s="133"/>
      <c r="G6" s="133"/>
      <c r="H6" s="133"/>
      <c r="I6" s="133"/>
      <c r="J6" s="133"/>
      <c r="K6" s="133"/>
      <c r="L6" s="133"/>
      <c r="M6" s="133"/>
    </row>
    <row r="7" spans="1:14" x14ac:dyDescent="0.3">
      <c r="A7" s="133" t="str">
        <f>PENYELIA!A7</f>
        <v>Resolusi</v>
      </c>
      <c r="B7" s="133"/>
      <c r="C7" s="135" t="s">
        <v>33</v>
      </c>
      <c r="D7" s="150">
        <f>PENYELIA!D7</f>
        <v>0.05</v>
      </c>
      <c r="E7" s="133"/>
      <c r="F7" s="133"/>
      <c r="G7" s="133"/>
      <c r="H7" s="133"/>
      <c r="I7" s="133"/>
      <c r="J7" s="133"/>
      <c r="K7" s="133"/>
      <c r="L7" s="133"/>
      <c r="M7" s="133"/>
    </row>
    <row r="8" spans="1:14" x14ac:dyDescent="0.3">
      <c r="A8" s="133" t="str">
        <f>PENYELIA!A8</f>
        <v>Tanggal Penerimaan Alat</v>
      </c>
      <c r="B8" s="133"/>
      <c r="C8" s="135" t="str">
        <f>PENYELIA!C8</f>
        <v>:</v>
      </c>
      <c r="D8" s="451">
        <f>PENYELIA!D8</f>
        <v>45180</v>
      </c>
      <c r="E8" s="133"/>
      <c r="F8" s="133"/>
      <c r="G8" s="133"/>
      <c r="H8" s="133"/>
      <c r="I8" s="133"/>
      <c r="J8" s="133"/>
      <c r="K8" s="133"/>
      <c r="L8" s="133"/>
      <c r="M8" s="133"/>
    </row>
    <row r="9" spans="1:14" x14ac:dyDescent="0.3">
      <c r="A9" s="133" t="s">
        <v>39</v>
      </c>
      <c r="B9" s="133"/>
      <c r="C9" s="135" t="s">
        <v>33</v>
      </c>
      <c r="D9" s="451">
        <f>PENYELIA!D9</f>
        <v>45180</v>
      </c>
      <c r="E9" s="133"/>
      <c r="F9" s="133"/>
      <c r="G9" s="133"/>
      <c r="H9" s="133"/>
      <c r="I9" s="133"/>
      <c r="J9" s="133"/>
      <c r="K9" s="133"/>
      <c r="L9" s="133"/>
      <c r="M9" s="133"/>
    </row>
    <row r="10" spans="1:14" x14ac:dyDescent="0.3">
      <c r="A10" s="133" t="str">
        <f>ID!A10</f>
        <v>Tempat Kalibrasi</v>
      </c>
      <c r="B10" s="133"/>
      <c r="C10" s="135" t="s">
        <v>33</v>
      </c>
      <c r="D10" s="133" t="str">
        <f>PENYELIA!D10</f>
        <v>Aula</v>
      </c>
      <c r="E10" s="133"/>
      <c r="F10" s="133"/>
      <c r="G10" s="133"/>
      <c r="H10" s="133"/>
      <c r="I10" s="133"/>
      <c r="J10" s="133"/>
      <c r="K10" s="133"/>
      <c r="L10" s="133"/>
      <c r="M10" s="133"/>
    </row>
    <row r="11" spans="1:14" x14ac:dyDescent="0.3">
      <c r="A11" s="133" t="str">
        <f>ID!A11</f>
        <v>Nama Ruang</v>
      </c>
      <c r="B11" s="133"/>
      <c r="C11" s="135" t="s">
        <v>33</v>
      </c>
      <c r="D11" s="133" t="str">
        <f>PENYELIA!D11</f>
        <v>Ruang KIA</v>
      </c>
      <c r="E11" s="133"/>
      <c r="F11" s="133"/>
      <c r="G11" s="133"/>
      <c r="H11" s="133"/>
      <c r="I11" s="133"/>
      <c r="J11" s="133"/>
      <c r="K11" s="133"/>
      <c r="L11" s="133"/>
      <c r="M11" s="133"/>
    </row>
    <row r="12" spans="1:14" x14ac:dyDescent="0.3">
      <c r="A12" s="133" t="s">
        <v>42</v>
      </c>
      <c r="B12" s="133"/>
      <c r="C12" s="135" t="s">
        <v>33</v>
      </c>
      <c r="D12" s="133" t="str">
        <f>PENYELIA!D12</f>
        <v>MK 051-18</v>
      </c>
      <c r="E12" s="133"/>
      <c r="F12" s="133"/>
      <c r="G12" s="133"/>
      <c r="H12" s="133"/>
      <c r="I12" s="133"/>
      <c r="J12" s="133"/>
      <c r="K12" s="133"/>
      <c r="L12" s="133"/>
      <c r="M12" s="133"/>
    </row>
    <row r="13" spans="1:14" ht="4.05" customHeight="1" x14ac:dyDescent="0.3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</row>
    <row r="14" spans="1:14" x14ac:dyDescent="0.3">
      <c r="A14" s="141" t="s">
        <v>43</v>
      </c>
      <c r="B14" s="134" t="str">
        <f>PENYELIA!B14</f>
        <v>Kondisi Ruang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1:14" x14ac:dyDescent="0.3">
      <c r="A15" s="133"/>
      <c r="B15" s="133" t="s">
        <v>45</v>
      </c>
      <c r="C15" s="135" t="s">
        <v>33</v>
      </c>
      <c r="D15" s="486" t="str">
        <f>'DB Thermohygro'!M359</f>
        <v xml:space="preserve">( </v>
      </c>
      <c r="E15" s="151">
        <f>'DB Thermohygro'!L341</f>
        <v>27</v>
      </c>
      <c r="F15" s="484" t="str">
        <f>'DB Thermohygro'!N359</f>
        <v xml:space="preserve"> ± </v>
      </c>
      <c r="G15" s="138">
        <f>'DB Thermohygro'!O341</f>
        <v>0.5</v>
      </c>
      <c r="H15" s="151" t="str">
        <f>'DB Thermohygro'!O359</f>
        <v xml:space="preserve"> )</v>
      </c>
      <c r="I15" s="133"/>
      <c r="J15" s="133"/>
      <c r="K15" s="133"/>
      <c r="L15" s="133"/>
      <c r="M15" s="133"/>
    </row>
    <row r="16" spans="1:14" x14ac:dyDescent="0.3">
      <c r="A16" s="133"/>
      <c r="B16" s="133" t="str">
        <f>PENYELIA!B16</f>
        <v xml:space="preserve">2. Kelembaban </v>
      </c>
      <c r="C16" s="135" t="s">
        <v>33</v>
      </c>
      <c r="D16" s="486" t="str">
        <f>D15</f>
        <v xml:space="preserve">( </v>
      </c>
      <c r="E16" s="151">
        <f>'DB Thermohygro'!L342</f>
        <v>69</v>
      </c>
      <c r="F16" s="485" t="str">
        <f>F15</f>
        <v xml:space="preserve"> ± </v>
      </c>
      <c r="G16" s="138">
        <f>'DB Thermohygro'!O342</f>
        <v>2.6</v>
      </c>
      <c r="H16" s="151" t="str">
        <f>H15</f>
        <v xml:space="preserve"> )</v>
      </c>
      <c r="I16" s="133"/>
      <c r="J16" s="133"/>
      <c r="K16" s="133"/>
      <c r="L16" s="133"/>
      <c r="M16" s="133"/>
    </row>
    <row r="17" spans="1:13" ht="5.55" customHeight="1" x14ac:dyDescent="0.3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</row>
    <row r="18" spans="1:13" x14ac:dyDescent="0.3">
      <c r="A18" s="134" t="s">
        <v>49</v>
      </c>
      <c r="B18" s="134" t="str">
        <f>PENYELIA!B18</f>
        <v>Pemeriksaan Kondisi Fisik dan Fungsi alat</v>
      </c>
      <c r="C18" s="134"/>
      <c r="D18" s="134"/>
      <c r="E18" s="134"/>
      <c r="F18" s="134"/>
      <c r="G18" s="133"/>
      <c r="H18" s="133"/>
      <c r="I18" s="133"/>
      <c r="J18" s="133"/>
      <c r="K18" s="133"/>
      <c r="L18" s="133"/>
      <c r="M18" s="133"/>
    </row>
    <row r="19" spans="1:13" x14ac:dyDescent="0.3">
      <c r="A19" s="133"/>
      <c r="B19" s="133" t="s">
        <v>51</v>
      </c>
      <c r="C19" s="135" t="s">
        <v>33</v>
      </c>
      <c r="D19" s="133" t="str">
        <f>PENYELIA!D19</f>
        <v>Baik</v>
      </c>
      <c r="E19" s="133"/>
      <c r="F19" s="133"/>
      <c r="G19" s="133"/>
      <c r="H19" s="133"/>
      <c r="I19" s="133"/>
      <c r="J19" s="133"/>
      <c r="K19" s="133"/>
      <c r="L19" s="133"/>
      <c r="M19" s="133"/>
    </row>
    <row r="20" spans="1:13" x14ac:dyDescent="0.3">
      <c r="A20" s="133"/>
      <c r="B20" s="133" t="s">
        <v>53</v>
      </c>
      <c r="C20" s="135" t="s">
        <v>33</v>
      </c>
      <c r="D20" s="133" t="str">
        <f>PENYELIA!D20</f>
        <v>Baik</v>
      </c>
      <c r="E20" s="133"/>
      <c r="F20" s="133"/>
      <c r="G20" s="133"/>
      <c r="H20" s="133"/>
      <c r="I20" s="133"/>
      <c r="J20" s="133"/>
      <c r="K20" s="133"/>
      <c r="L20" s="133"/>
      <c r="M20" s="133"/>
    </row>
    <row r="21" spans="1:13" ht="5.0999999999999996" customHeight="1" x14ac:dyDescent="0.3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</row>
    <row r="22" spans="1:13" x14ac:dyDescent="0.3">
      <c r="A22" s="134" t="s">
        <v>54</v>
      </c>
      <c r="B22" s="134" t="str">
        <f>PENYELIA!B22</f>
        <v>Pengujian Kinerja</v>
      </c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</row>
    <row r="23" spans="1:13" ht="4.5" customHeight="1" x14ac:dyDescent="0.3">
      <c r="A23" s="134"/>
      <c r="B23" s="134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</row>
    <row r="24" spans="1:13" x14ac:dyDescent="0.3">
      <c r="A24" s="133"/>
      <c r="B24" s="134" t="s">
        <v>134</v>
      </c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</row>
    <row r="25" spans="1:13" ht="29.25" customHeight="1" x14ac:dyDescent="0.3">
      <c r="A25" s="133"/>
      <c r="B25" s="385" t="s">
        <v>184</v>
      </c>
      <c r="C25" s="574" t="s">
        <v>185</v>
      </c>
      <c r="D25" s="583"/>
      <c r="E25" s="583"/>
      <c r="F25" s="575"/>
      <c r="G25" s="574" t="str">
        <f>PENYELIA!G25</f>
        <v>Simpangan Baku</v>
      </c>
      <c r="H25" s="575"/>
      <c r="I25" s="580" t="s">
        <v>188</v>
      </c>
      <c r="J25" s="582"/>
      <c r="K25" s="133"/>
    </row>
    <row r="26" spans="1:13" ht="14.55" hidden="1" customHeight="1" x14ac:dyDescent="0.3">
      <c r="A26" s="133"/>
      <c r="B26" s="185">
        <f>PENYELIA!B26</f>
        <v>1</v>
      </c>
      <c r="C26" s="585" t="e">
        <f>PENYELIA!C26</f>
        <v>#REF!</v>
      </c>
      <c r="D26" s="586"/>
      <c r="E26" s="586"/>
      <c r="F26" s="587"/>
      <c r="G26" s="585" t="e">
        <f>PENYELIA!G26</f>
        <v>#REF!</v>
      </c>
      <c r="H26" s="587"/>
      <c r="I26" s="619">
        <f>PENYELIA!I26</f>
        <v>2.9014237313338621E-2</v>
      </c>
      <c r="J26" s="620"/>
      <c r="K26" s="133"/>
    </row>
    <row r="27" spans="1:13" ht="15.75" customHeight="1" x14ac:dyDescent="0.3">
      <c r="A27" s="133"/>
      <c r="B27" s="185">
        <f>ID!D28</f>
        <v>5</v>
      </c>
      <c r="C27" s="585">
        <f>PENYELIA!C27</f>
        <v>5.0499999999999989</v>
      </c>
      <c r="D27" s="586"/>
      <c r="E27" s="586"/>
      <c r="F27" s="587"/>
      <c r="G27" s="585">
        <f>PENYELIA!G27</f>
        <v>9.3622225828712033E-16</v>
      </c>
      <c r="H27" s="587"/>
      <c r="I27" s="492" t="s">
        <v>389</v>
      </c>
      <c r="J27" s="487">
        <f>PENYELIA!I27</f>
        <v>2.9522431094925167E-2</v>
      </c>
      <c r="K27" s="133"/>
    </row>
    <row r="28" spans="1:13" ht="15.75" customHeight="1" x14ac:dyDescent="0.3">
      <c r="A28" s="133"/>
      <c r="B28" s="185">
        <f>ID!G28</f>
        <v>10</v>
      </c>
      <c r="C28" s="585">
        <f>PENYELIA!C28</f>
        <v>10</v>
      </c>
      <c r="D28" s="586"/>
      <c r="E28" s="586"/>
      <c r="F28" s="587"/>
      <c r="G28" s="585">
        <f>PENYELIA!G28</f>
        <v>0</v>
      </c>
      <c r="H28" s="587"/>
      <c r="I28" s="492" t="s">
        <v>389</v>
      </c>
      <c r="J28" s="487">
        <f>PENYELIA!I28</f>
        <v>3.1046772881677696E-2</v>
      </c>
      <c r="K28" s="133"/>
    </row>
    <row r="29" spans="1:13" ht="4.5" customHeight="1" x14ac:dyDescent="0.3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</row>
    <row r="30" spans="1:13" x14ac:dyDescent="0.3">
      <c r="A30" s="133"/>
      <c r="B30" s="134" t="s">
        <v>140</v>
      </c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</row>
    <row r="31" spans="1:13" ht="30.75" customHeight="1" x14ac:dyDescent="0.3">
      <c r="A31" s="133"/>
      <c r="B31" s="385" t="s">
        <v>184</v>
      </c>
      <c r="C31" s="574" t="s">
        <v>185</v>
      </c>
      <c r="D31" s="583"/>
      <c r="E31" s="583"/>
      <c r="F31" s="575"/>
      <c r="G31" s="574" t="s">
        <v>189</v>
      </c>
      <c r="H31" s="575"/>
      <c r="I31" s="606" t="s">
        <v>188</v>
      </c>
      <c r="J31" s="582"/>
      <c r="K31" s="133"/>
    </row>
    <row r="32" spans="1:13" ht="15.75" customHeight="1" x14ac:dyDescent="0.3">
      <c r="A32" s="133"/>
      <c r="B32" s="385">
        <f>ID!B44</f>
        <v>1</v>
      </c>
      <c r="C32" s="596">
        <f>PENYELIA!C32</f>
        <v>1</v>
      </c>
      <c r="D32" s="596"/>
      <c r="E32" s="596"/>
      <c r="F32" s="596"/>
      <c r="G32" s="596">
        <f>PENYELIA!G32</f>
        <v>-3.1999999999809958E-6</v>
      </c>
      <c r="H32" s="585"/>
      <c r="I32" s="491" t="s">
        <v>389</v>
      </c>
      <c r="J32" s="487">
        <f>PENYELIA!I32</f>
        <v>2.9014237313338621E-2</v>
      </c>
      <c r="K32" s="133"/>
    </row>
    <row r="33" spans="1:13" ht="15.75" customHeight="1" x14ac:dyDescent="0.3">
      <c r="A33" s="133"/>
      <c r="B33" s="385">
        <f>ID!B45</f>
        <v>2</v>
      </c>
      <c r="C33" s="596">
        <f>PENYELIA!C33</f>
        <v>2</v>
      </c>
      <c r="D33" s="596"/>
      <c r="E33" s="596"/>
      <c r="F33" s="596"/>
      <c r="G33" s="596">
        <f>PENYELIA!G33</f>
        <v>1.9999999998354667E-6</v>
      </c>
      <c r="H33" s="585"/>
      <c r="I33" s="491" t="s">
        <v>389</v>
      </c>
      <c r="J33" s="487">
        <f>PENYELIA!I33</f>
        <v>2.9083677283442144E-2</v>
      </c>
      <c r="K33" s="133"/>
    </row>
    <row r="34" spans="1:13" ht="15.75" customHeight="1" x14ac:dyDescent="0.3">
      <c r="A34" s="133"/>
      <c r="B34" s="385">
        <f>ID!B46</f>
        <v>3</v>
      </c>
      <c r="C34" s="596">
        <f>PENYELIA!C34</f>
        <v>3.05</v>
      </c>
      <c r="D34" s="596"/>
      <c r="E34" s="596"/>
      <c r="F34" s="596"/>
      <c r="G34" s="596">
        <f>PENYELIA!G34</f>
        <v>-5.0001200000000079E-2</v>
      </c>
      <c r="H34" s="585"/>
      <c r="I34" s="491" t="s">
        <v>389</v>
      </c>
      <c r="J34" s="487">
        <f>PENYELIA!I34</f>
        <v>2.9191826225560429E-2</v>
      </c>
      <c r="K34" s="133"/>
    </row>
    <row r="35" spans="1:13" x14ac:dyDescent="0.3">
      <c r="A35" s="133"/>
      <c r="B35" s="385">
        <f>ID!B47</f>
        <v>5</v>
      </c>
      <c r="C35" s="596">
        <f>PENYELIA!C35</f>
        <v>5.05</v>
      </c>
      <c r="D35" s="596"/>
      <c r="E35" s="596"/>
      <c r="F35" s="596"/>
      <c r="G35" s="596">
        <f>PENYELIA!G35</f>
        <v>-5.0005999999999773E-2</v>
      </c>
      <c r="H35" s="585"/>
      <c r="I35" s="491" t="s">
        <v>389</v>
      </c>
      <c r="J35" s="487">
        <f>PENYELIA!I35</f>
        <v>2.9522431094925167E-2</v>
      </c>
      <c r="K35" s="133"/>
    </row>
    <row r="36" spans="1:13" ht="15.75" customHeight="1" x14ac:dyDescent="0.3">
      <c r="A36" s="133"/>
      <c r="B36" s="385">
        <f>ID!B48</f>
        <v>10</v>
      </c>
      <c r="C36" s="596">
        <f>PENYELIA!C36</f>
        <v>10</v>
      </c>
      <c r="D36" s="596"/>
      <c r="E36" s="596"/>
      <c r="F36" s="596"/>
      <c r="G36" s="596">
        <f>PENYELIA!G36</f>
        <v>-7.20000000065113E-6</v>
      </c>
      <c r="H36" s="585"/>
      <c r="I36" s="491" t="s">
        <v>389</v>
      </c>
      <c r="J36" s="487">
        <f>PENYELIA!I36</f>
        <v>3.1046772881677696E-2</v>
      </c>
      <c r="K36" s="133"/>
    </row>
    <row r="37" spans="1:13" ht="4.05" customHeight="1" x14ac:dyDescent="0.3">
      <c r="A37" s="133"/>
      <c r="B37" s="152"/>
      <c r="C37" s="153"/>
      <c r="D37" s="153"/>
      <c r="E37" s="153"/>
      <c r="F37" s="153"/>
      <c r="G37" s="153"/>
      <c r="H37" s="153"/>
      <c r="I37" s="133"/>
      <c r="J37" s="153"/>
      <c r="K37" s="133"/>
      <c r="L37" s="133"/>
      <c r="M37" s="133"/>
    </row>
    <row r="38" spans="1:13" x14ac:dyDescent="0.3">
      <c r="A38" s="133"/>
      <c r="B38" s="134" t="s">
        <v>69</v>
      </c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</row>
    <row r="39" spans="1:13" ht="15.75" customHeight="1" x14ac:dyDescent="0.3">
      <c r="A39" s="133"/>
      <c r="B39" s="384" t="s">
        <v>193</v>
      </c>
      <c r="C39" s="584" t="s">
        <v>194</v>
      </c>
      <c r="D39" s="584"/>
      <c r="E39" s="584"/>
      <c r="F39" s="584"/>
      <c r="G39" s="584" t="s">
        <v>195</v>
      </c>
      <c r="H39" s="584"/>
      <c r="I39" s="584" t="s">
        <v>196</v>
      </c>
      <c r="J39" s="584"/>
      <c r="K39" s="584" t="s">
        <v>197</v>
      </c>
      <c r="L39" s="584"/>
      <c r="M39" s="133"/>
    </row>
    <row r="40" spans="1:13" ht="15.75" customHeight="1" x14ac:dyDescent="0.3">
      <c r="A40" s="133"/>
      <c r="B40" s="383">
        <f>PENYELIA!B40</f>
        <v>4.9950000000000001</v>
      </c>
      <c r="C40" s="596">
        <f>PENYELIA!C40</f>
        <v>5</v>
      </c>
      <c r="D40" s="596"/>
      <c r="E40" s="596"/>
      <c r="F40" s="596"/>
      <c r="G40" s="596">
        <f>PENYELIA!F40</f>
        <v>5.0049999999999999</v>
      </c>
      <c r="H40" s="596"/>
      <c r="I40" s="596">
        <f>PENYELIA!H40</f>
        <v>5</v>
      </c>
      <c r="J40" s="596"/>
      <c r="K40" s="596">
        <f>PENYELIA!I40</f>
        <v>5.0000000250000003</v>
      </c>
      <c r="L40" s="596"/>
      <c r="M40" s="133"/>
    </row>
    <row r="41" spans="1:13" ht="15" customHeight="1" x14ac:dyDescent="0.3">
      <c r="A41" s="133"/>
      <c r="B41" s="141" t="s">
        <v>233</v>
      </c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</row>
    <row r="42" spans="1:13" ht="15.75" customHeight="1" x14ac:dyDescent="0.3">
      <c r="A42" s="133"/>
      <c r="B42" s="604" t="str">
        <f>PENYELIA!B43</f>
        <v>Koreksi maksimum (kg)</v>
      </c>
      <c r="C42" s="606" t="str">
        <f>PENYELIA!C43</f>
        <v xml:space="preserve">Ketidakpastian maksimum (kg) </v>
      </c>
      <c r="D42" s="607"/>
      <c r="E42" s="607"/>
      <c r="F42" s="608"/>
      <c r="G42" s="614" t="str">
        <f>PENYELIA!G43</f>
        <v xml:space="preserve"> Limit of Perfomance (kg)</v>
      </c>
      <c r="H42" s="614"/>
      <c r="I42" s="612" t="str">
        <f>PENYELIA!I43</f>
        <v>Toleransi (kg) ≤ 10 kali resolusi (kg)</v>
      </c>
      <c r="J42" s="612"/>
      <c r="K42" s="133"/>
      <c r="L42" s="133"/>
      <c r="M42" s="133"/>
    </row>
    <row r="43" spans="1:13" ht="15.75" customHeight="1" x14ac:dyDescent="0.3">
      <c r="A43" s="133"/>
      <c r="B43" s="605"/>
      <c r="C43" s="609"/>
      <c r="D43" s="610"/>
      <c r="E43" s="610"/>
      <c r="F43" s="611"/>
      <c r="G43" s="614"/>
      <c r="H43" s="614"/>
      <c r="I43" s="612"/>
      <c r="J43" s="615"/>
      <c r="K43" s="133"/>
      <c r="L43" s="133"/>
      <c r="M43" s="133"/>
    </row>
    <row r="44" spans="1:13" ht="15.75" customHeight="1" x14ac:dyDescent="0.3">
      <c r="A44" s="133"/>
      <c r="B44" s="166">
        <f>PENYELIA!B45</f>
        <v>5.0005999999999773E-2</v>
      </c>
      <c r="C44" s="585">
        <f>PENYELIA!C45</f>
        <v>2.9522431094925167E-2</v>
      </c>
      <c r="D44" s="586"/>
      <c r="E44" s="586"/>
      <c r="F44" s="587"/>
      <c r="G44" s="585">
        <f>PENYELIA!G45</f>
        <v>7.9528431094927049E-2</v>
      </c>
      <c r="H44" s="587"/>
      <c r="I44" s="616">
        <f>PENYELIA!I45</f>
        <v>0.5</v>
      </c>
      <c r="J44" s="617"/>
      <c r="K44" s="133"/>
      <c r="L44" s="133"/>
      <c r="M44" s="133"/>
    </row>
    <row r="45" spans="1:13" ht="5.55" customHeight="1" x14ac:dyDescent="0.3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</row>
    <row r="46" spans="1:13" ht="15.75" customHeight="1" x14ac:dyDescent="0.3">
      <c r="A46" s="142" t="s">
        <v>75</v>
      </c>
      <c r="B46" s="142" t="s">
        <v>76</v>
      </c>
    </row>
    <row r="47" spans="1:13" ht="15.75" customHeight="1" x14ac:dyDescent="0.3">
      <c r="B47" s="131" t="str">
        <f>PENYELIA!B48</f>
        <v>Ketidakpastian pengukuran pada tingkat kepercayaan 95% dengan faktor cakupan k = 2</v>
      </c>
    </row>
    <row r="48" spans="1:13" ht="15.75" customHeight="1" x14ac:dyDescent="0.3">
      <c r="B48" s="131" t="str">
        <f>PENYELIA!B49</f>
        <v>Hasil pengujian kinerja timbangan bayi tertelusur ke Satuan Internasional ( SI ) melalui SNSU</v>
      </c>
      <c r="C48" s="154"/>
      <c r="D48" s="154"/>
      <c r="E48" s="154"/>
    </row>
    <row r="49" spans="1:13" hidden="1" x14ac:dyDescent="0.3">
      <c r="B49" s="131" t="str">
        <f>PENYELIA!B50</f>
        <v>Hasil pengukuran timbangan bayi berdasarkan LOP ( Limit Of Perfomance ) 1x s/d 2x resolusi</v>
      </c>
      <c r="C49" s="154"/>
      <c r="D49" s="154"/>
      <c r="E49" s="154"/>
    </row>
    <row r="50" spans="1:13" ht="3.75" customHeight="1" x14ac:dyDescent="0.3">
      <c r="C50" s="613"/>
      <c r="D50" s="613"/>
      <c r="E50" s="613"/>
    </row>
    <row r="51" spans="1:13" x14ac:dyDescent="0.3">
      <c r="A51" s="142" t="s">
        <v>78</v>
      </c>
      <c r="B51" s="142" t="s">
        <v>79</v>
      </c>
    </row>
    <row r="52" spans="1:13" x14ac:dyDescent="0.3">
      <c r="B52" s="131" t="str">
        <f>PENYELIA!B53</f>
        <v>Anak Timbangan Standar, Merek : HÄFNER, Tipe : 7.MEHM-210, SN : 2790715</v>
      </c>
    </row>
    <row r="53" spans="1:13" x14ac:dyDescent="0.3">
      <c r="B53" s="131" t="str">
        <f>PENYELIA!B54</f>
        <v>Anak Timbangan Standar, Merek : HÄFNER, Tipe : 7.MEHM-220, SN : 2800715</v>
      </c>
    </row>
    <row r="54" spans="1:13" x14ac:dyDescent="0.3">
      <c r="B54" s="131" t="str">
        <f>PENYELIA!B55</f>
        <v>Anak Timbangan Standar, Merek : HÄFNER, Tipe : 7.MEHM-220, SN : 2810715</v>
      </c>
    </row>
    <row r="55" spans="1:13" x14ac:dyDescent="0.3">
      <c r="B55" s="131" t="str">
        <f>PENYELIA!B56</f>
        <v>Anak Timbangan Standar, Merek : HÄFNER, Tipe : 7.MEHM-230, SN : 2710715</v>
      </c>
    </row>
    <row r="56" spans="1:13" ht="5.0999999999999996" customHeight="1" x14ac:dyDescent="0.3"/>
    <row r="57" spans="1:13" x14ac:dyDescent="0.3">
      <c r="A57" s="142" t="s">
        <v>89</v>
      </c>
      <c r="B57" s="142" t="s">
        <v>90</v>
      </c>
    </row>
    <row r="58" spans="1:13" ht="14.55" customHeight="1" x14ac:dyDescent="0.3">
      <c r="B58" s="525" t="str">
        <f>PENYELIA!B59</f>
        <v>Alat yang dikalibrasi dalam batas toleransi dan dinyatakan LAIK PAKAI, dimana hasil atau skor akhir sama dengan atau melampaui 70 % berdasarkan Keputusan Direktur Jenderal Pelayanan Kesehatan No : HK.02.02/V/0412/2020</v>
      </c>
      <c r="C58" s="525"/>
      <c r="D58" s="525"/>
      <c r="E58" s="525"/>
      <c r="F58" s="525"/>
      <c r="G58" s="525"/>
      <c r="H58" s="525"/>
      <c r="I58" s="525"/>
      <c r="J58" s="525"/>
      <c r="K58" s="525"/>
      <c r="L58" s="525"/>
      <c r="M58" s="525"/>
    </row>
    <row r="59" spans="1:13" ht="18" customHeight="1" x14ac:dyDescent="0.3">
      <c r="B59" s="525"/>
      <c r="C59" s="525"/>
      <c r="D59" s="525"/>
      <c r="E59" s="525"/>
      <c r="F59" s="525"/>
      <c r="G59" s="525"/>
      <c r="H59" s="525"/>
      <c r="I59" s="525"/>
      <c r="J59" s="525"/>
      <c r="K59" s="525"/>
      <c r="L59" s="525"/>
      <c r="M59" s="525"/>
    </row>
    <row r="60" spans="1:13" ht="4.5" customHeight="1" x14ac:dyDescent="0.3"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</row>
    <row r="61" spans="1:13" x14ac:dyDescent="0.3">
      <c r="A61" s="142" t="s">
        <v>92</v>
      </c>
      <c r="B61" s="142" t="str">
        <f>PENYELIA!B61</f>
        <v>Petugas Kalibrasi</v>
      </c>
    </row>
    <row r="62" spans="1:13" x14ac:dyDescent="0.3">
      <c r="B62" s="131" t="str">
        <f>PENYELIA!B62</f>
        <v>Muhammad Ihsan Ilyas</v>
      </c>
    </row>
    <row r="63" spans="1:13" ht="9" customHeight="1" x14ac:dyDescent="0.3"/>
    <row r="64" spans="1:13" ht="15" x14ac:dyDescent="0.3">
      <c r="I64" s="145"/>
      <c r="J64" s="155" t="s">
        <v>234</v>
      </c>
    </row>
    <row r="65" spans="9:25" ht="15" x14ac:dyDescent="0.3">
      <c r="I65" s="409" t="str">
        <f>IF(J71=V77,"a.n"," ")</f>
        <v xml:space="preserve"> </v>
      </c>
      <c r="J65" s="155" t="s">
        <v>235</v>
      </c>
    </row>
    <row r="66" spans="9:25" ht="15" x14ac:dyDescent="0.3">
      <c r="I66" s="145"/>
      <c r="J66" s="155" t="s">
        <v>236</v>
      </c>
    </row>
    <row r="67" spans="9:25" ht="15" x14ac:dyDescent="0.3">
      <c r="I67" s="145"/>
      <c r="J67" s="155"/>
    </row>
    <row r="68" spans="9:25" ht="15" x14ac:dyDescent="0.3">
      <c r="I68" s="145"/>
      <c r="J68" s="155"/>
    </row>
    <row r="69" spans="9:25" ht="15" x14ac:dyDescent="0.3">
      <c r="I69" s="145"/>
      <c r="J69" s="155"/>
    </row>
    <row r="70" spans="9:25" ht="15" x14ac:dyDescent="0.3">
      <c r="I70" s="145"/>
      <c r="J70" s="156"/>
    </row>
    <row r="71" spans="9:25" ht="15.6" x14ac:dyDescent="0.3">
      <c r="I71" s="145"/>
      <c r="J71" s="157" t="s">
        <v>237</v>
      </c>
      <c r="K71" s="158"/>
      <c r="L71" s="158"/>
      <c r="M71" s="159"/>
    </row>
    <row r="72" spans="9:25" ht="15" x14ac:dyDescent="0.25">
      <c r="I72" s="145"/>
      <c r="J72" s="116" t="str">
        <f>VLOOKUP(J71,V76:W77,2,0)</f>
        <v>NIP 198008062010121001</v>
      </c>
      <c r="K72" s="158"/>
      <c r="L72" s="158"/>
      <c r="M72" s="159"/>
    </row>
    <row r="73" spans="9:25" ht="126" customHeight="1" x14ac:dyDescent="0.2">
      <c r="M73" s="160" t="s">
        <v>238</v>
      </c>
      <c r="N73" s="161"/>
    </row>
    <row r="74" spans="9:25" x14ac:dyDescent="0.3">
      <c r="N74" s="161"/>
    </row>
    <row r="76" spans="9:25" x14ac:dyDescent="0.25">
      <c r="V76" s="117" t="s">
        <v>237</v>
      </c>
      <c r="W76" s="115" t="s">
        <v>239</v>
      </c>
      <c r="X76" s="116"/>
      <c r="Y76" s="116"/>
    </row>
    <row r="77" spans="9:25" x14ac:dyDescent="0.25">
      <c r="V77" s="117" t="s">
        <v>240</v>
      </c>
      <c r="W77" s="115" t="s">
        <v>241</v>
      </c>
      <c r="X77" s="116"/>
      <c r="Y77" s="116"/>
    </row>
    <row r="78" spans="9:25" x14ac:dyDescent="0.25">
      <c r="W78" s="116"/>
      <c r="X78" s="116"/>
      <c r="Y78" s="116"/>
    </row>
  </sheetData>
  <sheetProtection formatCells="0" formatColumns="0" formatRows="0" insertRows="0" deleteRows="0"/>
  <mergeCells count="42">
    <mergeCell ref="K39:L39"/>
    <mergeCell ref="K40:L40"/>
    <mergeCell ref="I39:J39"/>
    <mergeCell ref="I40:J40"/>
    <mergeCell ref="I31:J31"/>
    <mergeCell ref="A1:M1"/>
    <mergeCell ref="A2:M2"/>
    <mergeCell ref="G27:H27"/>
    <mergeCell ref="G28:H28"/>
    <mergeCell ref="I25:J25"/>
    <mergeCell ref="C25:F25"/>
    <mergeCell ref="C27:F27"/>
    <mergeCell ref="C28:F28"/>
    <mergeCell ref="G25:H25"/>
    <mergeCell ref="I26:J26"/>
    <mergeCell ref="C26:F26"/>
    <mergeCell ref="G26:H26"/>
    <mergeCell ref="C44:F44"/>
    <mergeCell ref="G44:H44"/>
    <mergeCell ref="C50:E50"/>
    <mergeCell ref="B58:M59"/>
    <mergeCell ref="B42:B43"/>
    <mergeCell ref="C42:F43"/>
    <mergeCell ref="G42:H43"/>
    <mergeCell ref="I42:J43"/>
    <mergeCell ref="I44:J44"/>
    <mergeCell ref="C31:F31"/>
    <mergeCell ref="G31:H31"/>
    <mergeCell ref="C40:F40"/>
    <mergeCell ref="G35:H35"/>
    <mergeCell ref="C35:F35"/>
    <mergeCell ref="C36:F36"/>
    <mergeCell ref="G36:H36"/>
    <mergeCell ref="G39:H39"/>
    <mergeCell ref="G40:H40"/>
    <mergeCell ref="C32:F32"/>
    <mergeCell ref="C39:F39"/>
    <mergeCell ref="G34:H34"/>
    <mergeCell ref="C34:F34"/>
    <mergeCell ref="G32:H32"/>
    <mergeCell ref="G33:H33"/>
    <mergeCell ref="C33:F33"/>
  </mergeCells>
  <dataValidations count="1">
    <dataValidation type="list" allowBlank="1" showInputMessage="1" showErrorMessage="1" sqref="J71" xr:uid="{00000000-0002-0000-0500-000000000000}">
      <formula1>$V$76:$V$77</formula1>
    </dataValidation>
  </dataValidations>
  <printOptions horizontalCentered="1"/>
  <pageMargins left="0.59055118110236227" right="0.23622047244094491" top="0.51181102362204722" bottom="0.39370078740157483" header="0.23622047244094491" footer="0.23622047244094491"/>
  <pageSetup paperSize="9" scale="73" orientation="portrait" horizontalDpi="4294967293" r:id="rId1"/>
  <headerFooter>
    <oddHeader>&amp;R&amp;8GM.LHK - 051-18 / REV : 0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Sheet1</vt:lpstr>
      <vt:lpstr>LK</vt:lpstr>
      <vt:lpstr>Riwayat Revisi</vt:lpstr>
      <vt:lpstr>ID</vt:lpstr>
      <vt:lpstr>Cetik Cetik</vt:lpstr>
      <vt:lpstr>Sertifikat </vt:lpstr>
      <vt:lpstr>BUDGETING</vt:lpstr>
      <vt:lpstr>PENYELIA</vt:lpstr>
      <vt:lpstr>LH</vt:lpstr>
      <vt:lpstr>SERTIFIKAT</vt:lpstr>
      <vt:lpstr>DB Thermohygro</vt:lpstr>
      <vt:lpstr>BUDGETING!Print_Area</vt:lpstr>
      <vt:lpstr>'Cetik Cetik'!Print_Area</vt:lpstr>
      <vt:lpstr>'DB Thermohygro'!Print_Area</vt:lpstr>
      <vt:lpstr>ID!Print_Area</vt:lpstr>
      <vt:lpstr>LH!Print_Area</vt:lpstr>
      <vt:lpstr>LK!Print_Area</vt:lpstr>
      <vt:lpstr>PENYELIA!Print_Area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hamdan syarif</dc:creator>
  <cp:keywords/>
  <dc:description>soft 2017</dc:description>
  <cp:lastModifiedBy>Developer</cp:lastModifiedBy>
  <cp:revision/>
  <cp:lastPrinted>2023-06-12T02:27:40Z</cp:lastPrinted>
  <dcterms:created xsi:type="dcterms:W3CDTF">2016-02-25T00:06:24Z</dcterms:created>
  <dcterms:modified xsi:type="dcterms:W3CDTF">2024-01-11T13:10:29Z</dcterms:modified>
  <cp:category/>
  <cp:contentStatus/>
</cp:coreProperties>
</file>