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ThisWorkbook"/>
  <bookViews>
    <workbookView xWindow="0" yWindow="0" windowWidth="19200" windowHeight="6585"/>
  </bookViews>
  <sheets>
    <sheet name="Stat Work Table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3" i="1"/>
  <c r="I62"/>
  <c r="G31"/>
  <c r="D32"/>
  <c r="E28"/>
  <c r="D31"/>
  <c r="D57" l="1"/>
  <c r="E57" s="1"/>
  <c r="I36"/>
  <c r="D58"/>
  <c r="E58" s="1"/>
  <c r="E44"/>
  <c r="F44" s="1"/>
  <c r="H44" s="1"/>
  <c r="C67"/>
  <c r="C66"/>
  <c r="D62"/>
  <c r="G12"/>
  <c r="H12" s="1"/>
  <c r="F48"/>
  <c r="F47"/>
  <c r="G48"/>
  <c r="G47"/>
  <c r="G32"/>
  <c r="H31"/>
  <c r="G20"/>
  <c r="F40"/>
  <c r="G40" s="1"/>
  <c r="I40" s="1"/>
  <c r="E36"/>
  <c r="F36" s="1"/>
  <c r="H36" s="1"/>
  <c r="G16"/>
  <c r="G4"/>
  <c r="G24"/>
  <c r="E4"/>
  <c r="F4"/>
  <c r="D4"/>
  <c r="G52"/>
  <c r="H52" s="1"/>
  <c r="G51"/>
  <c r="H51" s="1"/>
  <c r="F28"/>
  <c r="F27"/>
  <c r="E27"/>
  <c r="G8"/>
  <c r="H8" s="1"/>
  <c r="J8" s="1"/>
  <c r="I31" l="1"/>
  <c r="H32"/>
  <c r="I32"/>
  <c r="G27"/>
  <c r="H24"/>
  <c r="J24" s="1"/>
  <c r="H20"/>
  <c r="J20" s="1"/>
  <c r="H16"/>
  <c r="J16" s="1"/>
  <c r="G28"/>
  <c r="J32" l="1"/>
  <c r="J31"/>
  <c r="J12"/>
</calcChain>
</file>

<file path=xl/comments1.xml><?xml version="1.0" encoding="utf-8"?>
<comments xmlns="http://schemas.openxmlformats.org/spreadsheetml/2006/main">
  <authors>
    <author>mfds_SooYoung Kwak</author>
    <author>mfds</author>
  </authors>
  <commentList>
    <comment ref="A30" authorId="0">
      <text>
        <r>
          <rPr>
            <b/>
            <sz val="9"/>
            <color indexed="81"/>
            <rFont val="Tahoma"/>
            <family val="2"/>
          </rPr>
          <t>mfds_SooYoung Kwak:</t>
        </r>
        <r>
          <rPr>
            <sz val="9"/>
            <color indexed="81"/>
            <rFont val="Tahoma"/>
            <family val="2"/>
          </rPr>
          <t xml:space="preserve">
CI for p1 - p2</t>
        </r>
      </text>
    </comment>
    <comment ref="C39" authorId="1">
      <text>
        <r>
          <rPr>
            <b/>
            <sz val="9"/>
            <color indexed="81"/>
            <rFont val="Tahoma"/>
            <family val="2"/>
          </rPr>
          <t>SYK:Minimally 
acceptable Sn or Sp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<sst xmlns="http://schemas.openxmlformats.org/spreadsheetml/2006/main" count="160" uniqueCount="93">
  <si>
    <t>drop rate</t>
    <phoneticPr fontId="1" type="noConversion"/>
  </si>
  <si>
    <t>total size</t>
    <phoneticPr fontId="1" type="noConversion"/>
  </si>
  <si>
    <t>Lower Limit</t>
    <phoneticPr fontId="1" type="noConversion"/>
  </si>
  <si>
    <t>Upper Limit</t>
    <phoneticPr fontId="1" type="noConversion"/>
  </si>
  <si>
    <t>P2</t>
    <phoneticPr fontId="1" type="noConversion"/>
  </si>
  <si>
    <t>95% CI</t>
    <phoneticPr fontId="1" type="noConversion"/>
  </si>
  <si>
    <t>Study 1</t>
    <phoneticPr fontId="1" type="noConversion"/>
  </si>
  <si>
    <t>Study 2</t>
    <phoneticPr fontId="1" type="noConversion"/>
  </si>
  <si>
    <t>Scenario 5 Cross-Over Design (Mean)</t>
    <phoneticPr fontId="1" type="noConversion"/>
  </si>
  <si>
    <t>n1</t>
    <phoneticPr fontId="1" type="noConversion"/>
  </si>
  <si>
    <t>margin(δ)</t>
    <phoneticPr fontId="1" type="noConversion"/>
  </si>
  <si>
    <t>SD(σ)</t>
    <phoneticPr fontId="1" type="noConversion"/>
  </si>
  <si>
    <t>alpha(α)</t>
  </si>
  <si>
    <t>beta(β)</t>
  </si>
  <si>
    <t>rho(ρ)</t>
  </si>
  <si>
    <t>lambda(λ)</t>
  </si>
  <si>
    <t>Scenario 1 One Sample Case (Mean)</t>
    <phoneticPr fontId="1" type="noConversion"/>
  </si>
  <si>
    <t>drop rate</t>
    <phoneticPr fontId="1" type="noConversion"/>
  </si>
  <si>
    <t>Scenario 2 Two Sample Case (Mean)</t>
    <phoneticPr fontId="1" type="noConversion"/>
  </si>
  <si>
    <t>Scenario 3 One Sample Case (Proportion)</t>
    <phoneticPr fontId="1" type="noConversion"/>
  </si>
  <si>
    <t>P</t>
    <phoneticPr fontId="1" type="noConversion"/>
  </si>
  <si>
    <t>Scenario 4 Two Sample Case (Proportion)</t>
    <phoneticPr fontId="1" type="noConversion"/>
  </si>
  <si>
    <t>P1</t>
    <phoneticPr fontId="1" type="noConversion"/>
  </si>
  <si>
    <t>n</t>
    <phoneticPr fontId="1" type="noConversion"/>
  </si>
  <si>
    <t>SD Calculation</t>
    <phoneticPr fontId="1" type="noConversion"/>
  </si>
  <si>
    <t>n2</t>
    <phoneticPr fontId="1" type="noConversion"/>
  </si>
  <si>
    <t>sd1</t>
    <phoneticPr fontId="1" type="noConversion"/>
  </si>
  <si>
    <t>sd2</t>
    <phoneticPr fontId="1" type="noConversion"/>
  </si>
  <si>
    <t>NA</t>
    <phoneticPr fontId="1" type="noConversion"/>
  </si>
  <si>
    <r>
      <rPr>
        <b/>
        <sz val="11"/>
        <color theme="1"/>
        <rFont val="맑은 고딕"/>
        <family val="3"/>
        <charset val="129"/>
      </rPr>
      <t>임상적</t>
    </r>
    <r>
      <rPr>
        <b/>
        <sz val="11"/>
        <color theme="1"/>
        <rFont val="Times New Roman"/>
        <family val="1"/>
      </rPr>
      <t xml:space="preserve"> </t>
    </r>
    <r>
      <rPr>
        <b/>
        <sz val="11"/>
        <color theme="1"/>
        <rFont val="맑은 고딕"/>
        <family val="3"/>
        <charset val="129"/>
      </rPr>
      <t>기준</t>
    </r>
    <r>
      <rPr>
        <b/>
        <sz val="11"/>
        <color theme="1"/>
        <rFont val="Times New Roman"/>
        <family val="1"/>
      </rPr>
      <t>(ε)</t>
    </r>
    <phoneticPr fontId="1" type="noConversion"/>
  </si>
  <si>
    <r>
      <rPr>
        <b/>
        <sz val="11"/>
        <color theme="1"/>
        <rFont val="맑은 고딕"/>
        <family val="3"/>
        <charset val="129"/>
      </rPr>
      <t>임상적</t>
    </r>
    <r>
      <rPr>
        <b/>
        <sz val="11"/>
        <color theme="1"/>
        <rFont val="Times New Roman"/>
        <family val="1"/>
      </rPr>
      <t xml:space="preserve"> </t>
    </r>
    <r>
      <rPr>
        <b/>
        <sz val="11"/>
        <color theme="1"/>
        <rFont val="맑은 고딕"/>
        <family val="3"/>
        <charset val="129"/>
      </rPr>
      <t>기준</t>
    </r>
    <r>
      <rPr>
        <b/>
        <sz val="11"/>
        <color theme="1"/>
        <rFont val="Times New Roman"/>
        <family val="1"/>
      </rPr>
      <t>(P-P0)</t>
    </r>
    <phoneticPr fontId="1" type="noConversion"/>
  </si>
  <si>
    <r>
      <rPr>
        <b/>
        <sz val="11"/>
        <color theme="1"/>
        <rFont val="맑은 고딕"/>
        <family val="3"/>
        <charset val="129"/>
      </rPr>
      <t>임상적</t>
    </r>
    <r>
      <rPr>
        <b/>
        <sz val="11"/>
        <color theme="1"/>
        <rFont val="Times New Roman"/>
        <family val="1"/>
      </rPr>
      <t xml:space="preserve"> </t>
    </r>
    <r>
      <rPr>
        <b/>
        <sz val="11"/>
        <color theme="1"/>
        <rFont val="맑은 고딕"/>
        <family val="3"/>
        <charset val="129"/>
      </rPr>
      <t>기준</t>
    </r>
    <r>
      <rPr>
        <b/>
        <sz val="11"/>
        <color theme="1"/>
        <rFont val="Times New Roman"/>
        <family val="1"/>
      </rPr>
      <t>(P1-P2)</t>
    </r>
    <phoneticPr fontId="1" type="noConversion"/>
  </si>
  <si>
    <t>mean(mu)</t>
    <phoneticPr fontId="1" type="noConversion"/>
  </si>
  <si>
    <t>alpha(α)</t>
    <phoneticPr fontId="1" type="noConversion"/>
  </si>
  <si>
    <t>beta(β)</t>
    <phoneticPr fontId="1" type="noConversion"/>
  </si>
  <si>
    <t>Zβ</t>
    <phoneticPr fontId="1" type="noConversion"/>
  </si>
  <si>
    <t>Zα/2</t>
    <phoneticPr fontId="1" type="noConversion"/>
  </si>
  <si>
    <t>Reference Value</t>
    <phoneticPr fontId="1" type="noConversion"/>
  </si>
  <si>
    <r>
      <rPr>
        <b/>
        <sz val="12"/>
        <color theme="1"/>
        <rFont val="Times New Roman"/>
        <family val="1"/>
      </rPr>
      <t>Pooled SD for Independent Two Group</t>
    </r>
    <r>
      <rPr>
        <b/>
        <sz val="14"/>
        <color theme="1"/>
        <rFont val="Times New Roman"/>
        <family val="1"/>
      </rPr>
      <t>s</t>
    </r>
    <phoneticPr fontId="1" type="noConversion"/>
  </si>
  <si>
    <r>
      <t xml:space="preserve">SD for Difference(Correlation </t>
    </r>
    <r>
      <rPr>
        <sz val="12"/>
        <color theme="1"/>
        <rFont val="굴림체"/>
        <family val="3"/>
        <charset val="129"/>
      </rPr>
      <t>고려</t>
    </r>
    <r>
      <rPr>
        <sz val="12"/>
        <color theme="1"/>
        <rFont val="Times New Roman"/>
        <family val="1"/>
      </rPr>
      <t>)</t>
    </r>
    <phoneticPr fontId="1" type="noConversion"/>
  </si>
  <si>
    <t>Related Statistical Formula</t>
    <phoneticPr fontId="1" type="noConversion"/>
  </si>
  <si>
    <r>
      <rPr>
        <b/>
        <sz val="11"/>
        <color theme="1"/>
        <rFont val="맑은 고딕"/>
        <family val="2"/>
        <charset val="129"/>
      </rPr>
      <t>독립된</t>
    </r>
    <r>
      <rPr>
        <b/>
        <sz val="11"/>
        <color theme="1"/>
        <rFont val="Times New Roman"/>
        <family val="1"/>
      </rPr>
      <t xml:space="preserve"> 2</t>
    </r>
    <r>
      <rPr>
        <b/>
        <sz val="11"/>
        <color theme="1"/>
        <rFont val="맑은 고딕"/>
        <family val="2"/>
        <charset val="129"/>
      </rPr>
      <t>군</t>
    </r>
    <phoneticPr fontId="1" type="noConversion"/>
  </si>
  <si>
    <r>
      <t xml:space="preserve">Correlation </t>
    </r>
    <r>
      <rPr>
        <b/>
        <sz val="11"/>
        <color theme="1"/>
        <rFont val="맑은 고딕"/>
        <family val="2"/>
        <charset val="129"/>
      </rPr>
      <t>고려</t>
    </r>
    <phoneticPr fontId="1" type="noConversion"/>
  </si>
  <si>
    <t>Sample Size</t>
    <phoneticPr fontId="1" type="noConversion"/>
  </si>
  <si>
    <t>Sample Size 올림 처리</t>
  </si>
  <si>
    <t>SD(Result)</t>
    <phoneticPr fontId="1" type="noConversion"/>
  </si>
  <si>
    <t>Var(Result)</t>
    <phoneticPr fontId="1" type="noConversion"/>
  </si>
  <si>
    <t xml:space="preserve"> n</t>
    <phoneticPr fontId="1" type="noConversion"/>
  </si>
  <si>
    <t>Zα</t>
    <phoneticPr fontId="1" type="noConversion"/>
  </si>
  <si>
    <t>t(df,α)</t>
    <phoneticPr fontId="1" type="noConversion"/>
  </si>
  <si>
    <t>Degrees of Freedom(n-1)</t>
    <phoneticPr fontId="1" type="noConversion"/>
  </si>
  <si>
    <t>Scenario 6 In-Vitro Diagnostics (Sn, Sp)</t>
    <phoneticPr fontId="1" type="noConversion"/>
  </si>
  <si>
    <t>p</t>
    <phoneticPr fontId="1" type="noConversion"/>
  </si>
  <si>
    <r>
      <t xml:space="preserve">Sample Size </t>
    </r>
    <r>
      <rPr>
        <b/>
        <sz val="11"/>
        <color theme="1"/>
        <rFont val="바탕"/>
        <family val="1"/>
        <charset val="129"/>
      </rPr>
      <t>올림</t>
    </r>
    <r>
      <rPr>
        <b/>
        <sz val="11"/>
        <color theme="1"/>
        <rFont val="Times New Roman"/>
        <family val="1"/>
      </rPr>
      <t xml:space="preserve"> </t>
    </r>
    <phoneticPr fontId="1" type="noConversion"/>
  </si>
  <si>
    <t xml:space="preserve">
</t>
    <phoneticPr fontId="1" type="noConversion"/>
  </si>
  <si>
    <t>p1(ref)</t>
    <phoneticPr fontId="1" type="noConversion"/>
  </si>
  <si>
    <r>
      <t xml:space="preserve">Scenario 7 In-Vitro Diagnostics (Sn, Sp) *Power </t>
    </r>
    <r>
      <rPr>
        <b/>
        <sz val="11"/>
        <color theme="1"/>
        <rFont val="바탕"/>
        <family val="1"/>
        <charset val="129"/>
      </rPr>
      <t>고려</t>
    </r>
    <r>
      <rPr>
        <b/>
        <sz val="11"/>
        <color theme="1"/>
        <rFont val="Times New Roman"/>
        <family val="1"/>
      </rPr>
      <t xml:space="preserve"> </t>
    </r>
    <phoneticPr fontId="1" type="noConversion"/>
  </si>
  <si>
    <r>
      <t xml:space="preserve">Sample Size </t>
    </r>
    <r>
      <rPr>
        <b/>
        <sz val="11"/>
        <color theme="1"/>
        <rFont val="바탕"/>
        <family val="1"/>
        <charset val="129"/>
      </rPr>
      <t>올림</t>
    </r>
    <r>
      <rPr>
        <b/>
        <sz val="11"/>
        <color theme="1"/>
        <rFont val="Times New Roman"/>
        <family val="1"/>
      </rPr>
      <t xml:space="preserve"> </t>
    </r>
    <phoneticPr fontId="1" type="noConversion"/>
  </si>
  <si>
    <t>p0</t>
    <phoneticPr fontId="1" type="noConversion"/>
  </si>
  <si>
    <t>Statistical Calculation Worksheet</t>
    <phoneticPr fontId="1" type="noConversion"/>
  </si>
  <si>
    <t>n1</t>
    <phoneticPr fontId="1" type="noConversion"/>
  </si>
  <si>
    <t>p1</t>
    <phoneticPr fontId="1" type="noConversion"/>
  </si>
  <si>
    <t>p2</t>
    <phoneticPr fontId="1" type="noConversion"/>
  </si>
  <si>
    <t>p1 - p2</t>
    <phoneticPr fontId="1" type="noConversion"/>
  </si>
  <si>
    <t>95% CI (For Mean)</t>
    <phoneticPr fontId="1" type="noConversion"/>
  </si>
  <si>
    <t>95% CI (For Proportion)</t>
    <phoneticPr fontId="1" type="noConversion"/>
  </si>
  <si>
    <t>u1</t>
    <phoneticPr fontId="1" type="noConversion"/>
  </si>
  <si>
    <t>u2</t>
    <phoneticPr fontId="1" type="noConversion"/>
  </si>
  <si>
    <t>weighted u</t>
    <phoneticPr fontId="1" type="noConversion"/>
  </si>
  <si>
    <t>문헌 1</t>
    <phoneticPr fontId="1" type="noConversion"/>
  </si>
  <si>
    <t>문헌 2</t>
    <phoneticPr fontId="1" type="noConversion"/>
  </si>
  <si>
    <t>Weighted Mean Calculation</t>
    <phoneticPr fontId="1" type="noConversion"/>
  </si>
  <si>
    <t>u1 - u2</t>
    <phoneticPr fontId="1" type="noConversion"/>
  </si>
  <si>
    <t>SD</t>
    <phoneticPr fontId="1" type="noConversion"/>
  </si>
  <si>
    <t>N</t>
    <phoneticPr fontId="1" type="noConversion"/>
  </si>
  <si>
    <t>Pooled SD</t>
    <phoneticPr fontId="1" type="noConversion"/>
  </si>
  <si>
    <t>Study1</t>
    <phoneticPr fontId="1" type="noConversion"/>
  </si>
  <si>
    <t>Study2</t>
    <phoneticPr fontId="1" type="noConversion"/>
  </si>
  <si>
    <t>Study3</t>
    <phoneticPr fontId="1" type="noConversion"/>
  </si>
  <si>
    <t>var</t>
    <phoneticPr fontId="1" type="noConversion"/>
  </si>
  <si>
    <t>sd</t>
    <phoneticPr fontId="1" type="noConversion"/>
  </si>
  <si>
    <r>
      <t xml:space="preserve">Scenario 8 In-Vitro Diagnostics (Sn, Sp) *Prevalence </t>
    </r>
    <r>
      <rPr>
        <b/>
        <sz val="11"/>
        <color theme="1"/>
        <rFont val="바탕"/>
        <family val="1"/>
        <charset val="129"/>
      </rPr>
      <t>고려</t>
    </r>
    <phoneticPr fontId="1" type="noConversion"/>
  </si>
  <si>
    <t>Prevalence</t>
    <phoneticPr fontId="1" type="noConversion"/>
  </si>
  <si>
    <t>Scenario1</t>
    <phoneticPr fontId="1" type="noConversion"/>
  </si>
  <si>
    <t>Scenario2</t>
    <phoneticPr fontId="1" type="noConversion"/>
  </si>
  <si>
    <t>N raw</t>
    <phoneticPr fontId="1" type="noConversion"/>
  </si>
  <si>
    <t>Final N</t>
    <phoneticPr fontId="1" type="noConversion"/>
  </si>
  <si>
    <r>
      <t xml:space="preserve">N(drop rate </t>
    </r>
    <r>
      <rPr>
        <b/>
        <sz val="11"/>
        <color theme="1"/>
        <rFont val="굴림체"/>
        <family val="3"/>
        <charset val="129"/>
      </rPr>
      <t>고려</t>
    </r>
    <r>
      <rPr>
        <b/>
        <sz val="11"/>
        <color theme="1"/>
        <rFont val="Times New Roman"/>
        <family val="1"/>
      </rPr>
      <t xml:space="preserve">) </t>
    </r>
    <r>
      <rPr>
        <b/>
        <sz val="11"/>
        <color theme="1"/>
        <rFont val="굴림체"/>
        <family val="3"/>
        <charset val="129"/>
      </rPr>
      <t>계산</t>
    </r>
    <phoneticPr fontId="1" type="noConversion"/>
  </si>
  <si>
    <t>\</t>
    <phoneticPr fontId="1" type="noConversion"/>
  </si>
  <si>
    <t>sd1</t>
    <phoneticPr fontId="1" type="noConversion"/>
  </si>
  <si>
    <t>sd2</t>
    <phoneticPr fontId="1" type="noConversion"/>
  </si>
  <si>
    <t>sd3</t>
    <phoneticPr fontId="1" type="noConversion"/>
  </si>
  <si>
    <t>rho</t>
    <phoneticPr fontId="1" type="noConversion"/>
  </si>
</sst>
</file>

<file path=xl/styles.xml><?xml version="1.0" encoding="utf-8"?>
<styleSheet xmlns="http://schemas.openxmlformats.org/spreadsheetml/2006/main">
  <numFmts count="5">
    <numFmt numFmtId="176" formatCode="0.00_ "/>
    <numFmt numFmtId="177" formatCode="0.000_ "/>
    <numFmt numFmtId="178" formatCode="0_ "/>
    <numFmt numFmtId="179" formatCode="#,##0.000_ "/>
    <numFmt numFmtId="180" formatCode="0.0000_ "/>
  </numFmts>
  <fonts count="1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name val="Times New Roman"/>
      <family val="1"/>
    </font>
    <font>
      <b/>
      <sz val="11"/>
      <color theme="1"/>
      <name val="맑은 고딕"/>
      <family val="3"/>
      <charset val="129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굴림체"/>
      <family val="3"/>
      <charset val="129"/>
    </font>
    <font>
      <sz val="26"/>
      <color theme="1"/>
      <name val="Times New Roman"/>
      <family val="1"/>
    </font>
    <font>
      <b/>
      <sz val="11"/>
      <color theme="1"/>
      <name val="맑은 고딕"/>
      <family val="2"/>
      <charset val="129"/>
    </font>
    <font>
      <b/>
      <sz val="11"/>
      <color theme="1"/>
      <name val="바탕"/>
      <family val="1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Times New Roman"/>
      <family val="1"/>
    </font>
    <font>
      <b/>
      <sz val="11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8">
    <xf numFmtId="0" fontId="0" fillId="0" borderId="0" xfId="0">
      <alignment vertical="center"/>
    </xf>
    <xf numFmtId="176" fontId="2" fillId="0" borderId="0" xfId="0" applyNumberFormat="1" applyFont="1">
      <alignment vertical="center"/>
    </xf>
    <xf numFmtId="176" fontId="2" fillId="0" borderId="0" xfId="0" applyNumberFormat="1" applyFont="1" applyAlignment="1">
      <alignment horizontal="center" vertical="center"/>
    </xf>
    <xf numFmtId="176" fontId="3" fillId="2" borderId="1" xfId="0" applyNumberFormat="1" applyFont="1" applyFill="1" applyBorder="1">
      <alignment vertical="center"/>
    </xf>
    <xf numFmtId="176" fontId="2" fillId="2" borderId="2" xfId="0" applyNumberFormat="1" applyFont="1" applyFill="1" applyBorder="1" applyAlignment="1">
      <alignment horizontal="center" vertical="center"/>
    </xf>
    <xf numFmtId="176" fontId="2" fillId="2" borderId="3" xfId="0" applyNumberFormat="1" applyFont="1" applyFill="1" applyBorder="1">
      <alignment vertical="center"/>
    </xf>
    <xf numFmtId="176" fontId="3" fillId="0" borderId="7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176" fontId="3" fillId="0" borderId="8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7" fontId="2" fillId="0" borderId="5" xfId="0" applyNumberFormat="1" applyFont="1" applyBorder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/>
    </xf>
    <xf numFmtId="176" fontId="3" fillId="2" borderId="3" xfId="0" applyNumberFormat="1" applyFont="1" applyFill="1" applyBorder="1" applyAlignment="1">
      <alignment horizontal="center" vertical="center"/>
    </xf>
    <xf numFmtId="176" fontId="2" fillId="0" borderId="7" xfId="0" applyNumberFormat="1" applyFont="1" applyBorder="1" applyAlignment="1">
      <alignment horizontal="center" vertical="center"/>
    </xf>
    <xf numFmtId="178" fontId="2" fillId="0" borderId="0" xfId="0" applyNumberFormat="1" applyFont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8" fontId="2" fillId="0" borderId="5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/>
    </xf>
    <xf numFmtId="178" fontId="4" fillId="0" borderId="6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 shrinkToFit="1"/>
    </xf>
    <xf numFmtId="176" fontId="2" fillId="0" borderId="5" xfId="0" applyNumberFormat="1" applyFont="1" applyBorder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 shrinkToFit="1"/>
    </xf>
    <xf numFmtId="178" fontId="2" fillId="0" borderId="6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9" fontId="2" fillId="0" borderId="5" xfId="0" applyNumberFormat="1" applyFont="1" applyBorder="1" applyAlignment="1" applyProtection="1">
      <alignment horizontal="center" vertical="center"/>
      <protection locked="0"/>
    </xf>
    <xf numFmtId="176" fontId="2" fillId="0" borderId="5" xfId="0" applyNumberFormat="1" applyFont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177" fontId="2" fillId="0" borderId="4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6" fontId="2" fillId="0" borderId="7" xfId="0" applyNumberFormat="1" applyFont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9" fillId="0" borderId="0" xfId="0" applyNumberFormat="1" applyFont="1" applyBorder="1" applyAlignment="1">
      <alignment horizontal="center" vertical="center"/>
    </xf>
    <xf numFmtId="176" fontId="8" fillId="0" borderId="0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12" fillId="0" borderId="7" xfId="0" applyNumberFormat="1" applyFont="1" applyBorder="1" applyAlignment="1">
      <alignment horizontal="center" vertical="center"/>
    </xf>
    <xf numFmtId="176" fontId="12" fillId="0" borderId="5" xfId="0" applyNumberFormat="1" applyFont="1" applyBorder="1" applyAlignment="1">
      <alignment horizontal="center" vertical="center"/>
    </xf>
    <xf numFmtId="180" fontId="2" fillId="0" borderId="0" xfId="0" applyNumberFormat="1" applyFont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6" fontId="2" fillId="0" borderId="1" xfId="0" applyNumberFormat="1" applyFont="1" applyBorder="1">
      <alignment vertical="center"/>
    </xf>
    <xf numFmtId="176" fontId="2" fillId="0" borderId="2" xfId="0" applyNumberFormat="1" applyFont="1" applyBorder="1">
      <alignment vertical="center"/>
    </xf>
    <xf numFmtId="176" fontId="2" fillId="0" borderId="3" xfId="0" applyNumberFormat="1" applyFont="1" applyBorder="1">
      <alignment vertical="center"/>
    </xf>
    <xf numFmtId="176" fontId="2" fillId="0" borderId="7" xfId="0" applyNumberFormat="1" applyFont="1" applyBorder="1">
      <alignment vertical="center"/>
    </xf>
    <xf numFmtId="176" fontId="2" fillId="0" borderId="0" xfId="0" applyNumberFormat="1" applyFont="1" applyBorder="1">
      <alignment vertical="center"/>
    </xf>
    <xf numFmtId="176" fontId="2" fillId="0" borderId="8" xfId="0" applyNumberFormat="1" applyFont="1" applyBorder="1">
      <alignment vertical="center"/>
    </xf>
    <xf numFmtId="176" fontId="2" fillId="0" borderId="4" xfId="0" applyNumberFormat="1" applyFont="1" applyBorder="1">
      <alignment vertical="center"/>
    </xf>
    <xf numFmtId="176" fontId="2" fillId="0" borderId="5" xfId="0" applyNumberFormat="1" applyFont="1" applyBorder="1">
      <alignment vertical="center"/>
    </xf>
    <xf numFmtId="176" fontId="2" fillId="0" borderId="6" xfId="0" applyNumberFormat="1" applyFont="1" applyBorder="1">
      <alignment vertical="center"/>
    </xf>
    <xf numFmtId="178" fontId="2" fillId="0" borderId="8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176" fontId="16" fillId="0" borderId="0" xfId="0" applyNumberFormat="1" applyFont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7" xfId="0" applyNumberFormat="1" applyFont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 wrapText="1"/>
    </xf>
    <xf numFmtId="176" fontId="9" fillId="0" borderId="9" xfId="0" applyNumberFormat="1" applyFont="1" applyBorder="1" applyAlignment="1">
      <alignment horizontal="center" vertical="center"/>
    </xf>
    <xf numFmtId="176" fontId="9" fillId="0" borderId="10" xfId="0" applyNumberFormat="1" applyFont="1" applyBorder="1" applyAlignment="1">
      <alignment horizontal="center" vertical="center"/>
    </xf>
    <xf numFmtId="176" fontId="9" fillId="0" borderId="11" xfId="0" applyNumberFormat="1" applyFont="1" applyBorder="1" applyAlignment="1">
      <alignment horizontal="center" vertical="center"/>
    </xf>
    <xf numFmtId="176" fontId="8" fillId="0" borderId="9" xfId="0" applyNumberFormat="1" applyFont="1" applyBorder="1" applyAlignment="1">
      <alignment horizontal="center" vertical="center"/>
    </xf>
    <xf numFmtId="176" fontId="8" fillId="0" borderId="10" xfId="0" applyNumberFormat="1" applyFont="1" applyBorder="1" applyAlignment="1">
      <alignment horizontal="center" vertical="center"/>
    </xf>
    <xf numFmtId="176" fontId="8" fillId="0" borderId="11" xfId="0" applyNumberFormat="1" applyFont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176" fontId="3" fillId="2" borderId="4" xfId="0" applyNumberFormat="1" applyFont="1" applyFill="1" applyBorder="1" applyAlignment="1">
      <alignment horizontal="center" vertical="center" wrapText="1"/>
    </xf>
    <xf numFmtId="176" fontId="11" fillId="0" borderId="1" xfId="0" applyNumberFormat="1" applyFont="1" applyBorder="1" applyAlignment="1">
      <alignment horizontal="center" vertical="center"/>
    </xf>
    <xf numFmtId="176" fontId="11" fillId="0" borderId="2" xfId="0" applyNumberFormat="1" applyFont="1" applyBorder="1" applyAlignment="1">
      <alignment horizontal="center" vertical="center"/>
    </xf>
    <xf numFmtId="176" fontId="11" fillId="0" borderId="3" xfId="0" applyNumberFormat="1" applyFont="1" applyBorder="1" applyAlignment="1">
      <alignment horizontal="center" vertical="center"/>
    </xf>
    <xf numFmtId="176" fontId="11" fillId="0" borderId="4" xfId="0" applyNumberFormat="1" applyFont="1" applyBorder="1" applyAlignment="1">
      <alignment horizontal="center" vertical="center"/>
    </xf>
    <xf numFmtId="176" fontId="11" fillId="0" borderId="5" xfId="0" applyNumberFormat="1" applyFont="1" applyBorder="1" applyAlignment="1">
      <alignment horizontal="center" vertical="center"/>
    </xf>
    <xf numFmtId="176" fontId="11" fillId="0" borderId="6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emf"/><Relationship Id="rId7" Type="http://schemas.openxmlformats.org/officeDocument/2006/relationships/image" Target="../media/image7.png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76200</xdr:colOff>
      <xdr:row>5</xdr:row>
      <xdr:rowOff>9525</xdr:rowOff>
    </xdr:from>
    <xdr:to>
      <xdr:col>14</xdr:col>
      <xdr:colOff>552450</xdr:colOff>
      <xdr:row>7</xdr:row>
      <xdr:rowOff>257175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896350" y="600075"/>
          <a:ext cx="2447925" cy="8763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19051</xdr:colOff>
      <xdr:row>9</xdr:row>
      <xdr:rowOff>19050</xdr:rowOff>
    </xdr:from>
    <xdr:to>
      <xdr:col>14</xdr:col>
      <xdr:colOff>523876</xdr:colOff>
      <xdr:row>11</xdr:row>
      <xdr:rowOff>285750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839201" y="1866900"/>
          <a:ext cx="2476500" cy="8953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57150</xdr:colOff>
      <xdr:row>13</xdr:row>
      <xdr:rowOff>57150</xdr:rowOff>
    </xdr:from>
    <xdr:to>
      <xdr:col>14</xdr:col>
      <xdr:colOff>619125</xdr:colOff>
      <xdr:row>15</xdr:row>
      <xdr:rowOff>228600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877300" y="3048000"/>
          <a:ext cx="2533650" cy="8001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47625</xdr:colOff>
      <xdr:row>17</xdr:row>
      <xdr:rowOff>19050</xdr:rowOff>
    </xdr:from>
    <xdr:to>
      <xdr:col>14</xdr:col>
      <xdr:colOff>628650</xdr:colOff>
      <xdr:row>19</xdr:row>
      <xdr:rowOff>247650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67775" y="4267200"/>
          <a:ext cx="2552700" cy="857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47624</xdr:colOff>
      <xdr:row>21</xdr:row>
      <xdr:rowOff>38100</xdr:rowOff>
    </xdr:from>
    <xdr:to>
      <xdr:col>14</xdr:col>
      <xdr:colOff>638174</xdr:colOff>
      <xdr:row>23</xdr:row>
      <xdr:rowOff>285750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8867774" y="5429250"/>
          <a:ext cx="2562225" cy="8763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95250</xdr:colOff>
      <xdr:row>25</xdr:row>
      <xdr:rowOff>38100</xdr:rowOff>
    </xdr:from>
    <xdr:to>
      <xdr:col>14</xdr:col>
      <xdr:colOff>581025</xdr:colOff>
      <xdr:row>27</xdr:row>
      <xdr:rowOff>247650</xdr:rowOff>
    </xdr:to>
    <xdr:pic>
      <xdr:nvPicPr>
        <xdr:cNvPr id="8" name="그림 7" descr="CI_Mean.pn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8915400" y="7534275"/>
          <a:ext cx="2457450" cy="838200"/>
        </a:xfrm>
        <a:prstGeom prst="rect">
          <a:avLst/>
        </a:prstGeom>
      </xdr:spPr>
    </xdr:pic>
    <xdr:clientData/>
  </xdr:twoCellAnchor>
  <xdr:twoCellAnchor editAs="oneCell">
    <xdr:from>
      <xdr:col>11</xdr:col>
      <xdr:colOff>47624</xdr:colOff>
      <xdr:row>49</xdr:row>
      <xdr:rowOff>38099</xdr:rowOff>
    </xdr:from>
    <xdr:to>
      <xdr:col>14</xdr:col>
      <xdr:colOff>619124</xdr:colOff>
      <xdr:row>51</xdr:row>
      <xdr:rowOff>247650</xdr:rowOff>
    </xdr:to>
    <xdr:pic>
      <xdr:nvPicPr>
        <xdr:cNvPr id="9" name="그림 8" descr="Sp.png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8867774" y="8677274"/>
          <a:ext cx="2543175" cy="838201"/>
        </a:xfrm>
        <a:prstGeom prst="rect">
          <a:avLst/>
        </a:prstGeom>
      </xdr:spPr>
    </xdr:pic>
    <xdr:clientData/>
  </xdr:twoCellAnchor>
  <xdr:twoCellAnchor>
    <xdr:from>
      <xdr:col>16</xdr:col>
      <xdr:colOff>66675</xdr:colOff>
      <xdr:row>49</xdr:row>
      <xdr:rowOff>57150</xdr:rowOff>
    </xdr:from>
    <xdr:to>
      <xdr:col>19</xdr:col>
      <xdr:colOff>590549</xdr:colOff>
      <xdr:row>51</xdr:row>
      <xdr:rowOff>152400</xdr:rowOff>
    </xdr:to>
    <xdr:pic>
      <xdr:nvPicPr>
        <xdr:cNvPr id="1031" name="_x128799984" descr="EMB000014981586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2172950" y="7372350"/>
          <a:ext cx="2495549" cy="495300"/>
        </a:xfrm>
        <a:prstGeom prst="rect">
          <a:avLst/>
        </a:prstGeom>
        <a:noFill/>
      </xdr:spPr>
    </xdr:pic>
    <xdr:clientData/>
  </xdr:twoCellAnchor>
  <xdr:twoCellAnchor>
    <xdr:from>
      <xdr:col>11</xdr:col>
      <xdr:colOff>66675</xdr:colOff>
      <xdr:row>33</xdr:row>
      <xdr:rowOff>76200</xdr:rowOff>
    </xdr:from>
    <xdr:to>
      <xdr:col>14</xdr:col>
      <xdr:colOff>533400</xdr:colOff>
      <xdr:row>35</xdr:row>
      <xdr:rowOff>238125</xdr:rowOff>
    </xdr:to>
    <xdr:pic>
      <xdr:nvPicPr>
        <xdr:cNvPr id="1025" name="_x147467728" descr="DRW00001058618f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0220325" y="10372725"/>
          <a:ext cx="2438400" cy="7905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</xdr:colOff>
      <xdr:row>37</xdr:row>
      <xdr:rowOff>53340</xdr:rowOff>
    </xdr:from>
    <xdr:to>
      <xdr:col>14</xdr:col>
      <xdr:colOff>556260</xdr:colOff>
      <xdr:row>39</xdr:row>
      <xdr:rowOff>274320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0287000" y="11292840"/>
          <a:ext cx="2514600" cy="84582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22860</xdr:colOff>
      <xdr:row>41</xdr:row>
      <xdr:rowOff>22860</xdr:rowOff>
    </xdr:from>
    <xdr:to>
      <xdr:col>14</xdr:col>
      <xdr:colOff>624840</xdr:colOff>
      <xdr:row>43</xdr:row>
      <xdr:rowOff>205740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10934700" y="11932920"/>
          <a:ext cx="2567940" cy="762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16</xdr:col>
      <xdr:colOff>15240</xdr:colOff>
      <xdr:row>41</xdr:row>
      <xdr:rowOff>38100</xdr:rowOff>
    </xdr:from>
    <xdr:to>
      <xdr:col>18</xdr:col>
      <xdr:colOff>632460</xdr:colOff>
      <xdr:row>43</xdr:row>
      <xdr:rowOff>236220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13891260" y="11948160"/>
          <a:ext cx="1927860" cy="77724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W67"/>
  <sheetViews>
    <sheetView tabSelected="1" view="pageBreakPreview" zoomScale="85" zoomScaleNormal="100" zoomScaleSheetLayoutView="85" workbookViewId="0">
      <selection activeCell="R65" sqref="R65"/>
    </sheetView>
  </sheetViews>
  <sheetFormatPr defaultColWidth="8.625" defaultRowHeight="15"/>
  <cols>
    <col min="1" max="1" width="25.25" style="1" customWidth="1"/>
    <col min="2" max="5" width="10.625" style="2" customWidth="1"/>
    <col min="6" max="6" width="12.5" style="2" customWidth="1"/>
    <col min="7" max="7" width="15.375" style="2" customWidth="1"/>
    <col min="8" max="8" width="17.5" style="2" customWidth="1"/>
    <col min="9" max="9" width="10.625" style="2" customWidth="1"/>
    <col min="10" max="10" width="12.375" style="1" customWidth="1"/>
    <col min="11" max="15" width="8.625" style="1"/>
    <col min="16" max="16" width="4.5" style="1" customWidth="1"/>
    <col min="17" max="16384" width="8.625" style="1"/>
  </cols>
  <sheetData>
    <row r="1" spans="1:20" ht="30.95" customHeight="1">
      <c r="A1" s="73" t="s">
        <v>59</v>
      </c>
      <c r="B1" s="73"/>
    </row>
    <row r="2" spans="1:20" ht="30.95" customHeight="1" thickBot="1"/>
    <row r="3" spans="1:20" ht="22.5" customHeight="1">
      <c r="A3" s="90" t="s">
        <v>37</v>
      </c>
      <c r="B3" s="12" t="s">
        <v>33</v>
      </c>
      <c r="C3" s="12" t="s">
        <v>34</v>
      </c>
      <c r="D3" s="12" t="s">
        <v>48</v>
      </c>
      <c r="E3" s="12" t="s">
        <v>36</v>
      </c>
      <c r="F3" s="12" t="s">
        <v>35</v>
      </c>
      <c r="G3" s="12" t="s">
        <v>49</v>
      </c>
      <c r="H3" s="28" t="s">
        <v>50</v>
      </c>
      <c r="I3" s="13" t="s">
        <v>47</v>
      </c>
      <c r="L3" s="92" t="s">
        <v>40</v>
      </c>
      <c r="M3" s="93"/>
      <c r="N3" s="93"/>
      <c r="O3" s="93"/>
      <c r="P3" s="93"/>
      <c r="Q3" s="93"/>
      <c r="R3" s="93"/>
      <c r="S3" s="93"/>
      <c r="T3" s="94"/>
    </row>
    <row r="4" spans="1:20" ht="22.5" customHeight="1" thickBot="1">
      <c r="A4" s="91"/>
      <c r="B4" s="11">
        <v>1.2500000000000001E-2</v>
      </c>
      <c r="C4" s="27">
        <v>0.2</v>
      </c>
      <c r="D4" s="32">
        <f>NORMSINV(B4)</f>
        <v>-2.2414027276049477</v>
      </c>
      <c r="E4" s="27">
        <f>NORMSINV(B4/2)</f>
        <v>-2.4977054744123723</v>
      </c>
      <c r="F4" s="11">
        <f>NORMSINV(C4)</f>
        <v>-0.8416212335729143</v>
      </c>
      <c r="G4" s="27">
        <f>TINV(B4,H4)</f>
        <v>2.625723450743342</v>
      </c>
      <c r="H4" s="18">
        <v>37</v>
      </c>
      <c r="I4" s="29">
        <v>39</v>
      </c>
      <c r="L4" s="95"/>
      <c r="M4" s="96"/>
      <c r="N4" s="96"/>
      <c r="O4" s="96"/>
      <c r="P4" s="96"/>
      <c r="Q4" s="96"/>
      <c r="R4" s="96"/>
      <c r="S4" s="96"/>
      <c r="T4" s="97"/>
    </row>
    <row r="5" spans="1:20" ht="15.75" thickBot="1"/>
    <row r="6" spans="1:20" ht="24.95" customHeight="1">
      <c r="A6" s="3" t="s">
        <v>16</v>
      </c>
      <c r="B6" s="4"/>
      <c r="C6" s="4"/>
      <c r="D6" s="4"/>
      <c r="E6" s="4"/>
      <c r="F6" s="4"/>
      <c r="G6" s="4"/>
      <c r="H6" s="4"/>
      <c r="I6" s="4"/>
      <c r="J6" s="5"/>
      <c r="L6" s="74"/>
      <c r="M6" s="75"/>
      <c r="N6" s="75"/>
      <c r="O6" s="76"/>
    </row>
    <row r="7" spans="1:20" ht="24.95" customHeight="1">
      <c r="A7" s="6" t="s">
        <v>29</v>
      </c>
      <c r="B7" s="7" t="s">
        <v>10</v>
      </c>
      <c r="C7" s="7" t="s">
        <v>11</v>
      </c>
      <c r="D7" s="7" t="s">
        <v>12</v>
      </c>
      <c r="E7" s="7" t="s">
        <v>13</v>
      </c>
      <c r="F7" s="7" t="s">
        <v>15</v>
      </c>
      <c r="G7" s="7" t="s">
        <v>43</v>
      </c>
      <c r="H7" s="26" t="s">
        <v>44</v>
      </c>
      <c r="I7" s="7" t="s">
        <v>17</v>
      </c>
      <c r="J7" s="8" t="s">
        <v>1</v>
      </c>
      <c r="L7" s="77"/>
      <c r="M7" s="78"/>
      <c r="N7" s="78"/>
      <c r="O7" s="79"/>
    </row>
    <row r="8" spans="1:20" ht="24.95" customHeight="1" thickBot="1">
      <c r="A8" s="67">
        <v>0</v>
      </c>
      <c r="B8" s="47">
        <v>1</v>
      </c>
      <c r="C8" s="47">
        <v>1.1000000000000001</v>
      </c>
      <c r="D8" s="11">
        <v>2.5000000000000001E-2</v>
      </c>
      <c r="E8" s="10">
        <v>0.2</v>
      </c>
      <c r="F8" s="10">
        <v>1</v>
      </c>
      <c r="G8" s="10">
        <f>((NORMSINV(1-D8)+NORMSINV(1-E8))^2*C8^2/((A8-B8)^2))</f>
        <v>9.4971444785623991</v>
      </c>
      <c r="H8" s="18">
        <f>ROUNDUP(G8,0)</f>
        <v>10</v>
      </c>
      <c r="I8" s="10">
        <v>0.1</v>
      </c>
      <c r="J8" s="25">
        <f>ROUNDUP(H8/(1-I8),0)</f>
        <v>12</v>
      </c>
      <c r="L8" s="80"/>
      <c r="M8" s="81"/>
      <c r="N8" s="81"/>
      <c r="O8" s="82"/>
    </row>
    <row r="9" spans="1:20" ht="24.95" customHeight="1" thickBot="1"/>
    <row r="10" spans="1:20" ht="24.95" customHeight="1">
      <c r="A10" s="3" t="s">
        <v>18</v>
      </c>
      <c r="B10" s="4"/>
      <c r="C10" s="4"/>
      <c r="D10" s="4"/>
      <c r="E10" s="4"/>
      <c r="F10" s="4"/>
      <c r="G10" s="4"/>
      <c r="H10" s="4"/>
      <c r="I10" s="4"/>
      <c r="J10" s="5"/>
      <c r="L10" s="74"/>
      <c r="M10" s="75"/>
      <c r="N10" s="75"/>
      <c r="O10" s="76"/>
    </row>
    <row r="11" spans="1:20" ht="24.95" customHeight="1">
      <c r="A11" s="6" t="s">
        <v>29</v>
      </c>
      <c r="B11" s="7" t="s">
        <v>10</v>
      </c>
      <c r="C11" s="7" t="s">
        <v>11</v>
      </c>
      <c r="D11" s="7" t="s">
        <v>12</v>
      </c>
      <c r="E11" s="7" t="s">
        <v>13</v>
      </c>
      <c r="F11" s="7" t="s">
        <v>15</v>
      </c>
      <c r="G11" s="7" t="s">
        <v>43</v>
      </c>
      <c r="H11" s="26" t="s">
        <v>44</v>
      </c>
      <c r="I11" s="7" t="s">
        <v>17</v>
      </c>
      <c r="J11" s="8" t="s">
        <v>1</v>
      </c>
      <c r="L11" s="77"/>
      <c r="M11" s="78"/>
      <c r="N11" s="78"/>
      <c r="O11" s="79"/>
    </row>
    <row r="12" spans="1:20" ht="24.95" customHeight="1" thickBot="1">
      <c r="A12" s="37">
        <v>0</v>
      </c>
      <c r="B12" s="38">
        <v>0.5</v>
      </c>
      <c r="C12" s="68">
        <v>0.82</v>
      </c>
      <c r="D12" s="11">
        <v>2.5000000000000001E-2</v>
      </c>
      <c r="E12" s="10">
        <v>0.1</v>
      </c>
      <c r="F12" s="10">
        <v>1</v>
      </c>
      <c r="G12" s="10">
        <f>((NORMSINV(1-D12)+NORMSINV(1-E12))^2*C12^2*((F12+1)/F12)/((A12-B12)^2))</f>
        <v>56.521530132101368</v>
      </c>
      <c r="H12" s="18">
        <f>ROUNDUP(G12,0)</f>
        <v>57</v>
      </c>
      <c r="I12" s="10">
        <v>0.2</v>
      </c>
      <c r="J12" s="25">
        <f>ROUNDUP(H12/(1-I12),0)</f>
        <v>72</v>
      </c>
      <c r="L12" s="80"/>
      <c r="M12" s="81"/>
      <c r="N12" s="81"/>
      <c r="O12" s="82"/>
    </row>
    <row r="13" spans="1:20" ht="15.75" thickBot="1"/>
    <row r="14" spans="1:20" ht="24.95" customHeight="1">
      <c r="A14" s="3" t="s">
        <v>19</v>
      </c>
      <c r="B14" s="4"/>
      <c r="C14" s="4"/>
      <c r="D14" s="4"/>
      <c r="E14" s="4"/>
      <c r="F14" s="4"/>
      <c r="G14" s="4"/>
      <c r="H14" s="4"/>
      <c r="I14" s="4"/>
      <c r="J14" s="5"/>
      <c r="L14" s="74"/>
      <c r="M14" s="75"/>
      <c r="N14" s="75"/>
      <c r="O14" s="76"/>
    </row>
    <row r="15" spans="1:20" ht="24.95" customHeight="1">
      <c r="A15" s="6" t="s">
        <v>30</v>
      </c>
      <c r="B15" s="7" t="s">
        <v>10</v>
      </c>
      <c r="C15" s="7" t="s">
        <v>20</v>
      </c>
      <c r="D15" s="7" t="s">
        <v>12</v>
      </c>
      <c r="E15" s="7" t="s">
        <v>13</v>
      </c>
      <c r="F15" s="7" t="s">
        <v>15</v>
      </c>
      <c r="G15" s="7" t="s">
        <v>43</v>
      </c>
      <c r="H15" s="26" t="s">
        <v>44</v>
      </c>
      <c r="I15" s="7" t="s">
        <v>17</v>
      </c>
      <c r="J15" s="8" t="s">
        <v>1</v>
      </c>
      <c r="L15" s="77"/>
      <c r="M15" s="78"/>
      <c r="N15" s="78"/>
      <c r="O15" s="79"/>
    </row>
    <row r="16" spans="1:20" ht="24.95" customHeight="1" thickBot="1">
      <c r="A16" s="9">
        <v>0</v>
      </c>
      <c r="B16" s="10">
        <v>0.121</v>
      </c>
      <c r="C16" s="10">
        <v>0.8</v>
      </c>
      <c r="D16" s="11">
        <v>2.5000000000000001E-2</v>
      </c>
      <c r="E16" s="10">
        <v>0.2</v>
      </c>
      <c r="F16" s="10">
        <v>1</v>
      </c>
      <c r="G16" s="10">
        <f>((NORMSINV(1-D16)+NORMSINV(1-E16))^2*C16*(1-C16))/((A16-B16)^2)</f>
        <v>85.774247489642377</v>
      </c>
      <c r="H16" s="18">
        <f>ROUNDUP(G16,0)</f>
        <v>86</v>
      </c>
      <c r="I16" s="10">
        <v>0.1</v>
      </c>
      <c r="J16" s="25">
        <f>ROUNDUP(H16/(1-I16),0)</f>
        <v>96</v>
      </c>
      <c r="L16" s="80"/>
      <c r="M16" s="81"/>
      <c r="N16" s="81"/>
      <c r="O16" s="82"/>
    </row>
    <row r="17" spans="1:23" ht="24.95" customHeight="1" thickBot="1"/>
    <row r="18" spans="1:23" ht="24.95" customHeight="1">
      <c r="A18" s="3" t="s">
        <v>21</v>
      </c>
      <c r="B18" s="4"/>
      <c r="C18" s="4"/>
      <c r="D18" s="4"/>
      <c r="E18" s="4"/>
      <c r="F18" s="4"/>
      <c r="G18" s="4"/>
      <c r="H18" s="4"/>
      <c r="I18" s="4"/>
      <c r="J18" s="5"/>
      <c r="L18" s="74"/>
      <c r="M18" s="75"/>
      <c r="N18" s="75"/>
      <c r="O18" s="76"/>
    </row>
    <row r="19" spans="1:23" ht="24.95" customHeight="1">
      <c r="A19" s="6" t="s">
        <v>31</v>
      </c>
      <c r="B19" s="7" t="s">
        <v>10</v>
      </c>
      <c r="C19" s="7" t="s">
        <v>22</v>
      </c>
      <c r="D19" s="7" t="s">
        <v>4</v>
      </c>
      <c r="E19" s="7" t="s">
        <v>12</v>
      </c>
      <c r="F19" s="7" t="s">
        <v>13</v>
      </c>
      <c r="G19" s="7" t="s">
        <v>43</v>
      </c>
      <c r="H19" s="26" t="s">
        <v>44</v>
      </c>
      <c r="I19" s="7" t="s">
        <v>17</v>
      </c>
      <c r="J19" s="8" t="s">
        <v>1</v>
      </c>
      <c r="L19" s="77"/>
      <c r="M19" s="78"/>
      <c r="N19" s="78"/>
      <c r="O19" s="79"/>
    </row>
    <row r="20" spans="1:23" ht="24.95" customHeight="1" thickBot="1">
      <c r="A20" s="9">
        <v>0.27800000000000002</v>
      </c>
      <c r="B20" s="10">
        <v>0</v>
      </c>
      <c r="C20" s="10">
        <v>0.41649999999999998</v>
      </c>
      <c r="D20" s="43">
        <v>0.13850000000000001</v>
      </c>
      <c r="E20" s="11">
        <v>2.5000000000000001E-2</v>
      </c>
      <c r="F20" s="10">
        <v>0.2</v>
      </c>
      <c r="G20" s="10">
        <f>((NORMSINV(1-E20)+NORMSINV(1-F20))^2*(C20*(1-C20)+D20*(1-D20))/((A20-B20)^2))</f>
        <v>36.7994184020313</v>
      </c>
      <c r="H20" s="18">
        <f>ROUNDUP(G20,0)</f>
        <v>37</v>
      </c>
      <c r="I20" s="10">
        <v>0.15</v>
      </c>
      <c r="J20" s="25">
        <f>ROUNDUP(H20/(1-I20),0)</f>
        <v>44</v>
      </c>
      <c r="L20" s="80"/>
      <c r="M20" s="81"/>
      <c r="N20" s="81"/>
      <c r="O20" s="82"/>
    </row>
    <row r="21" spans="1:23" ht="15.75" thickBot="1">
      <c r="A21" s="1" t="s">
        <v>88</v>
      </c>
    </row>
    <row r="22" spans="1:23" ht="24.75" customHeight="1">
      <c r="A22" s="3" t="s">
        <v>8</v>
      </c>
      <c r="B22" s="4"/>
      <c r="C22" s="4"/>
      <c r="D22" s="4"/>
      <c r="E22" s="4"/>
      <c r="F22" s="4"/>
      <c r="G22" s="4"/>
      <c r="H22" s="4"/>
      <c r="I22" s="4"/>
      <c r="J22" s="5"/>
      <c r="L22" s="74"/>
      <c r="M22" s="75"/>
      <c r="N22" s="75"/>
      <c r="O22" s="76"/>
    </row>
    <row r="23" spans="1:23" ht="24.75" customHeight="1">
      <c r="A23" s="6" t="s">
        <v>29</v>
      </c>
      <c r="B23" s="7" t="s">
        <v>10</v>
      </c>
      <c r="C23" s="7" t="s">
        <v>11</v>
      </c>
      <c r="D23" s="7" t="s">
        <v>12</v>
      </c>
      <c r="E23" s="7" t="s">
        <v>13</v>
      </c>
      <c r="F23" s="7" t="s">
        <v>15</v>
      </c>
      <c r="G23" s="7" t="s">
        <v>43</v>
      </c>
      <c r="H23" s="26" t="s">
        <v>44</v>
      </c>
      <c r="I23" s="7" t="s">
        <v>17</v>
      </c>
      <c r="J23" s="8" t="s">
        <v>1</v>
      </c>
      <c r="L23" s="77"/>
      <c r="M23" s="78"/>
      <c r="N23" s="78"/>
      <c r="O23" s="79"/>
    </row>
    <row r="24" spans="1:23" ht="24.75" customHeight="1" thickBot="1">
      <c r="A24" s="9">
        <v>2</v>
      </c>
      <c r="B24" s="10">
        <v>0</v>
      </c>
      <c r="C24" s="10">
        <v>3.68</v>
      </c>
      <c r="D24" s="11">
        <v>2.5000000000000001E-2</v>
      </c>
      <c r="E24" s="11">
        <v>0.2</v>
      </c>
      <c r="F24" s="10">
        <v>1</v>
      </c>
      <c r="G24" s="10">
        <f>((NORMSINV(1-D24)+NORMSINV(1-E24))^2*C24^2/(2*((A24-B24)^2)))</f>
        <v>13.286583614306137</v>
      </c>
      <c r="H24" s="18">
        <f>ROUNDUP(G24,0)</f>
        <v>14</v>
      </c>
      <c r="I24" s="10">
        <v>0.1</v>
      </c>
      <c r="J24" s="25">
        <f>ROUNDUP(H24/(1-I24),0)</f>
        <v>16</v>
      </c>
      <c r="L24" s="80"/>
      <c r="M24" s="81"/>
      <c r="N24" s="81"/>
      <c r="O24" s="82"/>
    </row>
    <row r="25" spans="1:23" ht="15.75" thickBot="1"/>
    <row r="26" spans="1:23" ht="24.75" customHeight="1">
      <c r="A26" s="22" t="s">
        <v>64</v>
      </c>
      <c r="B26" s="12" t="s">
        <v>23</v>
      </c>
      <c r="C26" s="12" t="s">
        <v>11</v>
      </c>
      <c r="D26" s="12" t="s">
        <v>32</v>
      </c>
      <c r="E26" s="12" t="s">
        <v>2</v>
      </c>
      <c r="F26" s="12" t="s">
        <v>3</v>
      </c>
      <c r="G26" s="13" t="s">
        <v>5</v>
      </c>
      <c r="H26" s="24"/>
      <c r="L26" s="74"/>
      <c r="M26" s="75"/>
      <c r="N26" s="75"/>
      <c r="O26" s="76"/>
    </row>
    <row r="27" spans="1:23" ht="24.75" customHeight="1">
      <c r="A27" s="14" t="s">
        <v>6</v>
      </c>
      <c r="B27" s="15">
        <v>60</v>
      </c>
      <c r="C27" s="71">
        <v>0.82</v>
      </c>
      <c r="D27" s="16">
        <v>-1.33</v>
      </c>
      <c r="E27" s="16">
        <f>ROUND(D27-1.96*C27/SQRT(B27),2)</f>
        <v>-1.54</v>
      </c>
      <c r="F27" s="16">
        <f>ROUND(D27+1.96*C27/SQRT(B27),2)</f>
        <v>-1.1200000000000001</v>
      </c>
      <c r="G27" s="17" t="str">
        <f>"[ "&amp;E27&amp;","&amp;F27&amp;" ]"</f>
        <v>[ -1.54,-1.12 ]</v>
      </c>
      <c r="H27" s="23"/>
      <c r="L27" s="77"/>
      <c r="M27" s="78"/>
      <c r="N27" s="78"/>
      <c r="O27" s="79"/>
    </row>
    <row r="28" spans="1:23" ht="24.75" customHeight="1" thickBot="1">
      <c r="A28" s="9" t="s">
        <v>7</v>
      </c>
      <c r="B28" s="18">
        <v>5</v>
      </c>
      <c r="C28" s="10">
        <v>0.52</v>
      </c>
      <c r="D28" s="10">
        <v>1.6</v>
      </c>
      <c r="E28" s="71">
        <f>ROUND(D28-1.96*C28/SQRT(B28),2)</f>
        <v>1.1399999999999999</v>
      </c>
      <c r="F28" s="10">
        <f>ROUND(D28+1.96*C28/SQRT(B28),2)</f>
        <v>2.06</v>
      </c>
      <c r="G28" s="19" t="str">
        <f>"[ "&amp;E28&amp;","&amp;F28&amp;" ]"</f>
        <v>[ 1.14,2.06 ]</v>
      </c>
      <c r="H28" s="23"/>
      <c r="L28" s="80"/>
      <c r="M28" s="81"/>
      <c r="N28" s="81"/>
      <c r="O28" s="82"/>
    </row>
    <row r="29" spans="1:23" ht="15.75" thickBot="1"/>
    <row r="30" spans="1:23" ht="24.75" customHeight="1">
      <c r="A30" s="22" t="s">
        <v>65</v>
      </c>
      <c r="B30" s="12" t="s">
        <v>60</v>
      </c>
      <c r="C30" s="12" t="s">
        <v>25</v>
      </c>
      <c r="D30" s="12" t="s">
        <v>11</v>
      </c>
      <c r="E30" s="12" t="s">
        <v>61</v>
      </c>
      <c r="F30" s="12" t="s">
        <v>62</v>
      </c>
      <c r="G30" s="12" t="s">
        <v>63</v>
      </c>
      <c r="H30" s="12" t="s">
        <v>2</v>
      </c>
      <c r="I30" s="12" t="s">
        <v>3</v>
      </c>
      <c r="J30" s="13" t="s">
        <v>5</v>
      </c>
      <c r="K30" s="2"/>
      <c r="L30" s="2"/>
      <c r="O30" s="45"/>
      <c r="P30" s="45"/>
      <c r="Q30" s="45"/>
      <c r="R30" s="45"/>
      <c r="T30" s="46"/>
      <c r="U30" s="46"/>
      <c r="V30" s="46"/>
      <c r="W30" s="46"/>
    </row>
    <row r="31" spans="1:23" ht="24.75" customHeight="1">
      <c r="A31" s="39" t="s">
        <v>6</v>
      </c>
      <c r="B31" s="15">
        <v>39</v>
      </c>
      <c r="C31" s="15">
        <v>39</v>
      </c>
      <c r="D31" s="40">
        <f>SQRT((E31*(1-E31)/B31)+(F31*(1-F31)/C31))</f>
        <v>7.2053399001659232E-2</v>
      </c>
      <c r="E31" s="40">
        <v>0.76919999999999999</v>
      </c>
      <c r="F31" s="40">
        <v>2.5600000000000001E-2</v>
      </c>
      <c r="G31" s="40">
        <f>E31-F31</f>
        <v>0.74360000000000004</v>
      </c>
      <c r="H31" s="40">
        <f>ROUND(G31-1.96*D31,4)</f>
        <v>0.60240000000000005</v>
      </c>
      <c r="I31" s="40">
        <f>ROUND(G31+1.96*D31,2)</f>
        <v>0.88</v>
      </c>
      <c r="J31" s="41" t="str">
        <f>"[ "&amp;H31&amp;","&amp;I31&amp;" ]"</f>
        <v>[ 0.6024,0.88 ]</v>
      </c>
      <c r="K31" s="2"/>
      <c r="L31" s="2"/>
      <c r="O31" s="45"/>
      <c r="P31" s="45"/>
      <c r="Q31" s="45"/>
      <c r="R31" s="45"/>
      <c r="T31" s="46"/>
      <c r="U31" s="46"/>
      <c r="V31" s="46"/>
      <c r="W31" s="46"/>
    </row>
    <row r="32" spans="1:23" ht="24.75" customHeight="1" thickBot="1">
      <c r="A32" s="42" t="s">
        <v>7</v>
      </c>
      <c r="B32" s="18">
        <v>68</v>
      </c>
      <c r="C32" s="18">
        <v>161</v>
      </c>
      <c r="D32" s="43">
        <f>SQRT((E32*(1-E32)/B32)+(F32*(1-F32)/C32))</f>
        <v>3.9407374645751121E-2</v>
      </c>
      <c r="E32" s="43">
        <v>0.88</v>
      </c>
      <c r="F32" s="70">
        <v>0</v>
      </c>
      <c r="G32" s="43">
        <f>E32-F32</f>
        <v>0.88</v>
      </c>
      <c r="H32" s="43">
        <f>ROUND(G32-1.96*D32,2)</f>
        <v>0.8</v>
      </c>
      <c r="I32" s="43">
        <f>ROUND(G32+1.96*D32,2)</f>
        <v>0.96</v>
      </c>
      <c r="J32" s="44" t="str">
        <f>"[ "&amp;H32&amp;","&amp;I32&amp;" ]"</f>
        <v>[ 0.8,0.96 ]</v>
      </c>
      <c r="K32" s="2"/>
      <c r="L32" s="2"/>
      <c r="O32" s="45"/>
      <c r="P32" s="45"/>
      <c r="Q32" s="45"/>
      <c r="R32" s="45"/>
      <c r="T32" s="46"/>
      <c r="U32" s="46"/>
      <c r="V32" s="46"/>
      <c r="W32" s="46"/>
    </row>
    <row r="33" spans="1:19" ht="18" customHeight="1" thickBot="1"/>
    <row r="34" spans="1:19" ht="24.75" customHeight="1">
      <c r="A34" s="3" t="s">
        <v>51</v>
      </c>
      <c r="B34" s="4"/>
      <c r="C34" s="4"/>
      <c r="D34" s="4"/>
      <c r="E34" s="4"/>
      <c r="F34" s="4"/>
      <c r="G34" s="4"/>
      <c r="H34" s="5"/>
      <c r="I34" s="1"/>
      <c r="L34" s="83" t="s">
        <v>54</v>
      </c>
      <c r="M34" s="75"/>
      <c r="N34" s="75"/>
      <c r="O34" s="76"/>
    </row>
    <row r="35" spans="1:19" ht="24.75" customHeight="1">
      <c r="A35" s="6" t="s">
        <v>29</v>
      </c>
      <c r="B35" s="7" t="s">
        <v>52</v>
      </c>
      <c r="C35" s="7" t="s">
        <v>55</v>
      </c>
      <c r="D35" s="7" t="s">
        <v>12</v>
      </c>
      <c r="E35" s="7" t="s">
        <v>43</v>
      </c>
      <c r="F35" s="26" t="s">
        <v>53</v>
      </c>
      <c r="G35" s="7" t="s">
        <v>0</v>
      </c>
      <c r="H35" s="8" t="s">
        <v>1</v>
      </c>
      <c r="I35" s="1"/>
      <c r="L35" s="77"/>
      <c r="M35" s="78"/>
      <c r="N35" s="78"/>
      <c r="O35" s="79"/>
      <c r="P35"/>
    </row>
    <row r="36" spans="1:19" ht="24.75" customHeight="1" thickBot="1">
      <c r="A36" s="34">
        <v>9.7000000000000003E-2</v>
      </c>
      <c r="B36" s="31">
        <v>0.77</v>
      </c>
      <c r="C36" s="30">
        <v>0</v>
      </c>
      <c r="D36" s="11">
        <v>2.5000000000000001E-2</v>
      </c>
      <c r="E36" s="30">
        <f>((NORMSINV(1-D36))^2*B36*(1-B36)/A36^2)</f>
        <v>72.305490184390436</v>
      </c>
      <c r="F36" s="18">
        <f>ROUNDUP(E36,0)</f>
        <v>73</v>
      </c>
      <c r="G36" s="30">
        <v>0.1</v>
      </c>
      <c r="H36" s="25">
        <f>ROUNDUP(F36/(1-G36),0)</f>
        <v>82</v>
      </c>
      <c r="I36" s="1">
        <f>40/0.9</f>
        <v>44.444444444444443</v>
      </c>
      <c r="L36" s="80"/>
      <c r="M36" s="81"/>
      <c r="N36" s="81"/>
      <c r="O36" s="82"/>
    </row>
    <row r="37" spans="1:19" ht="15.75" thickBot="1"/>
    <row r="38" spans="1:19" ht="24.6" customHeight="1">
      <c r="A38" s="3" t="s">
        <v>56</v>
      </c>
      <c r="B38" s="4"/>
      <c r="C38" s="4"/>
      <c r="D38" s="4"/>
      <c r="E38" s="4"/>
      <c r="F38" s="4"/>
      <c r="G38" s="4"/>
      <c r="H38" s="4"/>
      <c r="I38" s="5"/>
      <c r="L38" s="74"/>
      <c r="M38" s="75"/>
      <c r="N38" s="75"/>
      <c r="O38" s="76"/>
    </row>
    <row r="39" spans="1:19" ht="24.6" customHeight="1">
      <c r="A39" s="6" t="s">
        <v>29</v>
      </c>
      <c r="B39" s="7" t="s">
        <v>52</v>
      </c>
      <c r="C39" s="7" t="s">
        <v>58</v>
      </c>
      <c r="D39" s="7" t="s">
        <v>12</v>
      </c>
      <c r="E39" s="7" t="s">
        <v>13</v>
      </c>
      <c r="F39" s="7" t="s">
        <v>43</v>
      </c>
      <c r="G39" s="26" t="s">
        <v>57</v>
      </c>
      <c r="H39" s="7" t="s">
        <v>0</v>
      </c>
      <c r="I39" s="8" t="s">
        <v>1</v>
      </c>
      <c r="L39" s="77"/>
      <c r="M39" s="78"/>
      <c r="N39" s="78"/>
      <c r="O39" s="79"/>
      <c r="P39"/>
    </row>
    <row r="40" spans="1:19" ht="24.6" customHeight="1" thickBot="1">
      <c r="A40" s="35">
        <v>0.1</v>
      </c>
      <c r="B40" s="69">
        <v>0.75</v>
      </c>
      <c r="C40" s="36">
        <v>0.85</v>
      </c>
      <c r="D40" s="11">
        <v>2.5000000000000001E-2</v>
      </c>
      <c r="E40" s="11">
        <v>0.2</v>
      </c>
      <c r="F40" s="36">
        <f>((NORMSINV(1-D40)+NORMSINV(1-E40))^2*B40*(1-B40))/((B40-C40)^2)</f>
        <v>147.16649501904547</v>
      </c>
      <c r="G40" s="18">
        <f>ROUNDUP(F40,0)</f>
        <v>148</v>
      </c>
      <c r="H40" s="36">
        <v>0.05</v>
      </c>
      <c r="I40" s="25">
        <f>ROUNDUP(G40/(1-H40),0)</f>
        <v>156</v>
      </c>
      <c r="L40" s="80"/>
      <c r="M40" s="81"/>
      <c r="N40" s="81"/>
      <c r="O40" s="82"/>
    </row>
    <row r="41" spans="1:19" ht="15.75" thickBot="1"/>
    <row r="42" spans="1:19" ht="24.6" customHeight="1">
      <c r="A42" s="3" t="s">
        <v>81</v>
      </c>
      <c r="B42" s="4"/>
      <c r="C42" s="4"/>
      <c r="D42" s="4"/>
      <c r="E42" s="4"/>
      <c r="F42" s="4"/>
      <c r="G42" s="4"/>
      <c r="H42" s="5"/>
      <c r="L42" s="57"/>
      <c r="M42" s="58"/>
      <c r="N42" s="58"/>
      <c r="O42" s="59"/>
      <c r="Q42" s="57"/>
      <c r="R42" s="58"/>
      <c r="S42" s="59"/>
    </row>
    <row r="43" spans="1:19" ht="21" customHeight="1">
      <c r="A43" s="6" t="s">
        <v>29</v>
      </c>
      <c r="B43" s="7" t="s">
        <v>52</v>
      </c>
      <c r="C43" s="7" t="s">
        <v>82</v>
      </c>
      <c r="D43" s="7" t="s">
        <v>12</v>
      </c>
      <c r="E43" s="7" t="s">
        <v>43</v>
      </c>
      <c r="F43" s="26" t="s">
        <v>53</v>
      </c>
      <c r="G43" s="7" t="s">
        <v>0</v>
      </c>
      <c r="H43" s="8" t="s">
        <v>1</v>
      </c>
      <c r="L43" s="60"/>
      <c r="M43" s="61"/>
      <c r="N43" s="61"/>
      <c r="O43" s="62"/>
      <c r="Q43" s="60"/>
      <c r="R43" s="61"/>
      <c r="S43" s="62"/>
    </row>
    <row r="44" spans="1:19" ht="21" customHeight="1" thickBot="1">
      <c r="A44" s="34">
        <v>0.03</v>
      </c>
      <c r="B44" s="31">
        <v>0.99</v>
      </c>
      <c r="C44" s="56">
        <v>0.1</v>
      </c>
      <c r="D44" s="11">
        <v>2.5000000000000001E-2</v>
      </c>
      <c r="E44" s="56">
        <f>((NORMSINV(1-D44))^2*B44*(1-B44)/((A44^2)*(1-C44)))</f>
        <v>46.95116336403936</v>
      </c>
      <c r="F44" s="18">
        <f>ROUNDUP(E44,0)</f>
        <v>47</v>
      </c>
      <c r="G44" s="56">
        <v>0.1</v>
      </c>
      <c r="H44" s="25">
        <f>ROUNDUP(F44/(1-G44),0)</f>
        <v>53</v>
      </c>
      <c r="L44" s="63"/>
      <c r="M44" s="64"/>
      <c r="N44" s="64"/>
      <c r="O44" s="65"/>
      <c r="Q44" s="63"/>
      <c r="R44" s="64"/>
      <c r="S44" s="65"/>
    </row>
    <row r="45" spans="1:19" ht="15.75" thickBot="1"/>
    <row r="46" spans="1:19" ht="24" customHeight="1">
      <c r="A46" s="22" t="s">
        <v>71</v>
      </c>
      <c r="B46" s="12" t="s">
        <v>9</v>
      </c>
      <c r="C46" s="12" t="s">
        <v>25</v>
      </c>
      <c r="D46" s="12" t="s">
        <v>66</v>
      </c>
      <c r="E46" s="12" t="s">
        <v>67</v>
      </c>
      <c r="F46" s="12" t="s">
        <v>72</v>
      </c>
      <c r="G46" s="13" t="s">
        <v>68</v>
      </c>
      <c r="I46" s="1"/>
    </row>
    <row r="47" spans="1:19" ht="24" customHeight="1">
      <c r="A47" s="52" t="s">
        <v>69</v>
      </c>
      <c r="B47" s="15">
        <v>86</v>
      </c>
      <c r="C47" s="15">
        <v>18</v>
      </c>
      <c r="D47" s="48">
        <v>40.57</v>
      </c>
      <c r="E47" s="48">
        <v>31.48</v>
      </c>
      <c r="F47" s="48">
        <f>D47-E47</f>
        <v>9.09</v>
      </c>
      <c r="G47" s="49">
        <f>(B47*D47+C47*E47)/(B47+C47)</f>
        <v>38.996730769230766</v>
      </c>
      <c r="I47" s="1"/>
    </row>
    <row r="48" spans="1:19" ht="24" customHeight="1" thickBot="1">
      <c r="A48" s="53" t="s">
        <v>70</v>
      </c>
      <c r="B48" s="18">
        <v>135</v>
      </c>
      <c r="C48" s="18">
        <v>33</v>
      </c>
      <c r="D48" s="50">
        <v>54.14</v>
      </c>
      <c r="E48" s="50">
        <v>56.59</v>
      </c>
      <c r="F48" s="50">
        <f>D48-E48</f>
        <v>-2.4500000000000028</v>
      </c>
      <c r="G48" s="51">
        <f>(B48*D48+C48*E48)/(B48+C48)</f>
        <v>54.621249999999996</v>
      </c>
      <c r="J48" s="2"/>
    </row>
    <row r="49" spans="1:20" ht="15.75" thickBot="1"/>
    <row r="50" spans="1:20" ht="24.75" customHeight="1">
      <c r="A50" s="22" t="s">
        <v>24</v>
      </c>
      <c r="B50" s="12" t="s">
        <v>9</v>
      </c>
      <c r="C50" s="12" t="s">
        <v>25</v>
      </c>
      <c r="D50" s="12" t="s">
        <v>14</v>
      </c>
      <c r="E50" s="12" t="s">
        <v>26</v>
      </c>
      <c r="F50" s="12" t="s">
        <v>27</v>
      </c>
      <c r="G50" s="12" t="s">
        <v>45</v>
      </c>
      <c r="H50" s="13" t="s">
        <v>46</v>
      </c>
      <c r="I50" s="1"/>
      <c r="L50" s="74"/>
      <c r="M50" s="75"/>
      <c r="N50" s="75"/>
      <c r="O50" s="76"/>
      <c r="Q50" s="74"/>
      <c r="R50" s="75"/>
      <c r="S50" s="75"/>
      <c r="T50" s="76"/>
    </row>
    <row r="51" spans="1:20" ht="24.75" customHeight="1">
      <c r="A51" s="6" t="s">
        <v>41</v>
      </c>
      <c r="B51" s="15">
        <v>22</v>
      </c>
      <c r="C51" s="15">
        <v>22</v>
      </c>
      <c r="D51" s="16" t="s">
        <v>28</v>
      </c>
      <c r="E51" s="16">
        <v>1.24</v>
      </c>
      <c r="F51" s="33">
        <v>0.97</v>
      </c>
      <c r="G51" s="16">
        <f>SQRT(((B51-1)*E51^2+(C51-1)*F51^2)/(B51+C51-2))</f>
        <v>1.1132160616879367</v>
      </c>
      <c r="H51" s="17">
        <f>G51^2</f>
        <v>1.2392500000000002</v>
      </c>
      <c r="I51" s="1"/>
      <c r="L51" s="77"/>
      <c r="M51" s="78"/>
      <c r="N51" s="78"/>
      <c r="O51" s="79"/>
      <c r="Q51" s="77"/>
      <c r="R51" s="78"/>
      <c r="S51" s="78"/>
      <c r="T51" s="79"/>
    </row>
    <row r="52" spans="1:20" ht="24.75" customHeight="1" thickBot="1">
      <c r="A52" s="21" t="s">
        <v>42</v>
      </c>
      <c r="B52" s="18" t="s">
        <v>28</v>
      </c>
      <c r="C52" s="18" t="s">
        <v>28</v>
      </c>
      <c r="D52" s="10">
        <v>0.5</v>
      </c>
      <c r="E52" s="10">
        <v>1.18</v>
      </c>
      <c r="F52" s="10">
        <v>0.91</v>
      </c>
      <c r="G52" s="10">
        <f>SQRT(E52^2+F52^2-2*D52*E52*F52)</f>
        <v>1.0708407911543152</v>
      </c>
      <c r="H52" s="20">
        <f>G52^2</f>
        <v>1.1466999999999996</v>
      </c>
      <c r="I52" s="1"/>
      <c r="L52" s="80"/>
      <c r="M52" s="81"/>
      <c r="N52" s="81"/>
      <c r="O52" s="82"/>
      <c r="Q52" s="80"/>
      <c r="R52" s="81"/>
      <c r="S52" s="81"/>
      <c r="T52" s="82"/>
    </row>
    <row r="53" spans="1:20" ht="15.75" thickBot="1"/>
    <row r="54" spans="1:20" ht="24.75" customHeight="1" thickBot="1">
      <c r="L54" s="84" t="s">
        <v>38</v>
      </c>
      <c r="M54" s="85"/>
      <c r="N54" s="85"/>
      <c r="O54" s="86"/>
      <c r="Q54" s="87" t="s">
        <v>39</v>
      </c>
      <c r="R54" s="88"/>
      <c r="S54" s="88"/>
      <c r="T54" s="89"/>
    </row>
    <row r="55" spans="1:20" ht="15.75" thickBot="1">
      <c r="B55" s="1"/>
      <c r="C55" s="1"/>
      <c r="D55" s="1"/>
      <c r="E55" s="1"/>
      <c r="F55" s="1"/>
      <c r="G55" s="1"/>
    </row>
    <row r="56" spans="1:20" ht="18" customHeight="1">
      <c r="A56" s="22" t="s">
        <v>87</v>
      </c>
      <c r="B56" s="12" t="s">
        <v>23</v>
      </c>
      <c r="C56" s="12" t="s">
        <v>0</v>
      </c>
      <c r="D56" s="12" t="s">
        <v>85</v>
      </c>
      <c r="E56" s="13" t="s">
        <v>86</v>
      </c>
      <c r="F56" s="1"/>
      <c r="G56" s="1"/>
    </row>
    <row r="57" spans="1:20" ht="16.5">
      <c r="A57" s="52" t="s">
        <v>83</v>
      </c>
      <c r="B57" s="15">
        <v>56.52</v>
      </c>
      <c r="C57" s="72">
        <v>0.2</v>
      </c>
      <c r="D57" s="55">
        <f>B57/(1-C57)</f>
        <v>70.650000000000006</v>
      </c>
      <c r="E57" s="66">
        <f>ROUNDUP(D57,0)</f>
        <v>71</v>
      </c>
      <c r="F57" s="1"/>
      <c r="G57" s="1"/>
    </row>
    <row r="58" spans="1:20" ht="17.25" thickBot="1">
      <c r="A58" s="53" t="s">
        <v>84</v>
      </c>
      <c r="B58" s="18">
        <v>262.31</v>
      </c>
      <c r="C58" s="56">
        <v>0.2</v>
      </c>
      <c r="D58" s="56">
        <f>B58/(1-C58)</f>
        <v>327.88749999999999</v>
      </c>
      <c r="E58" s="29">
        <f>ROUNDUP(D58,0)</f>
        <v>328</v>
      </c>
      <c r="F58" s="1"/>
      <c r="G58" s="1"/>
    </row>
    <row r="59" spans="1:20">
      <c r="B59" s="1"/>
      <c r="C59" s="1"/>
      <c r="D59" s="1"/>
      <c r="E59" s="1"/>
      <c r="F59" s="1"/>
      <c r="G59" s="1"/>
    </row>
    <row r="60" spans="1:20">
      <c r="B60" s="1"/>
      <c r="C60" s="1"/>
      <c r="D60" s="1"/>
      <c r="E60" s="1"/>
      <c r="F60" s="1"/>
      <c r="G60" s="1"/>
    </row>
    <row r="61" spans="1:20">
      <c r="B61" s="2" t="s">
        <v>73</v>
      </c>
      <c r="C61" s="2" t="s">
        <v>74</v>
      </c>
      <c r="D61" s="2" t="s">
        <v>75</v>
      </c>
      <c r="F61" s="2" t="s">
        <v>89</v>
      </c>
      <c r="G61" s="2" t="s">
        <v>90</v>
      </c>
      <c r="H61" s="2" t="s">
        <v>91</v>
      </c>
      <c r="I61" s="2" t="s">
        <v>92</v>
      </c>
    </row>
    <row r="62" spans="1:20">
      <c r="A62" s="1" t="s">
        <v>76</v>
      </c>
      <c r="B62" s="2">
        <v>0.47</v>
      </c>
      <c r="C62" s="2">
        <v>1101</v>
      </c>
      <c r="D62" s="2">
        <f>(((C62-1)*B62^2+(C63-1)*B63^2+(C64-1)*B64^2)/(C62+C63+C64-3))^0.5</f>
        <v>0.44402834585790335</v>
      </c>
      <c r="F62" s="2">
        <v>8.5239999999999991</v>
      </c>
      <c r="G62" s="2">
        <v>9.7620000000000005</v>
      </c>
      <c r="H62" s="2">
        <v>4.9210000000000003</v>
      </c>
      <c r="I62" s="2">
        <f>(F62^2+G62^2-H62^2)/(2*F62*G62)</f>
        <v>0.86369879889372703</v>
      </c>
    </row>
    <row r="63" spans="1:20">
      <c r="A63" s="1" t="s">
        <v>77</v>
      </c>
      <c r="B63" s="2">
        <v>0.38</v>
      </c>
      <c r="C63" s="2">
        <v>353</v>
      </c>
      <c r="F63" s="2">
        <v>20.82</v>
      </c>
      <c r="G63" s="2">
        <v>21.62</v>
      </c>
      <c r="H63" s="2">
        <v>6.3</v>
      </c>
      <c r="I63" s="2">
        <f>(F63^2+G63^2-H63^2)/(2*F63*G63)</f>
        <v>0.95662348787590379</v>
      </c>
    </row>
    <row r="64" spans="1:20">
      <c r="A64" s="1" t="s">
        <v>78</v>
      </c>
      <c r="B64" s="2">
        <v>0.35</v>
      </c>
      <c r="C64" s="2">
        <v>102</v>
      </c>
    </row>
    <row r="65" spans="2:3">
      <c r="B65" s="2" t="s">
        <v>79</v>
      </c>
      <c r="C65" s="2" t="s">
        <v>80</v>
      </c>
    </row>
    <row r="66" spans="2:3">
      <c r="B66" s="2">
        <v>1.17E-2</v>
      </c>
      <c r="C66" s="54">
        <f>B66^0.5</f>
        <v>0.10816653826391968</v>
      </c>
    </row>
    <row r="67" spans="2:3">
      <c r="B67" s="2">
        <v>1.15E-2</v>
      </c>
      <c r="C67" s="54">
        <f>B67^0.5</f>
        <v>0.10723805294763608</v>
      </c>
    </row>
  </sheetData>
  <mergeCells count="15">
    <mergeCell ref="A1:B1"/>
    <mergeCell ref="L38:O40"/>
    <mergeCell ref="L34:O36"/>
    <mergeCell ref="L54:O54"/>
    <mergeCell ref="Q54:T54"/>
    <mergeCell ref="A3:A4"/>
    <mergeCell ref="L3:T4"/>
    <mergeCell ref="L18:O20"/>
    <mergeCell ref="L22:O24"/>
    <mergeCell ref="L26:O28"/>
    <mergeCell ref="L50:O52"/>
    <mergeCell ref="Q50:T52"/>
    <mergeCell ref="L6:O8"/>
    <mergeCell ref="L10:O12"/>
    <mergeCell ref="L14:O16"/>
  </mergeCells>
  <phoneticPr fontId="1" type="noConversion"/>
  <pageMargins left="0.7" right="0.7" top="0.75" bottom="0.75" header="0.3" footer="0.3"/>
  <pageSetup paperSize="9" scale="59" orientation="portrait" r:id="rId1"/>
  <rowBreaks count="1" manualBreakCount="1">
    <brk id="28" max="16383" man="1"/>
  </rowBreaks>
  <colBreaks count="1" manualBreakCount="1">
    <brk id="10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Stat Work 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SooYoung(BS)</cp:lastModifiedBy>
  <cp:lastPrinted>2016-11-10T01:34:18Z</cp:lastPrinted>
  <dcterms:created xsi:type="dcterms:W3CDTF">2014-07-15T04:27:17Z</dcterms:created>
  <dcterms:modified xsi:type="dcterms:W3CDTF">2019-09-13T11:31:08Z</dcterms:modified>
</cp:coreProperties>
</file>