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ftwares\"/>
    </mc:Choice>
  </mc:AlternateContent>
  <bookViews>
    <workbookView xWindow="0" yWindow="0" windowWidth="19200" windowHeight="7050"/>
  </bookViews>
  <sheets>
    <sheet name="Time-phased" sheetId="5" r:id="rId1"/>
    <sheet name="Cost-Estimation-phased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5" l="1"/>
  <c r="C26" i="5"/>
  <c r="C12" i="7"/>
  <c r="C15" i="7" s="1"/>
  <c r="D12" i="7"/>
  <c r="E12" i="7"/>
  <c r="E15" i="7" s="1"/>
  <c r="F12" i="7"/>
  <c r="G12" i="7"/>
  <c r="H12" i="7"/>
  <c r="I12" i="7"/>
  <c r="I15" i="7" s="1"/>
  <c r="J12" i="7"/>
  <c r="J15" i="7" s="1"/>
  <c r="K12" i="7"/>
  <c r="K15" i="7" s="1"/>
  <c r="L12" i="7"/>
  <c r="M12" i="7"/>
  <c r="N12" i="7"/>
  <c r="O12" i="7"/>
  <c r="P12" i="7"/>
  <c r="Q12" i="7"/>
  <c r="Q15" i="7" s="1"/>
  <c r="R12" i="7"/>
  <c r="R15" i="7" s="1"/>
  <c r="S12" i="7"/>
  <c r="S15" i="7" s="1"/>
  <c r="B12" i="7"/>
  <c r="B15" i="7" s="1"/>
  <c r="N15" i="7"/>
  <c r="O15" i="7"/>
  <c r="P15" i="7"/>
  <c r="B26" i="7"/>
  <c r="M15" i="7"/>
  <c r="L15" i="7"/>
  <c r="H15" i="7"/>
  <c r="G15" i="7"/>
  <c r="F15" i="7"/>
  <c r="D15" i="7"/>
  <c r="T10" i="7"/>
  <c r="T9" i="7"/>
  <c r="T8" i="7"/>
  <c r="T11" i="7"/>
  <c r="T7" i="7"/>
  <c r="T6" i="7"/>
  <c r="T5" i="7"/>
  <c r="T4" i="7"/>
  <c r="T3" i="7"/>
  <c r="T2" i="7"/>
  <c r="L28" i="5"/>
  <c r="K28" i="5"/>
  <c r="J28" i="5"/>
  <c r="I28" i="5"/>
  <c r="H28" i="5"/>
  <c r="G28" i="5"/>
  <c r="F28" i="5"/>
  <c r="E28" i="5"/>
  <c r="D28" i="5"/>
  <c r="H9" i="5"/>
  <c r="L9" i="5"/>
  <c r="I9" i="5"/>
  <c r="J9" i="5"/>
  <c r="G6" i="5"/>
  <c r="D5" i="5"/>
  <c r="M5" i="5" s="1"/>
  <c r="C4" i="5"/>
  <c r="D4" i="5"/>
  <c r="L16" i="5"/>
  <c r="K16" i="5"/>
  <c r="J16" i="5"/>
  <c r="M16" i="5" s="1"/>
  <c r="L12" i="5"/>
  <c r="K12" i="5"/>
  <c r="M12" i="5" s="1"/>
  <c r="L11" i="5"/>
  <c r="K11" i="5"/>
  <c r="J11" i="5"/>
  <c r="L10" i="5"/>
  <c r="K10" i="5"/>
  <c r="J10" i="5"/>
  <c r="I10" i="5"/>
  <c r="H10" i="5"/>
  <c r="M10" i="5" s="1"/>
  <c r="G10" i="5"/>
  <c r="F10" i="5"/>
  <c r="L13" i="5"/>
  <c r="K13" i="5"/>
  <c r="J13" i="5"/>
  <c r="F9" i="5"/>
  <c r="E9" i="5"/>
  <c r="M8" i="5"/>
  <c r="L8" i="5"/>
  <c r="K8" i="5"/>
  <c r="H8" i="5"/>
  <c r="G8" i="5"/>
  <c r="K7" i="5"/>
  <c r="L22" i="5" s="1"/>
  <c r="J7" i="5"/>
  <c r="K22" i="5" s="1"/>
  <c r="G7" i="5"/>
  <c r="G22" i="5" s="1"/>
  <c r="F7" i="5"/>
  <c r="F22" i="5" s="1"/>
  <c r="F6" i="5"/>
  <c r="E6" i="5"/>
  <c r="E5" i="5"/>
  <c r="E26" i="5" s="1"/>
  <c r="T15" i="7" l="1"/>
  <c r="U10" i="7" s="1"/>
  <c r="M9" i="5"/>
  <c r="J26" i="5"/>
  <c r="M13" i="5"/>
  <c r="F26" i="5"/>
  <c r="H26" i="5"/>
  <c r="M4" i="5"/>
  <c r="M22" i="5"/>
  <c r="K26" i="5"/>
  <c r="L26" i="5"/>
  <c r="M11" i="5"/>
  <c r="I26" i="5"/>
  <c r="M6" i="5"/>
  <c r="G26" i="5"/>
  <c r="D26" i="5"/>
  <c r="M7" i="5"/>
  <c r="U8" i="7" l="1"/>
  <c r="U3" i="7"/>
  <c r="U7" i="7"/>
  <c r="B30" i="7"/>
  <c r="B32" i="7" s="1"/>
  <c r="U9" i="7"/>
  <c r="U4" i="7"/>
  <c r="U6" i="7"/>
  <c r="U5" i="7"/>
  <c r="U2" i="7"/>
  <c r="U11" i="7"/>
  <c r="M26" i="5"/>
  <c r="M28" i="5" s="1"/>
</calcChain>
</file>

<file path=xl/sharedStrings.xml><?xml version="1.0" encoding="utf-8"?>
<sst xmlns="http://schemas.openxmlformats.org/spreadsheetml/2006/main" count="75" uniqueCount="58">
  <si>
    <t>Technical Writer</t>
  </si>
  <si>
    <t>Reserves</t>
  </si>
  <si>
    <t xml:space="preserve">Software </t>
  </si>
  <si>
    <t>20% of all estimate</t>
  </si>
  <si>
    <t>Overhead Cost</t>
  </si>
  <si>
    <t>30% of development cost</t>
  </si>
  <si>
    <t>Budgeted Cost of Work Scheduled (BCWS)</t>
  </si>
  <si>
    <t>totals</t>
  </si>
  <si>
    <t>Totals</t>
  </si>
  <si>
    <t>Business Analyst</t>
  </si>
  <si>
    <t>Project Manager</t>
  </si>
  <si>
    <t xml:space="preserve">Programming challenges and competition </t>
  </si>
  <si>
    <t>Collaboration and project management tools</t>
  </si>
  <si>
    <t>Testing and quality assurance</t>
  </si>
  <si>
    <t>Deployment and Launch</t>
  </si>
  <si>
    <t>Totals # of days worked</t>
  </si>
  <si>
    <t>per day salary of employee ( pkr )</t>
  </si>
  <si>
    <t>Total salary according to work-days</t>
  </si>
  <si>
    <t>Work Breakdown Structure</t>
  </si>
  <si>
    <t>Initiation</t>
  </si>
  <si>
    <t>Requirement Gathering &amp; Analysis</t>
  </si>
  <si>
    <t>Design</t>
  </si>
  <si>
    <t>maintainance and support</t>
  </si>
  <si>
    <t>Information Security Analyst</t>
  </si>
  <si>
    <t>Total</t>
  </si>
  <si>
    <t>Devops Engineer</t>
  </si>
  <si>
    <t xml:space="preserve">Risk analyst </t>
  </si>
  <si>
    <t>Development and Integration</t>
  </si>
  <si>
    <t>Database Analyst</t>
  </si>
  <si>
    <t>UI/UX designer</t>
  </si>
  <si>
    <t>Front-end Developer</t>
  </si>
  <si>
    <t>Back-end Developer</t>
  </si>
  <si>
    <t>Software Analyst</t>
  </si>
  <si>
    <t>Softwarer Deployment (annualy)</t>
  </si>
  <si>
    <t>Procurement</t>
  </si>
  <si>
    <t>blood testing and screening device</t>
  </si>
  <si>
    <t>Closure Phase</t>
  </si>
  <si>
    <t>Software Engineer1</t>
  </si>
  <si>
    <t>Software Engineer2</t>
  </si>
  <si>
    <t>Software Engineer3</t>
  </si>
  <si>
    <t>Tester4</t>
  </si>
  <si>
    <t>Tester3</t>
  </si>
  <si>
    <t>Tester2</t>
  </si>
  <si>
    <t>Tester1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</si>
  <si>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</si>
  <si>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</si>
  <si>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</si>
  <si>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</si>
  <si>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</si>
  <si>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</si>
  <si>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</si>
  <si>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</si>
  <si>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</si>
  <si>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</si>
  <si>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Activities per Month</t>
  </si>
  <si>
    <t>Budgeted Monthly Cost</t>
  </si>
  <si>
    <t>%age of Salary Cost</t>
  </si>
  <si>
    <t>Software Deployment (annualy) - 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</si>
</sst>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PKR]\ * #,##0.00_);_([$PKR]\ * \(#,##0.00\);_([$PKR]\ 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 applyAlignment="1">
      <alignment horizontal="right"/>
    </xf>
    <xf numFmtId="9" fontId="0" fillId="0" borderId="0" xfId="1" applyFont="1"/>
    <xf numFmtId="0" fontId="0" fillId="3" borderId="3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164" fontId="0" fillId="0" borderId="1" xfId="0" applyNumberFormat="1" applyFont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164" fontId="0" fillId="0" borderId="1" xfId="0" applyNumberFormat="1" applyFont="1" applyBorder="1"/>
    <xf numFmtId="0" fontId="3" fillId="4" borderId="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8"/>
  <sheetViews>
    <sheetView tabSelected="1" topLeftCell="A5" zoomScale="89" zoomScaleNormal="90" workbookViewId="0">
      <selection activeCell="M29" sqref="M29"/>
    </sheetView>
  </sheetViews>
  <sheetFormatPr defaultRowHeight="14.5" x14ac:dyDescent="0.35"/>
  <cols>
    <col min="1" max="1" width="3.36328125" bestFit="1" customWidth="1"/>
    <col min="2" max="2" width="40.36328125" bestFit="1" customWidth="1"/>
    <col min="3" max="3" width="16.08984375" bestFit="1" customWidth="1"/>
    <col min="4" max="4" width="17.81640625" bestFit="1" customWidth="1"/>
    <col min="5" max="5" width="16.08984375" bestFit="1" customWidth="1"/>
    <col min="6" max="7" width="17.81640625" bestFit="1" customWidth="1"/>
    <col min="8" max="9" width="16.08984375" bestFit="1" customWidth="1"/>
    <col min="10" max="12" width="17.81640625" bestFit="1" customWidth="1"/>
    <col min="13" max="13" width="18.90625" bestFit="1" customWidth="1"/>
  </cols>
  <sheetData>
    <row r="2" spans="1:13" ht="18.5" x14ac:dyDescent="0.45">
      <c r="B2" s="17" t="s">
        <v>54</v>
      </c>
      <c r="C2" s="16" t="s">
        <v>55</v>
      </c>
      <c r="D2" s="16"/>
      <c r="E2" s="16"/>
      <c r="F2" s="16"/>
      <c r="G2" s="16"/>
      <c r="H2" s="16"/>
      <c r="I2" s="16"/>
      <c r="J2" s="16"/>
      <c r="K2" s="16"/>
      <c r="L2" s="16"/>
    </row>
    <row r="3" spans="1:13" ht="15.5" x14ac:dyDescent="0.35">
      <c r="B3" s="18"/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  <c r="L3" s="10" t="s">
        <v>53</v>
      </c>
      <c r="M3" s="10" t="s">
        <v>7</v>
      </c>
    </row>
    <row r="4" spans="1:13" x14ac:dyDescent="0.35">
      <c r="A4" s="13">
        <v>1</v>
      </c>
      <c r="B4" s="4" t="s">
        <v>19</v>
      </c>
      <c r="C4" s="7">
        <f>1143000*0.48</f>
        <v>548640</v>
      </c>
      <c r="D4" s="7">
        <f>1143000*0.52</f>
        <v>594360</v>
      </c>
      <c r="E4" s="11"/>
      <c r="F4" s="11"/>
      <c r="G4" s="7"/>
      <c r="H4" s="7"/>
      <c r="I4" s="7"/>
      <c r="J4" s="7"/>
      <c r="K4" s="7"/>
      <c r="L4" s="7"/>
      <c r="M4" s="7">
        <f>SUM(C4:F4)</f>
        <v>1143000</v>
      </c>
    </row>
    <row r="5" spans="1:13" x14ac:dyDescent="0.35">
      <c r="A5" s="13">
        <v>2</v>
      </c>
      <c r="B5" s="4" t="s">
        <v>20</v>
      </c>
      <c r="C5" s="7"/>
      <c r="D5" s="7">
        <f>689000*(0.59)</f>
        <v>406510</v>
      </c>
      <c r="E5" s="7">
        <f>689000*0.41</f>
        <v>282490</v>
      </c>
      <c r="F5" s="11"/>
      <c r="G5" s="7"/>
      <c r="H5" s="2"/>
      <c r="I5" s="7"/>
      <c r="J5" s="7"/>
      <c r="K5" s="7"/>
      <c r="L5" s="7"/>
      <c r="M5" s="7">
        <f>SUM(D5:E5)</f>
        <v>689000</v>
      </c>
    </row>
    <row r="6" spans="1:13" x14ac:dyDescent="0.35">
      <c r="A6" s="13">
        <v>3</v>
      </c>
      <c r="B6" s="4" t="s">
        <v>21</v>
      </c>
      <c r="C6" s="7"/>
      <c r="D6" s="7"/>
      <c r="E6" s="7">
        <f>1491000*0.25</f>
        <v>372750</v>
      </c>
      <c r="F6" s="7">
        <f>1491000*0.45</f>
        <v>670950</v>
      </c>
      <c r="G6" s="7">
        <f>1491000*(0.25+0.05)</f>
        <v>447300</v>
      </c>
      <c r="H6" s="11"/>
      <c r="I6" s="2"/>
      <c r="J6" s="2"/>
      <c r="K6" s="2"/>
      <c r="L6" s="7"/>
      <c r="M6" s="7">
        <f>SUM(E6:H6)</f>
        <v>1491000</v>
      </c>
    </row>
    <row r="7" spans="1:13" x14ac:dyDescent="0.35">
      <c r="A7" s="13">
        <v>4</v>
      </c>
      <c r="B7" s="4" t="s">
        <v>27</v>
      </c>
      <c r="C7" s="2"/>
      <c r="D7" s="2"/>
      <c r="E7" s="7"/>
      <c r="F7" s="7">
        <f>1163000*0.12</f>
        <v>139560</v>
      </c>
      <c r="G7" s="7">
        <f>1163000*0.08</f>
        <v>93040</v>
      </c>
      <c r="H7" s="2"/>
      <c r="I7" s="2"/>
      <c r="J7" s="7">
        <f>1163000*0.4</f>
        <v>465200</v>
      </c>
      <c r="K7" s="7">
        <f>1163000*0.4</f>
        <v>465200</v>
      </c>
      <c r="L7" s="2"/>
      <c r="M7" s="7">
        <f>SUM(E7:K7)</f>
        <v>1163000</v>
      </c>
    </row>
    <row r="8" spans="1:13" x14ac:dyDescent="0.35">
      <c r="A8" s="13">
        <v>5</v>
      </c>
      <c r="B8" s="4" t="s">
        <v>11</v>
      </c>
      <c r="C8" s="2"/>
      <c r="D8" s="2"/>
      <c r="E8" s="7"/>
      <c r="F8" s="2"/>
      <c r="G8" s="7">
        <f>423000*0.12</f>
        <v>50760</v>
      </c>
      <c r="H8" s="7">
        <f>423000*0.08</f>
        <v>33840</v>
      </c>
      <c r="I8" s="7"/>
      <c r="J8" s="2"/>
      <c r="K8" s="7">
        <f>423000*0.4</f>
        <v>169200</v>
      </c>
      <c r="L8" s="7">
        <f>423000*0.4</f>
        <v>169200</v>
      </c>
      <c r="M8" s="7">
        <f>SUM(E8:L8)</f>
        <v>423000</v>
      </c>
    </row>
    <row r="9" spans="1:13" x14ac:dyDescent="0.35">
      <c r="A9" s="13">
        <v>6</v>
      </c>
      <c r="B9" s="4" t="s">
        <v>12</v>
      </c>
      <c r="C9" s="2"/>
      <c r="D9" s="2"/>
      <c r="E9" s="12">
        <f>368500*0.12</f>
        <v>44220</v>
      </c>
      <c r="F9" s="12">
        <f>368500*0.08</f>
        <v>29480</v>
      </c>
      <c r="G9" s="12"/>
      <c r="H9" s="12">
        <f>368500*0.2</f>
        <v>73700</v>
      </c>
      <c r="I9" s="12">
        <f>368500*0.2</f>
        <v>73700</v>
      </c>
      <c r="J9" s="12">
        <f>368500*0.2</f>
        <v>73700</v>
      </c>
      <c r="K9" s="12"/>
      <c r="L9" s="12">
        <f>368500*0.2</f>
        <v>73700</v>
      </c>
      <c r="M9" s="7">
        <f>SUM(E9:L9)</f>
        <v>368500</v>
      </c>
    </row>
    <row r="10" spans="1:13" x14ac:dyDescent="0.35">
      <c r="A10" s="13">
        <v>7</v>
      </c>
      <c r="B10" s="4" t="s">
        <v>13</v>
      </c>
      <c r="C10" s="2"/>
      <c r="D10" s="2"/>
      <c r="E10" s="7"/>
      <c r="F10" s="12">
        <f>1781000*0.1</f>
        <v>178100</v>
      </c>
      <c r="G10" s="7">
        <f>1781000*0.2</f>
        <v>356200</v>
      </c>
      <c r="H10" s="7">
        <f>1781000*0.05</f>
        <v>89050</v>
      </c>
      <c r="I10" s="7">
        <f>1781000*0.05</f>
        <v>89050</v>
      </c>
      <c r="J10" s="7">
        <f>1781000*0.2</f>
        <v>356200</v>
      </c>
      <c r="K10" s="7">
        <f t="shared" ref="K10" si="0">1781000*0.2</f>
        <v>356200</v>
      </c>
      <c r="L10" s="7">
        <f>1781000*0.2</f>
        <v>356200</v>
      </c>
      <c r="M10" s="7">
        <f>SUM(E10:L10)</f>
        <v>1781000</v>
      </c>
    </row>
    <row r="11" spans="1:13" x14ac:dyDescent="0.35">
      <c r="A11" s="13">
        <v>8</v>
      </c>
      <c r="B11" s="4" t="s">
        <v>14</v>
      </c>
      <c r="C11" s="7"/>
      <c r="D11" s="7"/>
      <c r="E11" s="7"/>
      <c r="F11" s="2"/>
      <c r="G11" s="2"/>
      <c r="H11" s="2"/>
      <c r="I11" s="7"/>
      <c r="J11" s="12">
        <f>519000*0.4</f>
        <v>207600</v>
      </c>
      <c r="K11" s="7">
        <f>519000*0.45</f>
        <v>233550</v>
      </c>
      <c r="L11" s="7">
        <f>519000*0.15</f>
        <v>77850</v>
      </c>
      <c r="M11" s="7">
        <f>SUM(J11:L11)</f>
        <v>519000</v>
      </c>
    </row>
    <row r="12" spans="1:13" x14ac:dyDescent="0.35">
      <c r="A12" s="13">
        <v>9</v>
      </c>
      <c r="B12" s="4" t="s">
        <v>36</v>
      </c>
      <c r="C12" s="7"/>
      <c r="D12" s="7"/>
      <c r="E12" s="7"/>
      <c r="F12" s="7"/>
      <c r="G12" s="7"/>
      <c r="H12" s="7"/>
      <c r="I12" s="7"/>
      <c r="J12" s="7"/>
      <c r="K12" s="7">
        <f>890000*0.65</f>
        <v>578500</v>
      </c>
      <c r="L12" s="7">
        <f>890000*0.35</f>
        <v>311500</v>
      </c>
      <c r="M12" s="7">
        <f>SUM(K12:L12)</f>
        <v>890000</v>
      </c>
    </row>
    <row r="13" spans="1:13" ht="15" customHeight="1" x14ac:dyDescent="0.35">
      <c r="A13" s="13">
        <v>10</v>
      </c>
      <c r="B13" s="4" t="s">
        <v>22</v>
      </c>
      <c r="C13" s="7"/>
      <c r="D13" s="7"/>
      <c r="E13" s="7"/>
      <c r="F13" s="7"/>
      <c r="G13" s="2"/>
      <c r="H13" s="2"/>
      <c r="I13" s="2"/>
      <c r="J13" s="12">
        <f>455000*0.3</f>
        <v>136500</v>
      </c>
      <c r="K13" s="12">
        <f t="shared" ref="K13" si="1">455000*0.3</f>
        <v>136500</v>
      </c>
      <c r="L13" s="12">
        <f>455000*0.4</f>
        <v>182000</v>
      </c>
      <c r="M13" s="7">
        <f>SUM(J13:L13)</f>
        <v>455000</v>
      </c>
    </row>
    <row r="14" spans="1:13" x14ac:dyDescent="0.35"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35">
      <c r="B15" s="1" t="s">
        <v>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35">
      <c r="A16" s="13"/>
      <c r="B16" s="14" t="s">
        <v>57</v>
      </c>
      <c r="C16" s="15"/>
      <c r="D16" s="15"/>
      <c r="E16" s="15"/>
      <c r="F16" s="14"/>
      <c r="G16" s="14"/>
      <c r="H16" s="14"/>
      <c r="I16" s="15"/>
      <c r="J16" s="15">
        <f>30000*0.33</f>
        <v>9900</v>
      </c>
      <c r="K16" s="15">
        <f>30000*0.33</f>
        <v>9900</v>
      </c>
      <c r="L16" s="15">
        <f>30000*0.34</f>
        <v>10200</v>
      </c>
      <c r="M16" s="15">
        <f>SUM(C16:L16)</f>
        <v>30000</v>
      </c>
    </row>
    <row r="17" spans="2:13" x14ac:dyDescent="0.35"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2:13" x14ac:dyDescent="0.35">
      <c r="B18" s="1" t="s">
        <v>34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2:13" x14ac:dyDescent="0.35">
      <c r="B19" s="2" t="s">
        <v>35</v>
      </c>
      <c r="C19" s="3">
        <v>100000</v>
      </c>
      <c r="D19" s="3"/>
      <c r="E19" s="3"/>
      <c r="F19" s="3"/>
      <c r="G19" s="3"/>
      <c r="H19" s="3"/>
      <c r="I19" s="3"/>
      <c r="J19" s="3"/>
      <c r="K19" s="3"/>
      <c r="L19" s="3"/>
      <c r="M19" s="3">
        <v>100000</v>
      </c>
    </row>
    <row r="20" spans="2:13" x14ac:dyDescent="0.35"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2:13" x14ac:dyDescent="0.35">
      <c r="B21" s="1" t="s">
        <v>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2:13" x14ac:dyDescent="0.35">
      <c r="B22" s="2" t="s">
        <v>5</v>
      </c>
      <c r="C22" s="2"/>
      <c r="D22" s="2"/>
      <c r="E22" s="3"/>
      <c r="F22" s="3">
        <f>F7*0.3</f>
        <v>41868</v>
      </c>
      <c r="G22" s="3">
        <f>G7*0.3</f>
        <v>27912</v>
      </c>
      <c r="H22" s="3"/>
      <c r="I22" s="3"/>
      <c r="J22" s="3"/>
      <c r="K22" s="3">
        <f>J7*0.3</f>
        <v>139560</v>
      </c>
      <c r="L22" s="3">
        <f>K7*0.3</f>
        <v>139560</v>
      </c>
      <c r="M22" s="3">
        <f>SUM(E22:L22)</f>
        <v>348900</v>
      </c>
    </row>
    <row r="23" spans="2:13" x14ac:dyDescent="0.35"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2:13" x14ac:dyDescent="0.35"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2:13" x14ac:dyDescent="0.35">
      <c r="B25" s="1" t="s">
        <v>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2:13" x14ac:dyDescent="0.35">
      <c r="B26" s="2" t="s">
        <v>3</v>
      </c>
      <c r="C26" s="3">
        <f t="shared" ref="C26:L26" si="2">SUM(C4:C24)*0.2</f>
        <v>129728</v>
      </c>
      <c r="D26" s="3">
        <f t="shared" si="2"/>
        <v>200174</v>
      </c>
      <c r="E26" s="3">
        <f t="shared" si="2"/>
        <v>139892</v>
      </c>
      <c r="F26" s="3">
        <f t="shared" si="2"/>
        <v>211991.6</v>
      </c>
      <c r="G26" s="3">
        <f t="shared" si="2"/>
        <v>195042.40000000002</v>
      </c>
      <c r="H26" s="3">
        <f t="shared" si="2"/>
        <v>39318</v>
      </c>
      <c r="I26" s="3">
        <f t="shared" si="2"/>
        <v>32550</v>
      </c>
      <c r="J26" s="3">
        <f t="shared" si="2"/>
        <v>249820</v>
      </c>
      <c r="K26" s="3">
        <f t="shared" si="2"/>
        <v>417722</v>
      </c>
      <c r="L26" s="3">
        <f t="shared" si="2"/>
        <v>264042</v>
      </c>
      <c r="M26" s="3">
        <f>SUM(C26:L26)</f>
        <v>1880280</v>
      </c>
    </row>
    <row r="27" spans="2:13" x14ac:dyDescent="0.35"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2:13" x14ac:dyDescent="0.35">
      <c r="B28" s="1" t="s">
        <v>8</v>
      </c>
      <c r="C28" s="3">
        <f t="shared" ref="C28:L28" si="3">SUM(C4:C27)</f>
        <v>778368</v>
      </c>
      <c r="D28" s="3">
        <f t="shared" si="3"/>
        <v>1201044</v>
      </c>
      <c r="E28" s="3">
        <f t="shared" si="3"/>
        <v>839352</v>
      </c>
      <c r="F28" s="3">
        <f t="shared" si="3"/>
        <v>1271949.6000000001</v>
      </c>
      <c r="G28" s="3">
        <f t="shared" si="3"/>
        <v>1170254.3999999999</v>
      </c>
      <c r="H28" s="3">
        <f t="shared" si="3"/>
        <v>235908</v>
      </c>
      <c r="I28" s="3">
        <f t="shared" si="3"/>
        <v>195300</v>
      </c>
      <c r="J28" s="3">
        <f t="shared" si="3"/>
        <v>1498920</v>
      </c>
      <c r="K28" s="3">
        <f t="shared" si="3"/>
        <v>2506332</v>
      </c>
      <c r="L28" s="3">
        <f t="shared" si="3"/>
        <v>1584252</v>
      </c>
      <c r="M28" s="3">
        <f>SUM(M4:M26)</f>
        <v>11281680</v>
      </c>
    </row>
  </sheetData>
  <mergeCells count="2">
    <mergeCell ref="C2:L2"/>
    <mergeCell ref="B2:B3"/>
  </mergeCells>
  <pageMargins left="0.7" right="0.7" top="0.75" bottom="0.75" header="0.3" footer="0.3"/>
  <pageSetup orientation="portrait" r:id="rId1"/>
  <ignoredErrors>
    <ignoredError sqref="M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Q24" sqref="Q24"/>
    </sheetView>
  </sheetViews>
  <sheetFormatPr defaultRowHeight="14.5" x14ac:dyDescent="0.35"/>
  <cols>
    <col min="1" max="1" width="41.453125" bestFit="1" customWidth="1"/>
    <col min="2" max="2" width="20.1796875" bestFit="1" customWidth="1"/>
    <col min="3" max="3" width="19.54296875" bestFit="1" customWidth="1"/>
    <col min="4" max="4" width="21.453125" bestFit="1" customWidth="1"/>
    <col min="5" max="6" width="21.453125" customWidth="1"/>
    <col min="7" max="7" width="20.81640625" bestFit="1" customWidth="1"/>
    <col min="8" max="10" width="20.81640625" customWidth="1"/>
    <col min="11" max="11" width="19.1796875" bestFit="1" customWidth="1"/>
    <col min="12" max="12" width="26.54296875" bestFit="1" customWidth="1"/>
    <col min="13" max="13" width="18.81640625" bestFit="1" customWidth="1"/>
    <col min="14" max="15" width="29" customWidth="1"/>
    <col min="16" max="16" width="20.81640625" bestFit="1" customWidth="1"/>
    <col min="17" max="18" width="20.81640625" customWidth="1"/>
    <col min="19" max="19" width="22" customWidth="1"/>
    <col min="20" max="20" width="27.81640625" customWidth="1"/>
    <col min="21" max="21" width="17.1796875" bestFit="1" customWidth="1"/>
  </cols>
  <sheetData>
    <row r="1" spans="1:21" x14ac:dyDescent="0.35">
      <c r="A1" s="1" t="s">
        <v>18</v>
      </c>
      <c r="B1" s="5" t="s">
        <v>10</v>
      </c>
      <c r="C1" s="5" t="s">
        <v>9</v>
      </c>
      <c r="D1" s="5" t="s">
        <v>37</v>
      </c>
      <c r="E1" s="5" t="s">
        <v>38</v>
      </c>
      <c r="F1" s="5" t="s">
        <v>39</v>
      </c>
      <c r="G1" s="5" t="s">
        <v>43</v>
      </c>
      <c r="H1" s="5" t="s">
        <v>42</v>
      </c>
      <c r="I1" s="5" t="s">
        <v>41</v>
      </c>
      <c r="J1" s="5" t="s">
        <v>40</v>
      </c>
      <c r="K1" s="5" t="s">
        <v>29</v>
      </c>
      <c r="L1" s="5" t="s">
        <v>28</v>
      </c>
      <c r="M1" s="5" t="s">
        <v>0</v>
      </c>
      <c r="N1" s="5" t="s">
        <v>23</v>
      </c>
      <c r="O1" s="5" t="s">
        <v>30</v>
      </c>
      <c r="P1" s="5" t="s">
        <v>25</v>
      </c>
      <c r="Q1" s="5" t="s">
        <v>31</v>
      </c>
      <c r="R1" s="5" t="s">
        <v>32</v>
      </c>
      <c r="S1" s="5" t="s">
        <v>26</v>
      </c>
      <c r="T1" s="5" t="s">
        <v>24</v>
      </c>
      <c r="U1" s="9" t="s">
        <v>56</v>
      </c>
    </row>
    <row r="2" spans="1:21" x14ac:dyDescent="0.35">
      <c r="A2" s="4" t="s">
        <v>19</v>
      </c>
      <c r="B2" s="2">
        <v>62</v>
      </c>
      <c r="C2" s="2">
        <v>15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18</v>
      </c>
      <c r="T2" s="3">
        <f t="shared" ref="T2:T11" si="0">SUMPRODUCT(B2:S2,$B$14:$S$14)</f>
        <v>1143000</v>
      </c>
      <c r="U2" s="8">
        <f t="shared" ref="U2:U11" si="1">T2/$T$15</f>
        <v>0.12810311011487813</v>
      </c>
    </row>
    <row r="3" spans="1:21" x14ac:dyDescent="0.35">
      <c r="A3" s="4" t="s">
        <v>20</v>
      </c>
      <c r="B3" s="2">
        <v>15</v>
      </c>
      <c r="C3" s="2">
        <v>47</v>
      </c>
      <c r="D3" s="2">
        <v>5</v>
      </c>
      <c r="E3" s="2">
        <v>5</v>
      </c>
      <c r="F3" s="2">
        <v>5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5</v>
      </c>
      <c r="S3" s="2">
        <v>0</v>
      </c>
      <c r="T3" s="3">
        <f t="shared" si="0"/>
        <v>689000</v>
      </c>
      <c r="U3" s="8">
        <f t="shared" si="1"/>
        <v>7.7220509946763799E-2</v>
      </c>
    </row>
    <row r="4" spans="1:21" x14ac:dyDescent="0.35">
      <c r="A4" s="4" t="s">
        <v>21</v>
      </c>
      <c r="B4" s="2">
        <v>12</v>
      </c>
      <c r="C4" s="2">
        <v>10</v>
      </c>
      <c r="D4" s="2">
        <v>23</v>
      </c>
      <c r="E4" s="2">
        <v>23</v>
      </c>
      <c r="F4" s="2">
        <v>23</v>
      </c>
      <c r="G4" s="2">
        <v>0</v>
      </c>
      <c r="H4" s="2">
        <v>0</v>
      </c>
      <c r="I4" s="2">
        <v>0</v>
      </c>
      <c r="J4" s="2">
        <v>0</v>
      </c>
      <c r="K4" s="2">
        <v>32</v>
      </c>
      <c r="L4" s="2">
        <v>34</v>
      </c>
      <c r="M4" s="2">
        <v>9</v>
      </c>
      <c r="N4" s="2">
        <v>8</v>
      </c>
      <c r="O4" s="2">
        <v>22</v>
      </c>
      <c r="P4" s="2">
        <v>0</v>
      </c>
      <c r="Q4" s="2">
        <v>0</v>
      </c>
      <c r="R4" s="2">
        <v>7</v>
      </c>
      <c r="S4" s="2">
        <v>12</v>
      </c>
      <c r="T4" s="3">
        <f t="shared" si="0"/>
        <v>1491000</v>
      </c>
      <c r="U4" s="8">
        <f t="shared" si="1"/>
        <v>0.16710563182964416</v>
      </c>
    </row>
    <row r="5" spans="1:21" x14ac:dyDescent="0.35">
      <c r="A5" s="4" t="s">
        <v>27</v>
      </c>
      <c r="B5" s="2">
        <v>8</v>
      </c>
      <c r="C5" s="2">
        <v>0</v>
      </c>
      <c r="D5" s="2">
        <v>18</v>
      </c>
      <c r="E5" s="2">
        <v>18</v>
      </c>
      <c r="F5" s="2">
        <v>18</v>
      </c>
      <c r="G5" s="2">
        <v>15</v>
      </c>
      <c r="H5" s="2">
        <v>15</v>
      </c>
      <c r="I5" s="2">
        <v>15</v>
      </c>
      <c r="J5" s="2">
        <v>15</v>
      </c>
      <c r="K5" s="2">
        <v>4</v>
      </c>
      <c r="L5" s="2">
        <v>0</v>
      </c>
      <c r="M5" s="2">
        <v>11</v>
      </c>
      <c r="N5" s="2">
        <v>0</v>
      </c>
      <c r="O5" s="2">
        <v>6</v>
      </c>
      <c r="P5" s="2">
        <v>4</v>
      </c>
      <c r="Q5" s="2">
        <v>6</v>
      </c>
      <c r="R5" s="2">
        <v>8</v>
      </c>
      <c r="S5" s="2">
        <v>0</v>
      </c>
      <c r="T5" s="3">
        <f t="shared" si="0"/>
        <v>1163000</v>
      </c>
      <c r="U5" s="8">
        <f t="shared" si="1"/>
        <v>0.13034463435135893</v>
      </c>
    </row>
    <row r="6" spans="1:21" x14ac:dyDescent="0.35">
      <c r="A6" s="4" t="s">
        <v>11</v>
      </c>
      <c r="B6" s="2">
        <v>4</v>
      </c>
      <c r="C6" s="2">
        <v>0</v>
      </c>
      <c r="D6" s="2">
        <v>8</v>
      </c>
      <c r="E6" s="2">
        <v>8</v>
      </c>
      <c r="F6" s="2">
        <v>8</v>
      </c>
      <c r="G6" s="2">
        <v>4</v>
      </c>
      <c r="H6" s="2">
        <v>4</v>
      </c>
      <c r="I6" s="2">
        <v>4</v>
      </c>
      <c r="J6" s="2">
        <v>4</v>
      </c>
      <c r="K6" s="2">
        <v>2</v>
      </c>
      <c r="L6" s="2">
        <v>0</v>
      </c>
      <c r="M6" s="2">
        <v>3</v>
      </c>
      <c r="N6" s="2">
        <v>0</v>
      </c>
      <c r="O6" s="2">
        <v>3</v>
      </c>
      <c r="P6" s="2">
        <v>1</v>
      </c>
      <c r="Q6" s="2">
        <v>1</v>
      </c>
      <c r="R6" s="2">
        <v>3</v>
      </c>
      <c r="S6" s="2">
        <v>0</v>
      </c>
      <c r="T6" s="3">
        <f t="shared" si="0"/>
        <v>423000</v>
      </c>
      <c r="U6" s="8">
        <f t="shared" si="1"/>
        <v>4.7408237601569064E-2</v>
      </c>
    </row>
    <row r="7" spans="1:21" x14ac:dyDescent="0.35">
      <c r="A7" s="4" t="s">
        <v>12</v>
      </c>
      <c r="B7" s="2">
        <v>2</v>
      </c>
      <c r="C7" s="2">
        <v>0</v>
      </c>
      <c r="D7" s="2">
        <v>10</v>
      </c>
      <c r="E7" s="2">
        <v>10</v>
      </c>
      <c r="F7" s="2">
        <v>10</v>
      </c>
      <c r="G7" s="2">
        <v>2</v>
      </c>
      <c r="H7" s="2">
        <v>2</v>
      </c>
      <c r="I7" s="2">
        <v>2</v>
      </c>
      <c r="J7" s="2">
        <v>2</v>
      </c>
      <c r="K7" s="2">
        <v>1</v>
      </c>
      <c r="L7" s="2">
        <v>0</v>
      </c>
      <c r="M7" s="2">
        <v>5</v>
      </c>
      <c r="N7" s="2">
        <v>0</v>
      </c>
      <c r="O7" s="2">
        <v>2</v>
      </c>
      <c r="P7" s="2">
        <v>1</v>
      </c>
      <c r="Q7" s="2">
        <v>1</v>
      </c>
      <c r="R7" s="2">
        <v>2</v>
      </c>
      <c r="S7" s="2">
        <v>0</v>
      </c>
      <c r="T7" s="3">
        <f t="shared" si="0"/>
        <v>368500</v>
      </c>
      <c r="U7" s="8">
        <f t="shared" si="1"/>
        <v>4.1300084057158869E-2</v>
      </c>
    </row>
    <row r="8" spans="1:21" x14ac:dyDescent="0.35">
      <c r="A8" s="4" t="s">
        <v>13</v>
      </c>
      <c r="B8" s="2">
        <v>0</v>
      </c>
      <c r="C8" s="2">
        <v>0</v>
      </c>
      <c r="D8" s="2">
        <v>8</v>
      </c>
      <c r="E8" s="2">
        <v>8</v>
      </c>
      <c r="F8" s="2">
        <v>8</v>
      </c>
      <c r="G8" s="2">
        <v>52</v>
      </c>
      <c r="H8" s="2">
        <v>52</v>
      </c>
      <c r="I8" s="2">
        <v>52</v>
      </c>
      <c r="J8" s="2">
        <v>52</v>
      </c>
      <c r="K8" s="2">
        <v>3</v>
      </c>
      <c r="L8" s="2">
        <v>0</v>
      </c>
      <c r="M8" s="2">
        <v>5</v>
      </c>
      <c r="N8" s="2">
        <v>3</v>
      </c>
      <c r="O8" s="2">
        <v>4</v>
      </c>
      <c r="P8" s="2">
        <v>0</v>
      </c>
      <c r="Q8" s="2">
        <v>4</v>
      </c>
      <c r="R8" s="2">
        <v>0</v>
      </c>
      <c r="S8" s="2">
        <v>6</v>
      </c>
      <c r="T8" s="3">
        <f t="shared" si="0"/>
        <v>1781000</v>
      </c>
      <c r="U8" s="8">
        <f t="shared" si="1"/>
        <v>0.19960773325861586</v>
      </c>
    </row>
    <row r="9" spans="1:21" x14ac:dyDescent="0.35">
      <c r="A9" s="4" t="s">
        <v>14</v>
      </c>
      <c r="B9" s="2">
        <v>4</v>
      </c>
      <c r="C9" s="2">
        <v>0</v>
      </c>
      <c r="D9" s="2">
        <v>7</v>
      </c>
      <c r="E9" s="2">
        <v>7</v>
      </c>
      <c r="F9" s="2">
        <v>7</v>
      </c>
      <c r="G9" s="2">
        <v>2</v>
      </c>
      <c r="H9" s="2">
        <v>2</v>
      </c>
      <c r="I9" s="2">
        <v>2</v>
      </c>
      <c r="J9" s="2">
        <v>2</v>
      </c>
      <c r="K9" s="2">
        <v>0</v>
      </c>
      <c r="L9" s="2">
        <v>0</v>
      </c>
      <c r="M9" s="2">
        <v>3</v>
      </c>
      <c r="N9" s="2">
        <v>29</v>
      </c>
      <c r="O9" s="2">
        <v>0</v>
      </c>
      <c r="P9" s="2">
        <v>8</v>
      </c>
      <c r="Q9" s="2">
        <v>0</v>
      </c>
      <c r="R9" s="2">
        <v>8</v>
      </c>
      <c r="S9" s="2">
        <v>0</v>
      </c>
      <c r="T9" s="3">
        <f t="shared" si="0"/>
        <v>519000</v>
      </c>
      <c r="U9" s="8">
        <f t="shared" si="1"/>
        <v>5.8167553936676941E-2</v>
      </c>
    </row>
    <row r="10" spans="1:21" x14ac:dyDescent="0.35">
      <c r="A10" s="4" t="s">
        <v>36</v>
      </c>
      <c r="B10" s="2">
        <v>14</v>
      </c>
      <c r="C10" s="2">
        <v>3</v>
      </c>
      <c r="D10" s="2">
        <v>7</v>
      </c>
      <c r="E10" s="2">
        <v>7</v>
      </c>
      <c r="F10" s="2">
        <v>7</v>
      </c>
      <c r="G10" s="2">
        <v>7</v>
      </c>
      <c r="H10" s="2">
        <v>7</v>
      </c>
      <c r="I10" s="2">
        <v>7</v>
      </c>
      <c r="J10" s="2">
        <v>7</v>
      </c>
      <c r="K10" s="2">
        <v>7</v>
      </c>
      <c r="L10" s="2">
        <v>3</v>
      </c>
      <c r="M10" s="2">
        <v>6</v>
      </c>
      <c r="N10" s="2">
        <v>3</v>
      </c>
      <c r="O10" s="2">
        <v>7</v>
      </c>
      <c r="P10" s="2">
        <v>7</v>
      </c>
      <c r="Q10" s="2">
        <v>7</v>
      </c>
      <c r="R10" s="2">
        <v>7</v>
      </c>
      <c r="S10" s="2">
        <v>3</v>
      </c>
      <c r="T10" s="3">
        <f t="shared" si="0"/>
        <v>890000</v>
      </c>
      <c r="U10" s="8">
        <f t="shared" si="1"/>
        <v>9.9747828523395907E-2</v>
      </c>
    </row>
    <row r="11" spans="1:21" x14ac:dyDescent="0.35">
      <c r="A11" s="4" t="s">
        <v>22</v>
      </c>
      <c r="B11" s="2">
        <v>12</v>
      </c>
      <c r="C11" s="2">
        <v>0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2">
        <v>5</v>
      </c>
      <c r="J11" s="2">
        <v>5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5</v>
      </c>
      <c r="S11" s="2">
        <v>0</v>
      </c>
      <c r="T11" s="3">
        <f t="shared" si="0"/>
        <v>455000</v>
      </c>
      <c r="U11" s="8">
        <f t="shared" si="1"/>
        <v>5.0994676379938361E-2</v>
      </c>
    </row>
    <row r="12" spans="1:21" x14ac:dyDescent="0.35">
      <c r="A12" s="4" t="s">
        <v>15</v>
      </c>
      <c r="B12" s="2">
        <f>SUM(B2:B11)</f>
        <v>133</v>
      </c>
      <c r="C12" s="2">
        <f t="shared" ref="C12:S12" si="2">SUM(C2:C11)</f>
        <v>75</v>
      </c>
      <c r="D12" s="2">
        <f t="shared" si="2"/>
        <v>91</v>
      </c>
      <c r="E12" s="2">
        <f t="shared" si="2"/>
        <v>91</v>
      </c>
      <c r="F12" s="2">
        <f t="shared" si="2"/>
        <v>91</v>
      </c>
      <c r="G12" s="2">
        <f t="shared" si="2"/>
        <v>87</v>
      </c>
      <c r="H12" s="2">
        <f t="shared" si="2"/>
        <v>87</v>
      </c>
      <c r="I12" s="2">
        <f t="shared" si="2"/>
        <v>87</v>
      </c>
      <c r="J12" s="2">
        <f t="shared" si="2"/>
        <v>87</v>
      </c>
      <c r="K12" s="2">
        <f t="shared" si="2"/>
        <v>49</v>
      </c>
      <c r="L12" s="2">
        <f t="shared" si="2"/>
        <v>37</v>
      </c>
      <c r="M12" s="2">
        <f t="shared" si="2"/>
        <v>42</v>
      </c>
      <c r="N12" s="2">
        <f t="shared" si="2"/>
        <v>43</v>
      </c>
      <c r="O12" s="2">
        <f t="shared" si="2"/>
        <v>44</v>
      </c>
      <c r="P12" s="2">
        <f t="shared" si="2"/>
        <v>21</v>
      </c>
      <c r="Q12" s="2">
        <f t="shared" si="2"/>
        <v>19</v>
      </c>
      <c r="R12" s="2">
        <f t="shared" si="2"/>
        <v>45</v>
      </c>
      <c r="S12" s="2">
        <f t="shared" si="2"/>
        <v>39</v>
      </c>
      <c r="T12" s="3"/>
    </row>
    <row r="13" spans="1:2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3"/>
    </row>
    <row r="14" spans="1:21" x14ac:dyDescent="0.35">
      <c r="A14" s="1" t="s">
        <v>16</v>
      </c>
      <c r="B14" s="3">
        <v>15000</v>
      </c>
      <c r="C14" s="3">
        <v>7000</v>
      </c>
      <c r="D14" s="3">
        <v>7000</v>
      </c>
      <c r="E14" s="3">
        <v>7000</v>
      </c>
      <c r="F14" s="3">
        <v>7000</v>
      </c>
      <c r="G14" s="3">
        <v>7000</v>
      </c>
      <c r="H14" s="3">
        <v>7000</v>
      </c>
      <c r="I14" s="3">
        <v>7000</v>
      </c>
      <c r="J14" s="3">
        <v>7000</v>
      </c>
      <c r="K14" s="3">
        <v>7000</v>
      </c>
      <c r="L14" s="3">
        <v>5000</v>
      </c>
      <c r="M14" s="3">
        <v>5000</v>
      </c>
      <c r="N14" s="3">
        <v>5000</v>
      </c>
      <c r="O14" s="3">
        <v>7500</v>
      </c>
      <c r="P14" s="3">
        <v>6000</v>
      </c>
      <c r="Q14" s="3">
        <v>7500</v>
      </c>
      <c r="R14" s="3">
        <v>6000</v>
      </c>
      <c r="S14" s="3">
        <v>6000</v>
      </c>
      <c r="T14" s="2"/>
    </row>
    <row r="15" spans="1:21" x14ac:dyDescent="0.35">
      <c r="A15" s="1" t="s">
        <v>17</v>
      </c>
      <c r="B15" s="3">
        <f>SUM(B14*B12)</f>
        <v>1995000</v>
      </c>
      <c r="C15" s="3">
        <f t="shared" ref="C15:N15" si="3">SUM(C14*C12)</f>
        <v>525000</v>
      </c>
      <c r="D15" s="3">
        <f t="shared" si="3"/>
        <v>637000</v>
      </c>
      <c r="E15" s="3">
        <f t="shared" si="3"/>
        <v>637000</v>
      </c>
      <c r="F15" s="3">
        <f t="shared" si="3"/>
        <v>637000</v>
      </c>
      <c r="G15" s="3">
        <f t="shared" si="3"/>
        <v>609000</v>
      </c>
      <c r="H15" s="3">
        <f t="shared" si="3"/>
        <v>609000</v>
      </c>
      <c r="I15" s="3">
        <f t="shared" si="3"/>
        <v>609000</v>
      </c>
      <c r="J15" s="3">
        <f t="shared" si="3"/>
        <v>609000</v>
      </c>
      <c r="K15" s="3">
        <f t="shared" si="3"/>
        <v>343000</v>
      </c>
      <c r="L15" s="3">
        <f t="shared" si="3"/>
        <v>185000</v>
      </c>
      <c r="M15" s="3">
        <f t="shared" si="3"/>
        <v>210000</v>
      </c>
      <c r="N15" s="3">
        <f t="shared" si="3"/>
        <v>215000</v>
      </c>
      <c r="O15" s="3">
        <f>SUM(O14*O12)</f>
        <v>330000</v>
      </c>
      <c r="P15" s="3">
        <f>SUM(P14*P12)</f>
        <v>126000</v>
      </c>
      <c r="Q15" s="3">
        <f t="shared" ref="Q15:R15" si="4">SUM(Q14*Q12)</f>
        <v>142500</v>
      </c>
      <c r="R15" s="3">
        <f t="shared" si="4"/>
        <v>270000</v>
      </c>
      <c r="S15" s="3">
        <f>SUM(S14*S12)</f>
        <v>234000</v>
      </c>
      <c r="T15" s="3">
        <f>SUM(B15:S15)</f>
        <v>8922500</v>
      </c>
    </row>
    <row r="16" spans="1:21" x14ac:dyDescent="0.3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20" x14ac:dyDescent="0.3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9" spans="1:20" x14ac:dyDescent="0.35">
      <c r="A19" s="1" t="s">
        <v>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35">
      <c r="A20" s="2" t="s">
        <v>33</v>
      </c>
      <c r="B20" s="3">
        <v>30000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35">
      <c r="A21" s="2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35">
      <c r="A22" s="1" t="s">
        <v>34</v>
      </c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35">
      <c r="A23" s="2" t="s">
        <v>35</v>
      </c>
      <c r="B23" s="3">
        <v>100000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35">
      <c r="A24" s="2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35">
      <c r="A25" s="1" t="s">
        <v>4</v>
      </c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35">
      <c r="A26" s="2" t="s">
        <v>5</v>
      </c>
      <c r="B26" s="3">
        <f>(B5*B14+D5*D14+E5*E14+F5*F14+G5*G14+H5*H14+I5*I14+J5*J14+K5*K14+M5*M14+R5*R14+O5*O14+P5*P14+Q5*Q14)*0.3</f>
        <v>348900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35">
      <c r="A29" s="1" t="s">
        <v>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35">
      <c r="A30" s="2" t="s">
        <v>3</v>
      </c>
      <c r="B30" s="3">
        <f>SUM(B26,B20,B23,T15)*0.2</f>
        <v>1880280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35">
      <c r="A32" s="1" t="s">
        <v>6</v>
      </c>
      <c r="B32" s="3">
        <f>SUM(B30,B23,B26,B20,T15)</f>
        <v>11281680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Time-phased</vt:lpstr>
      <vt:lpstr>Cost-Estimation-phased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SHAMIL</dc:creator>
  <cp:lastModifiedBy>HP</cp:lastModifiedBy>
  <dcterms:created xsi:type="dcterms:W3CDTF">2023-05-27T12:19:12Z</dcterms:created>
  <dcterms:modified xsi:type="dcterms:W3CDTF">2024-05-15T20:44:23Z</dcterms:modified>
</cp:coreProperties>
</file>