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OME\Desktop\New folder\"/>
    </mc:Choice>
  </mc:AlternateContent>
  <bookViews>
    <workbookView xWindow="0" yWindow="0" windowWidth="21000" windowHeight="11985" tabRatio="1000" firstSheet="4" activeTab="9"/>
  </bookViews>
  <sheets>
    <sheet name="Appendix C Building" sheetId="23" r:id="rId1"/>
    <sheet name="Summary" sheetId="24" r:id="rId2"/>
    <sheet name="Material Diff- Office Building" sheetId="25" r:id="rId3"/>
    <sheet name="BOQ-OFFICE BUILDING (Civil)" sheetId="26" r:id="rId4"/>
    <sheet name="Material Diff- Staff Build." sheetId="27" r:id="rId5"/>
    <sheet name="BOQ-STAFF BUILDING (Civil)" sheetId="28" r:id="rId6"/>
    <sheet name="Material Diff- Audotorium" sheetId="29" r:id="rId7"/>
    <sheet name="BOQ-AUDOTORIUM(Civil)" sheetId="30" r:id="rId8"/>
    <sheet name="Material Diff- External Dev." sheetId="31" r:id="rId9"/>
    <sheet name="BOQ-EXT. DEVLOP. (Civil)" sheetId="32" r:id="rId10"/>
    <sheet name="Mst-With Solar" sheetId="5" r:id="rId11"/>
    <sheet name="Mst-Without Solar" sheetId="14" r:id="rId12"/>
    <sheet name="Mst-Auditrium " sheetId="16" r:id="rId13"/>
    <sheet name="Mst-External" sheetId="15" r:id="rId14"/>
    <sheet name="Mst-Fountain" sheetId="17" r:id="rId15"/>
    <sheet name="Mst-Civil Storm Water " sheetId="18" r:id="rId16"/>
    <sheet name="Mst-TubeWell " sheetId="19" r:id="rId17"/>
    <sheet name="Mst-Civil UG TANK" sheetId="20" r:id="rId18"/>
    <sheet name="Mst-Fire FIghting Tank" sheetId="21" r:id="rId19"/>
    <sheet name="Mst-Septic Tank" sheetId="22" r:id="rId20"/>
  </sheets>
  <externalReferences>
    <externalReference r:id="rId21"/>
    <externalReference r:id="rId22"/>
    <externalReference r:id="rId23"/>
  </externalReferences>
  <definedNames>
    <definedName name="_Order1" hidden="1">255</definedName>
    <definedName name="a" localSheetId="0">#REF!</definedName>
    <definedName name="a" localSheetId="6">#REF!</definedName>
    <definedName name="a" localSheetId="8">#REF!</definedName>
    <definedName name="a" localSheetId="4">#REF!</definedName>
    <definedName name="a" localSheetId="12">#REF!</definedName>
    <definedName name="a" localSheetId="15">#REF!</definedName>
    <definedName name="a" localSheetId="17">#REF!</definedName>
    <definedName name="a" localSheetId="13">#REF!</definedName>
    <definedName name="a" localSheetId="18">#REF!</definedName>
    <definedName name="a" localSheetId="14">#REF!</definedName>
    <definedName name="a" localSheetId="19">#REF!</definedName>
    <definedName name="a" localSheetId="16">#REF!</definedName>
    <definedName name="a" localSheetId="10">#REF!</definedName>
    <definedName name="a" localSheetId="11">#REF!</definedName>
    <definedName name="a">#REF!</definedName>
    <definedName name="aaa" localSheetId="0">#REF!</definedName>
    <definedName name="aaa" localSheetId="6">#REF!</definedName>
    <definedName name="aaa" localSheetId="8">#REF!</definedName>
    <definedName name="aaa" localSheetId="4">#REF!</definedName>
    <definedName name="aaa" localSheetId="12">#REF!</definedName>
    <definedName name="aaa" localSheetId="15">#REF!</definedName>
    <definedName name="aaa" localSheetId="17">#REF!</definedName>
    <definedName name="aaa" localSheetId="13">#REF!</definedName>
    <definedName name="aaa" localSheetId="18">#REF!</definedName>
    <definedName name="aaa" localSheetId="14">#REF!</definedName>
    <definedName name="aaa" localSheetId="19">#REF!</definedName>
    <definedName name="aaa" localSheetId="16">#REF!</definedName>
    <definedName name="aaa" localSheetId="10">#REF!</definedName>
    <definedName name="aaa" localSheetId="11">#REF!</definedName>
    <definedName name="aaa">#REF!</definedName>
    <definedName name="aaaaa" localSheetId="0">#REF!</definedName>
    <definedName name="aaaaa" localSheetId="6">#REF!</definedName>
    <definedName name="aaaaa" localSheetId="8">#REF!</definedName>
    <definedName name="aaaaa" localSheetId="4">#REF!</definedName>
    <definedName name="aaaaa" localSheetId="12">#REF!</definedName>
    <definedName name="aaaaa" localSheetId="15">#REF!</definedName>
    <definedName name="aaaaa" localSheetId="17">#REF!</definedName>
    <definedName name="aaaaa" localSheetId="13">#REF!</definedName>
    <definedName name="aaaaa" localSheetId="18">#REF!</definedName>
    <definedName name="aaaaa" localSheetId="14">#REF!</definedName>
    <definedName name="aaaaa" localSheetId="19">#REF!</definedName>
    <definedName name="aaaaa" localSheetId="16">#REF!</definedName>
    <definedName name="aaaaa" localSheetId="10">#REF!</definedName>
    <definedName name="aaaaa" localSheetId="11">#REF!</definedName>
    <definedName name="aaaaa">#REF!</definedName>
    <definedName name="abc" localSheetId="12">#REF!</definedName>
    <definedName name="abc" localSheetId="15">#REF!</definedName>
    <definedName name="abc" localSheetId="17">#REF!</definedName>
    <definedName name="abc" localSheetId="13">#REF!</definedName>
    <definedName name="abc" localSheetId="18">#REF!</definedName>
    <definedName name="abc" localSheetId="14">#REF!</definedName>
    <definedName name="abc" localSheetId="19">#REF!</definedName>
    <definedName name="abc" localSheetId="16">#REF!</definedName>
    <definedName name="abc" localSheetId="10">#REF!</definedName>
    <definedName name="abc" localSheetId="11">#REF!</definedName>
    <definedName name="abc">#REF!</definedName>
    <definedName name="abcd" localSheetId="12">#REF!</definedName>
    <definedName name="abcd" localSheetId="15">#REF!</definedName>
    <definedName name="abcd" localSheetId="17">#REF!</definedName>
    <definedName name="abcd" localSheetId="13">#REF!</definedName>
    <definedName name="abcd" localSheetId="18">#REF!</definedName>
    <definedName name="abcd" localSheetId="14">#REF!</definedName>
    <definedName name="abcd" localSheetId="19">#REF!</definedName>
    <definedName name="abcd" localSheetId="16">#REF!</definedName>
    <definedName name="abcd" localSheetId="10">#REF!</definedName>
    <definedName name="abcd" localSheetId="11">#REF!</definedName>
    <definedName name="abcd">#REF!</definedName>
    <definedName name="acb" localSheetId="0">#REF!</definedName>
    <definedName name="acb" localSheetId="6">#REF!</definedName>
    <definedName name="acb" localSheetId="8">#REF!</definedName>
    <definedName name="acb" localSheetId="4">#REF!</definedName>
    <definedName name="acb" localSheetId="12">#REF!</definedName>
    <definedName name="acb" localSheetId="15">#REF!</definedName>
    <definedName name="acb" localSheetId="17">#REF!</definedName>
    <definedName name="acb" localSheetId="13">#REF!</definedName>
    <definedName name="acb" localSheetId="18">#REF!</definedName>
    <definedName name="acb" localSheetId="14">#REF!</definedName>
    <definedName name="acb" localSheetId="19">#REF!</definedName>
    <definedName name="acb" localSheetId="16">#REF!</definedName>
    <definedName name="acb" localSheetId="10">#REF!</definedName>
    <definedName name="acb" localSheetId="11">#REF!</definedName>
    <definedName name="acb">#REF!</definedName>
    <definedName name="ad">[1]Sheet5!$D$3</definedName>
    <definedName name="adeel" localSheetId="0">#REF!</definedName>
    <definedName name="adeel" localSheetId="6">#REF!</definedName>
    <definedName name="adeel" localSheetId="8">#REF!</definedName>
    <definedName name="adeel" localSheetId="4">#REF!</definedName>
    <definedName name="adeel" localSheetId="12">#REF!</definedName>
    <definedName name="adeel" localSheetId="15">#REF!</definedName>
    <definedName name="adeel" localSheetId="17">#REF!</definedName>
    <definedName name="adeel" localSheetId="13">#REF!</definedName>
    <definedName name="adeel" localSheetId="18">#REF!</definedName>
    <definedName name="adeel" localSheetId="14">#REF!</definedName>
    <definedName name="adeel" localSheetId="19">#REF!</definedName>
    <definedName name="adeel" localSheetId="16">#REF!</definedName>
    <definedName name="adeel" localSheetId="10">#REF!</definedName>
    <definedName name="adeel" localSheetId="11">#REF!</definedName>
    <definedName name="adeel">#REF!</definedName>
    <definedName name="adeel1" localSheetId="0">#REF!</definedName>
    <definedName name="adeel1" localSheetId="6">#REF!</definedName>
    <definedName name="adeel1" localSheetId="8">#REF!</definedName>
    <definedName name="adeel1" localSheetId="4">#REF!</definedName>
    <definedName name="adeel1" localSheetId="12">#REF!</definedName>
    <definedName name="adeel1" localSheetId="15">#REF!</definedName>
    <definedName name="adeel1" localSheetId="17">#REF!</definedName>
    <definedName name="adeel1" localSheetId="13">#REF!</definedName>
    <definedName name="adeel1" localSheetId="18">#REF!</definedName>
    <definedName name="adeel1" localSheetId="14">#REF!</definedName>
    <definedName name="adeel1" localSheetId="19">#REF!</definedName>
    <definedName name="adeel1" localSheetId="16">#REF!</definedName>
    <definedName name="adeel1" localSheetId="10">#REF!</definedName>
    <definedName name="adeel1" localSheetId="11">#REF!</definedName>
    <definedName name="adeel1">#REF!</definedName>
    <definedName name="asasassasa" localSheetId="0">#REF!</definedName>
    <definedName name="asasassasa" localSheetId="6">#REF!</definedName>
    <definedName name="asasassasa" localSheetId="8">#REF!</definedName>
    <definedName name="asasassasa" localSheetId="4">#REF!</definedName>
    <definedName name="asasassasa" localSheetId="12">#REF!</definedName>
    <definedName name="asasassasa" localSheetId="15">#REF!</definedName>
    <definedName name="asasassasa" localSheetId="17">#REF!</definedName>
    <definedName name="asasassasa" localSheetId="13">#REF!</definedName>
    <definedName name="asasassasa" localSheetId="18">#REF!</definedName>
    <definedName name="asasassasa" localSheetId="14">#REF!</definedName>
    <definedName name="asasassasa" localSheetId="19">#REF!</definedName>
    <definedName name="asasassasa" localSheetId="16">#REF!</definedName>
    <definedName name="asasassasa" localSheetId="10">#REF!</definedName>
    <definedName name="asasassasa" localSheetId="11">#REF!</definedName>
    <definedName name="asasassasa">#REF!</definedName>
    <definedName name="asdasdasdasdasdasd" localSheetId="12">#REF!</definedName>
    <definedName name="asdasdasdasdasdasd" localSheetId="15">#REF!</definedName>
    <definedName name="asdasdasdasdasdasd" localSheetId="17">#REF!</definedName>
    <definedName name="asdasdasdasdasdasd" localSheetId="13">#REF!</definedName>
    <definedName name="asdasdasdasdasdasd" localSheetId="18">#REF!</definedName>
    <definedName name="asdasdasdasdasdasd" localSheetId="14">#REF!</definedName>
    <definedName name="asdasdasdasdasdasd" localSheetId="19">#REF!</definedName>
    <definedName name="asdasdasdasdasdasd" localSheetId="16">#REF!</definedName>
    <definedName name="asdasdasdasdasdasd" localSheetId="10">#REF!</definedName>
    <definedName name="asdasdasdasdasdasd" localSheetId="11">#REF!</definedName>
    <definedName name="asdasdasdasdasdasd">#REF!</definedName>
    <definedName name="asim" localSheetId="0">#REF!</definedName>
    <definedName name="asim" localSheetId="6">#REF!</definedName>
    <definedName name="asim" localSheetId="8">#REF!</definedName>
    <definedName name="asim" localSheetId="4">#REF!</definedName>
    <definedName name="asim" localSheetId="12">#REF!</definedName>
    <definedName name="asim" localSheetId="15">#REF!</definedName>
    <definedName name="asim" localSheetId="17">#REF!</definedName>
    <definedName name="asim" localSheetId="13">#REF!</definedName>
    <definedName name="asim" localSheetId="18">#REF!</definedName>
    <definedName name="asim" localSheetId="14">#REF!</definedName>
    <definedName name="asim" localSheetId="19">#REF!</definedName>
    <definedName name="asim" localSheetId="16">#REF!</definedName>
    <definedName name="asim" localSheetId="10">#REF!</definedName>
    <definedName name="asim" localSheetId="11">#REF!</definedName>
    <definedName name="asim">#REF!</definedName>
    <definedName name="asnmd" localSheetId="12">#REF!</definedName>
    <definedName name="asnmd" localSheetId="15">#REF!</definedName>
    <definedName name="asnmd" localSheetId="17">#REF!</definedName>
    <definedName name="asnmd" localSheetId="13">#REF!</definedName>
    <definedName name="asnmd" localSheetId="18">#REF!</definedName>
    <definedName name="asnmd" localSheetId="14">#REF!</definedName>
    <definedName name="asnmd" localSheetId="19">#REF!</definedName>
    <definedName name="asnmd" localSheetId="16">#REF!</definedName>
    <definedName name="asnmd" localSheetId="10">#REF!</definedName>
    <definedName name="asnmd" localSheetId="11">#REF!</definedName>
    <definedName name="asnmd">#REF!</definedName>
    <definedName name="asw" localSheetId="12">#REF!</definedName>
    <definedName name="asw" localSheetId="15">#REF!</definedName>
    <definedName name="asw" localSheetId="17">#REF!</definedName>
    <definedName name="asw" localSheetId="13">#REF!</definedName>
    <definedName name="asw" localSheetId="18">#REF!</definedName>
    <definedName name="asw" localSheetId="14">#REF!</definedName>
    <definedName name="asw" localSheetId="19">#REF!</definedName>
    <definedName name="asw" localSheetId="16">#REF!</definedName>
    <definedName name="asw" localSheetId="10">#REF!</definedName>
    <definedName name="asw" localSheetId="11">#REF!</definedName>
    <definedName name="asw">#REF!</definedName>
    <definedName name="b" localSheetId="12">#REF!</definedName>
    <definedName name="b" localSheetId="15">#REF!</definedName>
    <definedName name="b" localSheetId="17">#REF!</definedName>
    <definedName name="b" localSheetId="13">#REF!</definedName>
    <definedName name="b" localSheetId="18">#REF!</definedName>
    <definedName name="b" localSheetId="14">#REF!</definedName>
    <definedName name="b" localSheetId="19">#REF!</definedName>
    <definedName name="b" localSheetId="16">#REF!</definedName>
    <definedName name="b" localSheetId="10">#REF!</definedName>
    <definedName name="b" localSheetId="11">#REF!</definedName>
    <definedName name="b">#REF!</definedName>
    <definedName name="BBQQQ" localSheetId="12">#REF!</definedName>
    <definedName name="BBQQQ" localSheetId="15">#REF!</definedName>
    <definedName name="BBQQQ" localSheetId="17">#REF!</definedName>
    <definedName name="BBQQQ" localSheetId="13">#REF!</definedName>
    <definedName name="BBQQQ" localSheetId="18">#REF!</definedName>
    <definedName name="BBQQQ" localSheetId="14">#REF!</definedName>
    <definedName name="BBQQQ" localSheetId="19">#REF!</definedName>
    <definedName name="BBQQQ" localSheetId="16">#REF!</definedName>
    <definedName name="BBQQQ" localSheetId="10">#REF!</definedName>
    <definedName name="BBQQQ" localSheetId="11">#REF!</definedName>
    <definedName name="BBQQQ">#REF!</definedName>
    <definedName name="BOQ" localSheetId="0">#REF!</definedName>
    <definedName name="BOQ" localSheetId="6">#REF!</definedName>
    <definedName name="BOQ" localSheetId="8">#REF!</definedName>
    <definedName name="BOQ" localSheetId="4">#REF!</definedName>
    <definedName name="BOQ" localSheetId="12">#REF!</definedName>
    <definedName name="BOQ" localSheetId="15">#REF!</definedName>
    <definedName name="BOQ" localSheetId="17">#REF!</definedName>
    <definedName name="BOQ" localSheetId="13">#REF!</definedName>
    <definedName name="BOQ" localSheetId="18">#REF!</definedName>
    <definedName name="BOQ" localSheetId="14">#REF!</definedName>
    <definedName name="BOQ" localSheetId="19">#REF!</definedName>
    <definedName name="BOQ" localSheetId="16">#REF!</definedName>
    <definedName name="BOQ" localSheetId="10">#REF!</definedName>
    <definedName name="BOQ" localSheetId="11">#REF!</definedName>
    <definedName name="BOQ">#REF!</definedName>
    <definedName name="cover">[2]Sheet1!$F$24</definedName>
    <definedName name="E" localSheetId="12">#REF!</definedName>
    <definedName name="E" localSheetId="15">#REF!</definedName>
    <definedName name="E" localSheetId="17">#REF!</definedName>
    <definedName name="E" localSheetId="13">#REF!</definedName>
    <definedName name="E" localSheetId="18">#REF!</definedName>
    <definedName name="E" localSheetId="14">#REF!</definedName>
    <definedName name="E" localSheetId="19">#REF!</definedName>
    <definedName name="E" localSheetId="16">#REF!</definedName>
    <definedName name="E" localSheetId="10">#REF!</definedName>
    <definedName name="E" localSheetId="11">#REF!</definedName>
    <definedName name="E">#REF!</definedName>
    <definedName name="EQUIPMENT">[3]Code!$A$33:$C$88</definedName>
    <definedName name="I" localSheetId="12">#REF!</definedName>
    <definedName name="I" localSheetId="15">#REF!</definedName>
    <definedName name="I" localSheetId="17">#REF!</definedName>
    <definedName name="I" localSheetId="13">#REF!</definedName>
    <definedName name="I" localSheetId="18">#REF!</definedName>
    <definedName name="I" localSheetId="14">#REF!</definedName>
    <definedName name="I" localSheetId="19">#REF!</definedName>
    <definedName name="I" localSheetId="16">#REF!</definedName>
    <definedName name="I" localSheetId="10">#REF!</definedName>
    <definedName name="I" localSheetId="11">#REF!</definedName>
    <definedName name="I">#REF!</definedName>
    <definedName name="L" localSheetId="12">#REF!</definedName>
    <definedName name="L" localSheetId="15">#REF!</definedName>
    <definedName name="L" localSheetId="17">#REF!</definedName>
    <definedName name="L" localSheetId="13">#REF!</definedName>
    <definedName name="L" localSheetId="18">#REF!</definedName>
    <definedName name="L" localSheetId="14">#REF!</definedName>
    <definedName name="L" localSheetId="19">#REF!</definedName>
    <definedName name="L" localSheetId="16">#REF!</definedName>
    <definedName name="L" localSheetId="10">#REF!</definedName>
    <definedName name="L" localSheetId="11">#REF!</definedName>
    <definedName name="L">#REF!</definedName>
    <definedName name="lpcd" localSheetId="12">#REF!</definedName>
    <definedName name="lpcd" localSheetId="15">#REF!</definedName>
    <definedName name="lpcd" localSheetId="17">#REF!</definedName>
    <definedName name="lpcd" localSheetId="13">#REF!</definedName>
    <definedName name="lpcd" localSheetId="18">#REF!</definedName>
    <definedName name="lpcd" localSheetId="14">#REF!</definedName>
    <definedName name="lpcd" localSheetId="19">#REF!</definedName>
    <definedName name="lpcd" localSheetId="16">#REF!</definedName>
    <definedName name="lpcd" localSheetId="10">#REF!</definedName>
    <definedName name="lpcd" localSheetId="11">#REF!</definedName>
    <definedName name="lpcd">#REF!</definedName>
    <definedName name="Manpower">[3]Code!$A$6:$C$31</definedName>
    <definedName name="Material">[3]Code!$A$90:$C$183</definedName>
    <definedName name="n" localSheetId="12">#REF!</definedName>
    <definedName name="n" localSheetId="15">#REF!</definedName>
    <definedName name="n" localSheetId="17">#REF!</definedName>
    <definedName name="n" localSheetId="13">#REF!</definedName>
    <definedName name="n" localSheetId="18">#REF!</definedName>
    <definedName name="n" localSheetId="14">#REF!</definedName>
    <definedName name="n" localSheetId="19">#REF!</definedName>
    <definedName name="n" localSheetId="16">#REF!</definedName>
    <definedName name="n" localSheetId="10">#REF!</definedName>
    <definedName name="n" localSheetId="11">#REF!</definedName>
    <definedName name="n">#REF!</definedName>
    <definedName name="name" localSheetId="0">#REF!</definedName>
    <definedName name="name" localSheetId="12">#REF!</definedName>
    <definedName name="name" localSheetId="15">#REF!</definedName>
    <definedName name="name" localSheetId="17">#REF!</definedName>
    <definedName name="name" localSheetId="13">#REF!</definedName>
    <definedName name="name" localSheetId="18">#REF!</definedName>
    <definedName name="name" localSheetId="14">#REF!</definedName>
    <definedName name="name" localSheetId="19">#REF!</definedName>
    <definedName name="name" localSheetId="16">#REF!</definedName>
    <definedName name="name" localSheetId="10">#REF!</definedName>
    <definedName name="name" localSheetId="11">#REF!</definedName>
    <definedName name="name" localSheetId="1">#REF!</definedName>
    <definedName name="name">#REF!</definedName>
    <definedName name="O" localSheetId="12">#REF!</definedName>
    <definedName name="O" localSheetId="15">#REF!</definedName>
    <definedName name="O" localSheetId="17">#REF!</definedName>
    <definedName name="O" localSheetId="13">#REF!</definedName>
    <definedName name="O" localSheetId="18">#REF!</definedName>
    <definedName name="O" localSheetId="14">#REF!</definedName>
    <definedName name="O" localSheetId="19">#REF!</definedName>
    <definedName name="O" localSheetId="16">#REF!</definedName>
    <definedName name="O" localSheetId="10">#REF!</definedName>
    <definedName name="O" localSheetId="11">#REF!</definedName>
    <definedName name="O">#REF!</definedName>
    <definedName name="OLE_LINK2" localSheetId="12">#REF!</definedName>
    <definedName name="OLE_LINK2" localSheetId="15">#REF!</definedName>
    <definedName name="OLE_LINK2" localSheetId="17">#REF!</definedName>
    <definedName name="OLE_LINK2" localSheetId="13">#REF!</definedName>
    <definedName name="OLE_LINK2" localSheetId="18">#REF!</definedName>
    <definedName name="OLE_LINK2" localSheetId="14">#REF!</definedName>
    <definedName name="OLE_LINK2" localSheetId="19">#REF!</definedName>
    <definedName name="OLE_LINK2" localSheetId="16">#REF!</definedName>
    <definedName name="OLE_LINK2" localSheetId="10">#REF!</definedName>
    <definedName name="OLE_LINK2" localSheetId="11">#REF!</definedName>
    <definedName name="OLE_LINK2">#REF!</definedName>
    <definedName name="p" localSheetId="12">#REF!</definedName>
    <definedName name="p" localSheetId="15">#REF!</definedName>
    <definedName name="p" localSheetId="17">#REF!</definedName>
    <definedName name="p" localSheetId="13">#REF!</definedName>
    <definedName name="p" localSheetId="18">#REF!</definedName>
    <definedName name="p" localSheetId="14">#REF!</definedName>
    <definedName name="p" localSheetId="19">#REF!</definedName>
    <definedName name="p" localSheetId="16">#REF!</definedName>
    <definedName name="p" localSheetId="10">#REF!</definedName>
    <definedName name="p" localSheetId="11">#REF!</definedName>
    <definedName name="p">#REF!</definedName>
    <definedName name="_xlnm.Print_Area" localSheetId="0">'Appendix C Building'!$A$1:$F$905</definedName>
    <definedName name="_xlnm.Print_Area" localSheetId="7">'BOQ-AUDOTORIUM(Civil)'!$A$1:$G$72</definedName>
    <definedName name="_xlnm.Print_Area" localSheetId="9">'BOQ-EXT. DEVLOP. (Civil)'!$A$1:$G$92</definedName>
    <definedName name="_xlnm.Print_Area" localSheetId="3">'BOQ-OFFICE BUILDING (Civil)'!$A$1:$G$94</definedName>
    <definedName name="_xlnm.Print_Area" localSheetId="5">'BOQ-STAFF BUILDING (Civil)'!$A$1:$G$82</definedName>
    <definedName name="_xlnm.Print_Area" localSheetId="6">'Material Diff- Audotorium'!$A$1:$I$72</definedName>
    <definedName name="_xlnm.Print_Area" localSheetId="8">'Material Diff- External Dev.'!$A$1:$J$92</definedName>
    <definedName name="_xlnm.Print_Area" localSheetId="12">'Mst-Auditrium '!$A$1:$I$169</definedName>
    <definedName name="_xlnm.Print_Area" localSheetId="15">'Mst-Civil Storm Water '!$A$1:$I$131</definedName>
    <definedName name="_xlnm.Print_Area" localSheetId="17">'Mst-Civil UG TANK'!$A$1:$I$146</definedName>
    <definedName name="_xlnm.Print_Area" localSheetId="13">'Mst-External'!$A$1:$I$30</definedName>
    <definedName name="_xlnm.Print_Area" localSheetId="18">'Mst-Fire FIghting Tank'!$A$1:$I$144</definedName>
    <definedName name="_xlnm.Print_Area" localSheetId="14">'Mst-Fountain'!$A$1:$I$44</definedName>
    <definedName name="_xlnm.Print_Area" localSheetId="19">'Mst-Septic Tank'!$A$1:$I$89</definedName>
    <definedName name="_xlnm.Print_Area" localSheetId="16">'Mst-TubeWell '!$A$1:$I$132</definedName>
    <definedName name="_xlnm.Print_Area" localSheetId="10">'Mst-With Solar'!$A$1:$I$57</definedName>
    <definedName name="_xlnm.Print_Area" localSheetId="11">'Mst-Without Solar'!$A$1:$I$58</definedName>
    <definedName name="_xlnm.Print_Area" localSheetId="1">Summary!$A$1:$C$26</definedName>
    <definedName name="_xlnm.Print_Area">#REF!</definedName>
    <definedName name="PRINT_AREA_MI">#N/A</definedName>
    <definedName name="_xlnm.Print_Titles" localSheetId="0">'Appendix C Building'!$1:$4</definedName>
    <definedName name="_xlnm.Print_Titles" localSheetId="7">'BOQ-AUDOTORIUM(Civil)'!$3:$4</definedName>
    <definedName name="_xlnm.Print_Titles" localSheetId="9">'BOQ-EXT. DEVLOP. (Civil)'!$3:$4</definedName>
    <definedName name="_xlnm.Print_Titles" localSheetId="3">'BOQ-OFFICE BUILDING (Civil)'!$3:$4</definedName>
    <definedName name="_xlnm.Print_Titles" localSheetId="5">'BOQ-STAFF BUILDING (Civil)'!$3:$4</definedName>
    <definedName name="_xlnm.Print_Titles" localSheetId="6">'Material Diff- Audotorium'!$1:$4</definedName>
    <definedName name="_xlnm.Print_Titles" localSheetId="8">'Material Diff- External Dev.'!$1:$4</definedName>
    <definedName name="_xlnm.Print_Titles" localSheetId="2">'Material Diff- Office Building'!$1:$4</definedName>
    <definedName name="_xlnm.Print_Titles" localSheetId="12">'Mst-Auditrium '!$1:$3</definedName>
    <definedName name="_xlnm.Print_Titles" localSheetId="15">'Mst-Civil Storm Water '!$1:$3</definedName>
    <definedName name="_xlnm.Print_Titles" localSheetId="17">'Mst-Civil UG TANK'!$1:$3</definedName>
    <definedName name="_xlnm.Print_Titles" localSheetId="13">'Mst-External'!$1:$3</definedName>
    <definedName name="_xlnm.Print_Titles" localSheetId="18">'Mst-Fire FIghting Tank'!$1:$3</definedName>
    <definedName name="_xlnm.Print_Titles" localSheetId="14">'Mst-Fountain'!$1:$3</definedName>
    <definedName name="_xlnm.Print_Titles" localSheetId="19">'Mst-Septic Tank'!$1:$3</definedName>
    <definedName name="_xlnm.Print_Titles" localSheetId="16">'Mst-TubeWell '!$1:$3</definedName>
    <definedName name="_xlnm.Print_Titles" localSheetId="10">'Mst-With Solar'!$1:$4</definedName>
    <definedName name="_xlnm.Print_Titles" localSheetId="11">'Mst-Without Solar'!$1:$4</definedName>
    <definedName name="q" localSheetId="12">#REF!</definedName>
    <definedName name="q" localSheetId="15">#REF!</definedName>
    <definedName name="q" localSheetId="17">#REF!</definedName>
    <definedName name="q" localSheetId="13">#REF!</definedName>
    <definedName name="q" localSheetId="18">#REF!</definedName>
    <definedName name="q" localSheetId="14">#REF!</definedName>
    <definedName name="q" localSheetId="19">#REF!</definedName>
    <definedName name="q" localSheetId="16">#REF!</definedName>
    <definedName name="q" localSheetId="10">#REF!</definedName>
    <definedName name="q" localSheetId="11">#REF!</definedName>
    <definedName name="q">#REF!</definedName>
    <definedName name="qqqqq" localSheetId="12">#REF!</definedName>
    <definedName name="qqqqq" localSheetId="15">#REF!</definedName>
    <definedName name="qqqqq" localSheetId="17">#REF!</definedName>
    <definedName name="qqqqq" localSheetId="13">#REF!</definedName>
    <definedName name="qqqqq" localSheetId="18">#REF!</definedName>
    <definedName name="qqqqq" localSheetId="14">#REF!</definedName>
    <definedName name="qqqqq" localSheetId="19">#REF!</definedName>
    <definedName name="qqqqq" localSheetId="16">#REF!</definedName>
    <definedName name="qqqqq" localSheetId="10">#REF!</definedName>
    <definedName name="qqqqq" localSheetId="11">#REF!</definedName>
    <definedName name="qqqqq">#REF!</definedName>
    <definedName name="_xlnm.Recorder" localSheetId="12">#REF!</definedName>
    <definedName name="_xlnm.Recorder" localSheetId="15">#REF!</definedName>
    <definedName name="_xlnm.Recorder" localSheetId="17">#REF!</definedName>
    <definedName name="_xlnm.Recorder" localSheetId="13">#REF!</definedName>
    <definedName name="_xlnm.Recorder" localSheetId="18">#REF!</definedName>
    <definedName name="_xlnm.Recorder" localSheetId="14">#REF!</definedName>
    <definedName name="_xlnm.Recorder" localSheetId="19">#REF!</definedName>
    <definedName name="_xlnm.Recorder" localSheetId="16">#REF!</definedName>
    <definedName name="_xlnm.Recorder" localSheetId="10">#REF!</definedName>
    <definedName name="_xlnm.Recorder" localSheetId="11">#REF!</definedName>
    <definedName name="_xlnm.Recorder">#REF!</definedName>
    <definedName name="s" localSheetId="12">#REF!</definedName>
    <definedName name="s" localSheetId="15">#REF!</definedName>
    <definedName name="s" localSheetId="17">#REF!</definedName>
    <definedName name="s" localSheetId="13">#REF!</definedName>
    <definedName name="s" localSheetId="18">#REF!</definedName>
    <definedName name="s" localSheetId="14">#REF!</definedName>
    <definedName name="s" localSheetId="19">#REF!</definedName>
    <definedName name="s" localSheetId="16">#REF!</definedName>
    <definedName name="s" localSheetId="10">#REF!</definedName>
    <definedName name="s" localSheetId="11">#REF!</definedName>
    <definedName name="s">#REF!</definedName>
    <definedName name="scv" localSheetId="12">#REF!</definedName>
    <definedName name="scv" localSheetId="15">#REF!</definedName>
    <definedName name="scv" localSheetId="17">#REF!</definedName>
    <definedName name="scv" localSheetId="13">#REF!</definedName>
    <definedName name="scv" localSheetId="18">#REF!</definedName>
    <definedName name="scv" localSheetId="14">#REF!</definedName>
    <definedName name="scv" localSheetId="19">#REF!</definedName>
    <definedName name="scv" localSheetId="16">#REF!</definedName>
    <definedName name="scv" localSheetId="10">#REF!</definedName>
    <definedName name="scv" localSheetId="11">#REF!</definedName>
    <definedName name="scv">#REF!</definedName>
    <definedName name="ta">[1]Sheet5!$D$4</definedName>
    <definedName name="thickness">[2]Sheet1!$F$25</definedName>
    <definedName name="v" localSheetId="12">#REF!</definedName>
    <definedName name="v" localSheetId="15">#REF!</definedName>
    <definedName name="v" localSheetId="17">#REF!</definedName>
    <definedName name="v" localSheetId="13">#REF!</definedName>
    <definedName name="v" localSheetId="18">#REF!</definedName>
    <definedName name="v" localSheetId="14">#REF!</definedName>
    <definedName name="v" localSheetId="19">#REF!</definedName>
    <definedName name="v" localSheetId="16">#REF!</definedName>
    <definedName name="v" localSheetId="10">#REF!</definedName>
    <definedName name="v" localSheetId="11">#REF!</definedName>
    <definedName name="v">#REF!</definedName>
    <definedName name="vel" localSheetId="12">#REF!</definedName>
    <definedName name="vel" localSheetId="15">#REF!</definedName>
    <definedName name="vel" localSheetId="17">#REF!</definedName>
    <definedName name="vel" localSheetId="13">#REF!</definedName>
    <definedName name="vel" localSheetId="18">#REF!</definedName>
    <definedName name="vel" localSheetId="14">#REF!</definedName>
    <definedName name="vel" localSheetId="19">#REF!</definedName>
    <definedName name="vel" localSheetId="16">#REF!</definedName>
    <definedName name="vel" localSheetId="10">#REF!</definedName>
    <definedName name="vel" localSheetId="11">#REF!</definedName>
    <definedName name="vel">#REF!</definedName>
    <definedName name="y" localSheetId="12">#REF!</definedName>
    <definedName name="y" localSheetId="15">#REF!</definedName>
    <definedName name="y" localSheetId="17">#REF!</definedName>
    <definedName name="y" localSheetId="13">#REF!</definedName>
    <definedName name="y" localSheetId="18">#REF!</definedName>
    <definedName name="y" localSheetId="14">#REF!</definedName>
    <definedName name="y" localSheetId="19">#REF!</definedName>
    <definedName name="y" localSheetId="16">#REF!</definedName>
    <definedName name="y" localSheetId="10">#REF!</definedName>
    <definedName name="y" localSheetId="11">#REF!</definedName>
    <definedName name="y">#REF!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3" i="32" l="1"/>
  <c r="M13" i="32"/>
  <c r="M12" i="32"/>
  <c r="C11" i="24"/>
  <c r="C10" i="24"/>
  <c r="C9" i="24"/>
  <c r="C8" i="24"/>
  <c r="C7" i="24"/>
  <c r="G89" i="32" l="1"/>
  <c r="G88" i="32"/>
  <c r="G87" i="32"/>
  <c r="G86" i="32"/>
  <c r="G85" i="32"/>
  <c r="G84" i="32"/>
  <c r="G82" i="32"/>
  <c r="G81" i="32"/>
  <c r="G80" i="32"/>
  <c r="G79" i="32"/>
  <c r="G78" i="32"/>
  <c r="G77" i="32"/>
  <c r="G75" i="32"/>
  <c r="G73" i="32"/>
  <c r="G72" i="32"/>
  <c r="G70" i="32"/>
  <c r="G68" i="32"/>
  <c r="G67" i="32"/>
  <c r="G66" i="32"/>
  <c r="G65" i="32"/>
  <c r="G64" i="32"/>
  <c r="G63" i="32"/>
  <c r="G62" i="32"/>
  <c r="G61" i="32"/>
  <c r="G60" i="32"/>
  <c r="G59" i="32"/>
  <c r="G58" i="32"/>
  <c r="G57" i="32"/>
  <c r="G55" i="32"/>
  <c r="G54" i="32"/>
  <c r="G53" i="32"/>
  <c r="G52" i="32"/>
  <c r="G51" i="32"/>
  <c r="G49" i="32"/>
  <c r="G48" i="32"/>
  <c r="G47" i="32"/>
  <c r="G46" i="32"/>
  <c r="G45" i="32"/>
  <c r="G43" i="32"/>
  <c r="G41" i="32"/>
  <c r="G40" i="32"/>
  <c r="G38" i="32"/>
  <c r="G37" i="32"/>
  <c r="G36" i="32"/>
  <c r="G35" i="32"/>
  <c r="G34" i="32"/>
  <c r="G32" i="32"/>
  <c r="G31" i="32"/>
  <c r="G29" i="32"/>
  <c r="G28" i="32"/>
  <c r="G27" i="32"/>
  <c r="G26" i="32"/>
  <c r="G25" i="32"/>
  <c r="G23" i="32"/>
  <c r="G22" i="32"/>
  <c r="G21" i="32"/>
  <c r="G20" i="32"/>
  <c r="G17" i="32"/>
  <c r="G16" i="32"/>
  <c r="G14" i="32"/>
  <c r="G13" i="32"/>
  <c r="G12" i="32"/>
  <c r="G11" i="32"/>
  <c r="G9" i="32"/>
  <c r="A9" i="32"/>
  <c r="A10" i="32" s="1"/>
  <c r="G8" i="32"/>
  <c r="A8" i="32"/>
  <c r="G7" i="32"/>
  <c r="E87" i="31"/>
  <c r="D87" i="31"/>
  <c r="C87" i="31"/>
  <c r="J86" i="31"/>
  <c r="I86" i="31"/>
  <c r="F86" i="31"/>
  <c r="E86" i="31"/>
  <c r="D86" i="31"/>
  <c r="C86" i="31"/>
  <c r="E85" i="31"/>
  <c r="D85" i="31"/>
  <c r="C85" i="31"/>
  <c r="E84" i="31"/>
  <c r="D84" i="31"/>
  <c r="C84" i="31"/>
  <c r="E83" i="31"/>
  <c r="D83" i="31"/>
  <c r="C83" i="31"/>
  <c r="E82" i="31"/>
  <c r="D82" i="31"/>
  <c r="C82" i="31"/>
  <c r="A82" i="31"/>
  <c r="C81" i="31"/>
  <c r="J80" i="31"/>
  <c r="E80" i="31"/>
  <c r="D80" i="31"/>
  <c r="C80" i="31"/>
  <c r="E79" i="31"/>
  <c r="D79" i="31"/>
  <c r="C79" i="31"/>
  <c r="M78" i="31"/>
  <c r="L78" i="31"/>
  <c r="I78" i="31"/>
  <c r="J78" i="31" s="1"/>
  <c r="F78" i="31"/>
  <c r="E78" i="31"/>
  <c r="D78" i="31"/>
  <c r="C78" i="31"/>
  <c r="E77" i="31"/>
  <c r="D77" i="31"/>
  <c r="C77" i="31"/>
  <c r="E76" i="31"/>
  <c r="D76" i="31"/>
  <c r="C76" i="31"/>
  <c r="E75" i="31"/>
  <c r="D75" i="31"/>
  <c r="C75" i="31"/>
  <c r="A75" i="31"/>
  <c r="C74" i="31"/>
  <c r="E73" i="31"/>
  <c r="D73" i="31"/>
  <c r="C73" i="31"/>
  <c r="A72" i="31"/>
  <c r="E71" i="31"/>
  <c r="D71" i="31"/>
  <c r="C71" i="31"/>
  <c r="E70" i="31"/>
  <c r="D70" i="31"/>
  <c r="F70" i="31" s="1"/>
  <c r="I70" i="31" s="1"/>
  <c r="C70" i="31"/>
  <c r="A70" i="31"/>
  <c r="C69" i="31"/>
  <c r="E68" i="31"/>
  <c r="D68" i="31"/>
  <c r="F68" i="31" s="1"/>
  <c r="C68" i="31"/>
  <c r="A68" i="31"/>
  <c r="C67" i="31"/>
  <c r="E66" i="31"/>
  <c r="D66" i="31"/>
  <c r="G66" i="31" s="1"/>
  <c r="C66" i="31"/>
  <c r="F65" i="31"/>
  <c r="J65" i="31" s="1"/>
  <c r="E65" i="31"/>
  <c r="D65" i="31"/>
  <c r="C65" i="31"/>
  <c r="J64" i="31"/>
  <c r="I64" i="31"/>
  <c r="F64" i="31"/>
  <c r="E64" i="31"/>
  <c r="D64" i="31"/>
  <c r="C64" i="31"/>
  <c r="H63" i="31"/>
  <c r="E63" i="31"/>
  <c r="D63" i="31"/>
  <c r="C63" i="31"/>
  <c r="E62" i="31"/>
  <c r="D62" i="31"/>
  <c r="C62" i="31"/>
  <c r="E61" i="31"/>
  <c r="D61" i="31"/>
  <c r="C61" i="31"/>
  <c r="E60" i="31"/>
  <c r="D60" i="31"/>
  <c r="C60" i="31"/>
  <c r="E59" i="31"/>
  <c r="D59" i="31"/>
  <c r="C59" i="31"/>
  <c r="E58" i="31"/>
  <c r="D58" i="31"/>
  <c r="F58" i="31" s="1"/>
  <c r="I58" i="31" s="1"/>
  <c r="C58" i="31"/>
  <c r="F57" i="31"/>
  <c r="I57" i="31" s="1"/>
  <c r="E57" i="31"/>
  <c r="D57" i="31"/>
  <c r="C57" i="31"/>
  <c r="J56" i="31"/>
  <c r="I56" i="31"/>
  <c r="F56" i="31"/>
  <c r="E56" i="31"/>
  <c r="D56" i="31"/>
  <c r="C56" i="31"/>
  <c r="I55" i="31"/>
  <c r="F55" i="31"/>
  <c r="E55" i="31"/>
  <c r="D55" i="31"/>
  <c r="C55" i="31"/>
  <c r="C54" i="31"/>
  <c r="A54" i="31"/>
  <c r="I53" i="31"/>
  <c r="F53" i="31"/>
  <c r="E53" i="31"/>
  <c r="D53" i="31"/>
  <c r="C53" i="31"/>
  <c r="E52" i="31"/>
  <c r="D52" i="31"/>
  <c r="C52" i="31"/>
  <c r="E51" i="31"/>
  <c r="D51" i="31"/>
  <c r="C51" i="31"/>
  <c r="E50" i="31"/>
  <c r="D50" i="31"/>
  <c r="C50" i="31"/>
  <c r="I49" i="31"/>
  <c r="F49" i="31"/>
  <c r="E49" i="31"/>
  <c r="D49" i="31"/>
  <c r="C49" i="31"/>
  <c r="A49" i="31"/>
  <c r="C48" i="31"/>
  <c r="E47" i="31"/>
  <c r="D47" i="31"/>
  <c r="C47" i="31"/>
  <c r="L46" i="31"/>
  <c r="M46" i="31" s="1"/>
  <c r="I46" i="31"/>
  <c r="F46" i="31"/>
  <c r="E46" i="31"/>
  <c r="D46" i="31"/>
  <c r="C46" i="31"/>
  <c r="E45" i="31"/>
  <c r="D45" i="31"/>
  <c r="C45" i="31"/>
  <c r="E44" i="31"/>
  <c r="D44" i="31"/>
  <c r="C44" i="31"/>
  <c r="A44" i="31"/>
  <c r="E43" i="31"/>
  <c r="D43" i="31"/>
  <c r="C43" i="31"/>
  <c r="A43" i="31"/>
  <c r="C42" i="31"/>
  <c r="E41" i="31"/>
  <c r="D41" i="31"/>
  <c r="C41" i="31"/>
  <c r="A41" i="31"/>
  <c r="C40" i="31"/>
  <c r="E39" i="31"/>
  <c r="D39" i="31"/>
  <c r="C39" i="31"/>
  <c r="A39" i="31"/>
  <c r="E38" i="31"/>
  <c r="D38" i="31"/>
  <c r="C38" i="31"/>
  <c r="A38" i="31"/>
  <c r="C37" i="31"/>
  <c r="E36" i="31"/>
  <c r="D36" i="31"/>
  <c r="C36" i="31"/>
  <c r="E35" i="31"/>
  <c r="D35" i="31"/>
  <c r="C35" i="31"/>
  <c r="M34" i="31"/>
  <c r="L34" i="31"/>
  <c r="K34" i="31"/>
  <c r="G34" i="31"/>
  <c r="E34" i="31"/>
  <c r="D34" i="31"/>
  <c r="C34" i="31"/>
  <c r="G33" i="31"/>
  <c r="E33" i="31"/>
  <c r="D33" i="31"/>
  <c r="C33" i="31"/>
  <c r="G32" i="31"/>
  <c r="E32" i="31"/>
  <c r="D32" i="31"/>
  <c r="C32" i="31"/>
  <c r="A32" i="31"/>
  <c r="C31" i="31"/>
  <c r="I30" i="31"/>
  <c r="F30" i="31"/>
  <c r="E30" i="31"/>
  <c r="D30" i="31"/>
  <c r="C30" i="31"/>
  <c r="A30" i="31"/>
  <c r="F29" i="31"/>
  <c r="I29" i="31" s="1"/>
  <c r="E29" i="31"/>
  <c r="D29" i="31"/>
  <c r="C29" i="31"/>
  <c r="A29" i="31"/>
  <c r="C28" i="31"/>
  <c r="L27" i="31"/>
  <c r="J27" i="31"/>
  <c r="I27" i="31"/>
  <c r="F27" i="31"/>
  <c r="E27" i="31"/>
  <c r="D27" i="31"/>
  <c r="C27" i="31"/>
  <c r="E26" i="31"/>
  <c r="D26" i="31"/>
  <c r="G26" i="31" s="1"/>
  <c r="G88" i="31" s="1"/>
  <c r="G91" i="31" s="1"/>
  <c r="C26" i="31"/>
  <c r="E25" i="31"/>
  <c r="D25" i="31"/>
  <c r="F25" i="31" s="1"/>
  <c r="C25" i="31"/>
  <c r="A25" i="31"/>
  <c r="J24" i="31"/>
  <c r="I24" i="31"/>
  <c r="F24" i="31"/>
  <c r="E24" i="31"/>
  <c r="D24" i="31"/>
  <c r="C24" i="31"/>
  <c r="A24" i="31"/>
  <c r="J23" i="31"/>
  <c r="I23" i="31"/>
  <c r="F23" i="31"/>
  <c r="E23" i="31"/>
  <c r="D23" i="31"/>
  <c r="C23" i="31"/>
  <c r="A23" i="31"/>
  <c r="C22" i="31"/>
  <c r="A22" i="31"/>
  <c r="J21" i="31"/>
  <c r="I21" i="31"/>
  <c r="F21" i="31"/>
  <c r="E21" i="31"/>
  <c r="D21" i="31"/>
  <c r="C21" i="31"/>
  <c r="A21" i="31"/>
  <c r="J20" i="31"/>
  <c r="I20" i="31"/>
  <c r="F20" i="31"/>
  <c r="E20" i="31"/>
  <c r="D20" i="31"/>
  <c r="C20" i="31"/>
  <c r="A20" i="31"/>
  <c r="J19" i="31"/>
  <c r="I19" i="31"/>
  <c r="F19" i="31"/>
  <c r="E19" i="31"/>
  <c r="D19" i="31"/>
  <c r="C19" i="31"/>
  <c r="A19" i="31"/>
  <c r="J18" i="31"/>
  <c r="I18" i="31"/>
  <c r="F18" i="31"/>
  <c r="E18" i="31"/>
  <c r="D18" i="31"/>
  <c r="C18" i="31"/>
  <c r="A18" i="31"/>
  <c r="C17" i="31"/>
  <c r="A17" i="31"/>
  <c r="C16" i="31"/>
  <c r="J15" i="31"/>
  <c r="I15" i="31"/>
  <c r="F15" i="31"/>
  <c r="E15" i="31"/>
  <c r="D15" i="31"/>
  <c r="C15" i="31"/>
  <c r="A15" i="31"/>
  <c r="J14" i="31"/>
  <c r="I14" i="31"/>
  <c r="F14" i="31"/>
  <c r="E14" i="31"/>
  <c r="D14" i="31"/>
  <c r="C14" i="31"/>
  <c r="A14" i="31"/>
  <c r="C13" i="31"/>
  <c r="J12" i="31"/>
  <c r="I12" i="31"/>
  <c r="F12" i="31"/>
  <c r="E12" i="31"/>
  <c r="D12" i="31"/>
  <c r="C12" i="31"/>
  <c r="J11" i="31"/>
  <c r="I11" i="31"/>
  <c r="F11" i="31"/>
  <c r="E11" i="31"/>
  <c r="D11" i="31"/>
  <c r="C11" i="31"/>
  <c r="H10" i="31"/>
  <c r="E10" i="31"/>
  <c r="D10" i="31"/>
  <c r="C10" i="31"/>
  <c r="E9" i="31"/>
  <c r="D9" i="31"/>
  <c r="H9" i="31" s="1"/>
  <c r="H88" i="31" s="1"/>
  <c r="H91" i="31" s="1"/>
  <c r="C9" i="31"/>
  <c r="A9" i="31"/>
  <c r="C8" i="31"/>
  <c r="E7" i="31"/>
  <c r="D7" i="31"/>
  <c r="C7" i="31"/>
  <c r="A7" i="31"/>
  <c r="E6" i="31"/>
  <c r="D6" i="31"/>
  <c r="C6" i="31"/>
  <c r="A6" i="31"/>
  <c r="E5" i="31"/>
  <c r="D5" i="31"/>
  <c r="C5" i="31"/>
  <c r="A5" i="31"/>
  <c r="A2" i="31"/>
  <c r="G69" i="30"/>
  <c r="G68" i="30"/>
  <c r="G67" i="30"/>
  <c r="G66" i="30"/>
  <c r="G65" i="30"/>
  <c r="G64" i="30"/>
  <c r="G63" i="30"/>
  <c r="G62" i="30"/>
  <c r="G61" i="30"/>
  <c r="G60" i="30"/>
  <c r="G59" i="30"/>
  <c r="G58" i="30"/>
  <c r="G57" i="30"/>
  <c r="G56" i="30"/>
  <c r="G53" i="30"/>
  <c r="G51" i="30"/>
  <c r="G50" i="30"/>
  <c r="G49" i="30"/>
  <c r="G48" i="30"/>
  <c r="G47" i="30"/>
  <c r="G46" i="30"/>
  <c r="G45" i="30"/>
  <c r="G44" i="30"/>
  <c r="G42" i="30"/>
  <c r="G41" i="30"/>
  <c r="G40" i="30"/>
  <c r="G39" i="30"/>
  <c r="G38" i="30"/>
  <c r="G37" i="30"/>
  <c r="G36" i="30"/>
  <c r="G34" i="30"/>
  <c r="G33" i="30"/>
  <c r="G32" i="30"/>
  <c r="G31" i="30"/>
  <c r="G30" i="30"/>
  <c r="G29" i="30"/>
  <c r="G28" i="30"/>
  <c r="G26" i="30"/>
  <c r="G25" i="30"/>
  <c r="G24" i="30"/>
  <c r="G23" i="30"/>
  <c r="G22" i="30"/>
  <c r="G21" i="30"/>
  <c r="G20" i="30"/>
  <c r="G19" i="30"/>
  <c r="G18" i="30"/>
  <c r="G17" i="30"/>
  <c r="G16" i="30"/>
  <c r="G15" i="30"/>
  <c r="G14" i="30"/>
  <c r="G13" i="30"/>
  <c r="G12" i="30"/>
  <c r="G11" i="30"/>
  <c r="G10" i="30"/>
  <c r="G9" i="30"/>
  <c r="A9" i="30"/>
  <c r="G8" i="30"/>
  <c r="A8" i="30"/>
  <c r="G7" i="30"/>
  <c r="E67" i="29"/>
  <c r="H67" i="29" s="1"/>
  <c r="I67" i="29" s="1"/>
  <c r="D67" i="29"/>
  <c r="C67" i="29"/>
  <c r="B67" i="29"/>
  <c r="D66" i="29"/>
  <c r="C66" i="29"/>
  <c r="E66" i="29" s="1"/>
  <c r="H66" i="29" s="1"/>
  <c r="B66" i="29"/>
  <c r="H65" i="29"/>
  <c r="E65" i="29"/>
  <c r="D65" i="29"/>
  <c r="C65" i="29"/>
  <c r="B65" i="29"/>
  <c r="D64" i="29"/>
  <c r="C64" i="29"/>
  <c r="B64" i="29"/>
  <c r="D63" i="29"/>
  <c r="C63" i="29"/>
  <c r="B63" i="29"/>
  <c r="H62" i="29"/>
  <c r="E62" i="29"/>
  <c r="D62" i="29"/>
  <c r="C62" i="29"/>
  <c r="B62" i="29"/>
  <c r="D61" i="29"/>
  <c r="C61" i="29"/>
  <c r="B61" i="29"/>
  <c r="D60" i="29"/>
  <c r="C60" i="29"/>
  <c r="B60" i="29"/>
  <c r="H59" i="29"/>
  <c r="I59" i="29" s="1"/>
  <c r="E59" i="29"/>
  <c r="D59" i="29"/>
  <c r="C59" i="29"/>
  <c r="B59" i="29"/>
  <c r="D58" i="29"/>
  <c r="C58" i="29"/>
  <c r="B58" i="29"/>
  <c r="D57" i="29"/>
  <c r="C57" i="29"/>
  <c r="B57" i="29"/>
  <c r="D56" i="29"/>
  <c r="C56" i="29"/>
  <c r="B56" i="29"/>
  <c r="D55" i="29"/>
  <c r="C55" i="29"/>
  <c r="B55" i="29"/>
  <c r="D54" i="29"/>
  <c r="C54" i="29"/>
  <c r="B54" i="29"/>
  <c r="A54" i="29"/>
  <c r="B53" i="29"/>
  <c r="B52" i="29"/>
  <c r="A52" i="29"/>
  <c r="H51" i="29"/>
  <c r="I51" i="29" s="1"/>
  <c r="E51" i="29"/>
  <c r="D51" i="29"/>
  <c r="C51" i="29"/>
  <c r="B51" i="29"/>
  <c r="A51" i="29"/>
  <c r="B50" i="29"/>
  <c r="D49" i="29"/>
  <c r="C49" i="29"/>
  <c r="B49" i="29"/>
  <c r="D48" i="29"/>
  <c r="C48" i="29"/>
  <c r="E48" i="29" s="1"/>
  <c r="H48" i="29" s="1"/>
  <c r="I48" i="29" s="1"/>
  <c r="B48" i="29"/>
  <c r="H47" i="29"/>
  <c r="E47" i="29"/>
  <c r="D47" i="29"/>
  <c r="C47" i="29"/>
  <c r="B47" i="29"/>
  <c r="L46" i="29"/>
  <c r="K46" i="29"/>
  <c r="I46" i="29"/>
  <c r="H46" i="29"/>
  <c r="E46" i="29"/>
  <c r="D46" i="29"/>
  <c r="C46" i="29"/>
  <c r="B46" i="29"/>
  <c r="D45" i="29"/>
  <c r="C45" i="29"/>
  <c r="B45" i="29"/>
  <c r="E44" i="29"/>
  <c r="H44" i="29" s="1"/>
  <c r="I44" i="29" s="1"/>
  <c r="D44" i="29"/>
  <c r="C44" i="29"/>
  <c r="B44" i="29"/>
  <c r="D43" i="29"/>
  <c r="C43" i="29"/>
  <c r="E43" i="29" s="1"/>
  <c r="H43" i="29" s="1"/>
  <c r="B43" i="29"/>
  <c r="H42" i="29"/>
  <c r="E42" i="29"/>
  <c r="D42" i="29"/>
  <c r="C42" i="29"/>
  <c r="B42" i="29"/>
  <c r="B41" i="29"/>
  <c r="A41" i="29"/>
  <c r="D40" i="29"/>
  <c r="C40" i="29"/>
  <c r="B40" i="29"/>
  <c r="D39" i="29"/>
  <c r="C39" i="29"/>
  <c r="B39" i="29"/>
  <c r="H38" i="29"/>
  <c r="E38" i="29"/>
  <c r="D38" i="29"/>
  <c r="C38" i="29"/>
  <c r="B38" i="29"/>
  <c r="D37" i="29"/>
  <c r="C37" i="29"/>
  <c r="B37" i="29"/>
  <c r="D36" i="29"/>
  <c r="C36" i="29"/>
  <c r="B36" i="29"/>
  <c r="D35" i="29"/>
  <c r="C35" i="29"/>
  <c r="B35" i="29"/>
  <c r="D34" i="29"/>
  <c r="C34" i="29"/>
  <c r="E34" i="29" s="1"/>
  <c r="H34" i="29" s="1"/>
  <c r="B34" i="29"/>
  <c r="A34" i="29"/>
  <c r="B33" i="29"/>
  <c r="D32" i="29"/>
  <c r="C32" i="29"/>
  <c r="B32" i="29"/>
  <c r="D31" i="29"/>
  <c r="C31" i="29"/>
  <c r="B31" i="29"/>
  <c r="D30" i="29"/>
  <c r="C30" i="29"/>
  <c r="B30" i="29"/>
  <c r="D29" i="29"/>
  <c r="C29" i="29"/>
  <c r="B29" i="29"/>
  <c r="D28" i="29"/>
  <c r="C28" i="29"/>
  <c r="B28" i="29"/>
  <c r="D27" i="29"/>
  <c r="C27" i="29"/>
  <c r="B27" i="29"/>
  <c r="D26" i="29"/>
  <c r="C26" i="29"/>
  <c r="B26" i="29"/>
  <c r="A26" i="29"/>
  <c r="B25" i="29"/>
  <c r="D24" i="29"/>
  <c r="C24" i="29"/>
  <c r="B24" i="29"/>
  <c r="D23" i="29"/>
  <c r="C23" i="29"/>
  <c r="B23" i="29"/>
  <c r="D22" i="29"/>
  <c r="C22" i="29"/>
  <c r="B22" i="29"/>
  <c r="D21" i="29"/>
  <c r="C21" i="29"/>
  <c r="B21" i="29"/>
  <c r="D20" i="29"/>
  <c r="C20" i="29"/>
  <c r="B20" i="29"/>
  <c r="D19" i="29"/>
  <c r="C19" i="29"/>
  <c r="B19" i="29"/>
  <c r="F18" i="29"/>
  <c r="D18" i="29"/>
  <c r="C18" i="29"/>
  <c r="B18" i="29"/>
  <c r="I17" i="29"/>
  <c r="H17" i="29"/>
  <c r="E17" i="29"/>
  <c r="D17" i="29"/>
  <c r="C17" i="29"/>
  <c r="B17" i="29"/>
  <c r="E16" i="29"/>
  <c r="I16" i="29" s="1"/>
  <c r="D16" i="29"/>
  <c r="C16" i="29"/>
  <c r="B16" i="29"/>
  <c r="D15" i="29"/>
  <c r="C15" i="29"/>
  <c r="F15" i="29" s="1"/>
  <c r="F68" i="29" s="1"/>
  <c r="F71" i="29" s="1"/>
  <c r="B15" i="29"/>
  <c r="I14" i="29"/>
  <c r="H14" i="29"/>
  <c r="E14" i="29"/>
  <c r="D14" i="29"/>
  <c r="C14" i="29"/>
  <c r="B14" i="29"/>
  <c r="I13" i="29"/>
  <c r="H13" i="29"/>
  <c r="E13" i="29"/>
  <c r="D13" i="29"/>
  <c r="C13" i="29"/>
  <c r="B13" i="29"/>
  <c r="D12" i="29"/>
  <c r="C12" i="29"/>
  <c r="B12" i="29"/>
  <c r="D11" i="29"/>
  <c r="C11" i="29"/>
  <c r="E11" i="29" s="1"/>
  <c r="B11" i="29"/>
  <c r="D10" i="29"/>
  <c r="C10" i="29"/>
  <c r="E10" i="29" s="1"/>
  <c r="B10" i="29"/>
  <c r="G9" i="29"/>
  <c r="G68" i="29" s="1"/>
  <c r="G71" i="29" s="1"/>
  <c r="D9" i="29"/>
  <c r="C9" i="29"/>
  <c r="B9" i="29"/>
  <c r="D8" i="29"/>
  <c r="C8" i="29"/>
  <c r="B8" i="29"/>
  <c r="D7" i="29"/>
  <c r="C7" i="29"/>
  <c r="B7" i="29"/>
  <c r="D6" i="29"/>
  <c r="C6" i="29"/>
  <c r="B6" i="29"/>
  <c r="A6" i="29"/>
  <c r="D5" i="29"/>
  <c r="C5" i="29"/>
  <c r="B5" i="29"/>
  <c r="A5" i="29"/>
  <c r="A2" i="29"/>
  <c r="G79" i="28"/>
  <c r="G78" i="28"/>
  <c r="G77" i="28"/>
  <c r="G76" i="28"/>
  <c r="G75" i="28"/>
  <c r="G74" i="28"/>
  <c r="G73" i="28"/>
  <c r="G72" i="28"/>
  <c r="G71" i="28"/>
  <c r="G70" i="28"/>
  <c r="G67" i="28"/>
  <c r="G66" i="28"/>
  <c r="G65" i="28"/>
  <c r="G64" i="28"/>
  <c r="G63" i="28"/>
  <c r="G62" i="28"/>
  <c r="G61" i="28"/>
  <c r="G60" i="28"/>
  <c r="G58" i="28"/>
  <c r="G57" i="28"/>
  <c r="G55" i="28"/>
  <c r="G54" i="28"/>
  <c r="G53" i="28"/>
  <c r="G52" i="28"/>
  <c r="G50" i="28"/>
  <c r="G49" i="28"/>
  <c r="G47" i="28"/>
  <c r="G46" i="28"/>
  <c r="G45" i="28"/>
  <c r="G43" i="28"/>
  <c r="G41" i="28"/>
  <c r="G40" i="28"/>
  <c r="G39" i="28"/>
  <c r="G38" i="28"/>
  <c r="G37" i="28"/>
  <c r="G36" i="28"/>
  <c r="G35" i="28"/>
  <c r="G34" i="28"/>
  <c r="G32" i="28"/>
  <c r="G31" i="28"/>
  <c r="G30" i="28"/>
  <c r="G29" i="28"/>
  <c r="G28" i="28"/>
  <c r="G26" i="28"/>
  <c r="G25" i="28"/>
  <c r="G23" i="28"/>
  <c r="G22" i="28"/>
  <c r="G21" i="28"/>
  <c r="G19" i="28"/>
  <c r="G17" i="28"/>
  <c r="G16" i="28"/>
  <c r="G14" i="28"/>
  <c r="G13" i="28"/>
  <c r="G12" i="28"/>
  <c r="G11" i="28"/>
  <c r="G81" i="28" s="1"/>
  <c r="G10" i="28"/>
  <c r="G9" i="28"/>
  <c r="G8" i="28"/>
  <c r="A8" i="28"/>
  <c r="G7" i="28"/>
  <c r="D77" i="27"/>
  <c r="C77" i="27"/>
  <c r="B77" i="27"/>
  <c r="D76" i="27"/>
  <c r="C76" i="27"/>
  <c r="B76" i="27"/>
  <c r="D75" i="27"/>
  <c r="C75" i="27"/>
  <c r="B75" i="27"/>
  <c r="D74" i="27"/>
  <c r="C74" i="27"/>
  <c r="B74" i="27"/>
  <c r="D73" i="27"/>
  <c r="C73" i="27"/>
  <c r="E73" i="27" s="1"/>
  <c r="H73" i="27" s="1"/>
  <c r="I73" i="27" s="1"/>
  <c r="B73" i="27"/>
  <c r="D72" i="27"/>
  <c r="C72" i="27"/>
  <c r="B72" i="27"/>
  <c r="D71" i="27"/>
  <c r="C71" i="27"/>
  <c r="B71" i="27"/>
  <c r="D70" i="27"/>
  <c r="C70" i="27"/>
  <c r="B70" i="27"/>
  <c r="D69" i="27"/>
  <c r="C69" i="27"/>
  <c r="B69" i="27"/>
  <c r="D68" i="27"/>
  <c r="C68" i="27"/>
  <c r="B68" i="27"/>
  <c r="A68" i="27"/>
  <c r="B67" i="27"/>
  <c r="A66" i="27"/>
  <c r="E65" i="27"/>
  <c r="H65" i="27" s="1"/>
  <c r="I65" i="27" s="1"/>
  <c r="D65" i="27"/>
  <c r="C65" i="27"/>
  <c r="B65" i="27"/>
  <c r="I64" i="27"/>
  <c r="H64" i="27"/>
  <c r="E64" i="27"/>
  <c r="D64" i="27"/>
  <c r="C64" i="27"/>
  <c r="B64" i="27"/>
  <c r="D63" i="27"/>
  <c r="C63" i="27"/>
  <c r="B63" i="27"/>
  <c r="D62" i="27"/>
  <c r="C62" i="27"/>
  <c r="E62" i="27" s="1"/>
  <c r="H62" i="27" s="1"/>
  <c r="B62" i="27"/>
  <c r="E61" i="27"/>
  <c r="H61" i="27" s="1"/>
  <c r="I61" i="27" s="1"/>
  <c r="D61" i="27"/>
  <c r="C61" i="27"/>
  <c r="B61" i="27"/>
  <c r="H60" i="27"/>
  <c r="E60" i="27"/>
  <c r="D60" i="27"/>
  <c r="C60" i="27"/>
  <c r="B60" i="27"/>
  <c r="H59" i="27"/>
  <c r="E59" i="27"/>
  <c r="D59" i="27"/>
  <c r="C59" i="27"/>
  <c r="B59" i="27"/>
  <c r="A59" i="27"/>
  <c r="D58" i="27"/>
  <c r="C58" i="27"/>
  <c r="E58" i="27" s="1"/>
  <c r="H58" i="27" s="1"/>
  <c r="B58" i="27"/>
  <c r="A58" i="27"/>
  <c r="B57" i="27"/>
  <c r="D56" i="27"/>
  <c r="C56" i="27"/>
  <c r="E56" i="27" s="1"/>
  <c r="H56" i="27" s="1"/>
  <c r="B56" i="27"/>
  <c r="A56" i="27"/>
  <c r="E55" i="27"/>
  <c r="H55" i="27" s="1"/>
  <c r="D55" i="27"/>
  <c r="C55" i="27"/>
  <c r="B55" i="27"/>
  <c r="A55" i="27"/>
  <c r="B54" i="27"/>
  <c r="D53" i="27"/>
  <c r="C53" i="27"/>
  <c r="B53" i="27"/>
  <c r="D52" i="27"/>
  <c r="C52" i="27"/>
  <c r="B52" i="27"/>
  <c r="D51" i="27"/>
  <c r="C51" i="27"/>
  <c r="B51" i="27"/>
  <c r="E50" i="27"/>
  <c r="H50" i="27" s="1"/>
  <c r="D50" i="27"/>
  <c r="C50" i="27"/>
  <c r="B50" i="27"/>
  <c r="A50" i="27"/>
  <c r="B49" i="27"/>
  <c r="D48" i="27"/>
  <c r="C48" i="27"/>
  <c r="B48" i="27"/>
  <c r="E47" i="27"/>
  <c r="H47" i="27" s="1"/>
  <c r="D47" i="27"/>
  <c r="C47" i="27"/>
  <c r="B47" i="27"/>
  <c r="A47" i="27"/>
  <c r="B46" i="27"/>
  <c r="D45" i="27"/>
  <c r="C45" i="27"/>
  <c r="B45" i="27"/>
  <c r="D44" i="27"/>
  <c r="C44" i="27"/>
  <c r="B44" i="27"/>
  <c r="A44" i="27"/>
  <c r="D43" i="27"/>
  <c r="C43" i="27"/>
  <c r="B43" i="27"/>
  <c r="A43" i="27"/>
  <c r="B42" i="27"/>
  <c r="D41" i="27"/>
  <c r="C41" i="27"/>
  <c r="B41" i="27"/>
  <c r="A41" i="27"/>
  <c r="B40" i="27"/>
  <c r="D39" i="27"/>
  <c r="C39" i="27"/>
  <c r="B39" i="27"/>
  <c r="D38" i="27"/>
  <c r="C38" i="27"/>
  <c r="B38" i="27"/>
  <c r="D37" i="27"/>
  <c r="C37" i="27"/>
  <c r="B37" i="27"/>
  <c r="F36" i="27"/>
  <c r="D36" i="27"/>
  <c r="C36" i="27"/>
  <c r="B36" i="27"/>
  <c r="D35" i="27"/>
  <c r="C35" i="27"/>
  <c r="E35" i="27" s="1"/>
  <c r="B35" i="27"/>
  <c r="I34" i="27"/>
  <c r="H34" i="27"/>
  <c r="E34" i="27"/>
  <c r="D34" i="27"/>
  <c r="C34" i="27"/>
  <c r="B34" i="27"/>
  <c r="E33" i="27"/>
  <c r="I33" i="27" s="1"/>
  <c r="D33" i="27"/>
  <c r="C33" i="27"/>
  <c r="B33" i="27"/>
  <c r="A33" i="27"/>
  <c r="E32" i="27"/>
  <c r="D32" i="27"/>
  <c r="C32" i="27"/>
  <c r="B32" i="27"/>
  <c r="A32" i="27"/>
  <c r="B31" i="27"/>
  <c r="D30" i="27"/>
  <c r="C30" i="27"/>
  <c r="F30" i="27" s="1"/>
  <c r="F78" i="27" s="1"/>
  <c r="F81" i="27" s="1"/>
  <c r="B30" i="27"/>
  <c r="D29" i="27"/>
  <c r="C29" i="27"/>
  <c r="E29" i="27" s="1"/>
  <c r="B29" i="27"/>
  <c r="A29" i="27"/>
  <c r="E28" i="27"/>
  <c r="I28" i="27" s="1"/>
  <c r="D28" i="27"/>
  <c r="C28" i="27"/>
  <c r="B28" i="27"/>
  <c r="A28" i="27"/>
  <c r="I27" i="27"/>
  <c r="H27" i="27"/>
  <c r="E27" i="27"/>
  <c r="D27" i="27"/>
  <c r="C27" i="27"/>
  <c r="B27" i="27"/>
  <c r="A27" i="27"/>
  <c r="D26" i="27"/>
  <c r="C26" i="27"/>
  <c r="E26" i="27" s="1"/>
  <c r="B26" i="27"/>
  <c r="A26" i="27"/>
  <c r="B25" i="27"/>
  <c r="A25" i="27"/>
  <c r="I24" i="27"/>
  <c r="H24" i="27"/>
  <c r="E24" i="27"/>
  <c r="D24" i="27"/>
  <c r="C24" i="27"/>
  <c r="B24" i="27"/>
  <c r="A24" i="27"/>
  <c r="D23" i="27"/>
  <c r="C23" i="27"/>
  <c r="E23" i="27" s="1"/>
  <c r="H23" i="27" s="1"/>
  <c r="B23" i="27"/>
  <c r="A23" i="27"/>
  <c r="B22" i="27"/>
  <c r="A22" i="27"/>
  <c r="I21" i="27"/>
  <c r="H21" i="27"/>
  <c r="E21" i="27"/>
  <c r="D21" i="27"/>
  <c r="C21" i="27"/>
  <c r="B21" i="27"/>
  <c r="A21" i="27"/>
  <c r="I20" i="27"/>
  <c r="D20" i="27"/>
  <c r="C20" i="27"/>
  <c r="E20" i="27" s="1"/>
  <c r="H20" i="27" s="1"/>
  <c r="B20" i="27"/>
  <c r="A20" i="27"/>
  <c r="I19" i="27"/>
  <c r="H19" i="27"/>
  <c r="E19" i="27"/>
  <c r="D19" i="27"/>
  <c r="C19" i="27"/>
  <c r="B19" i="27"/>
  <c r="A19" i="27"/>
  <c r="B18" i="27"/>
  <c r="I17" i="27"/>
  <c r="D17" i="27"/>
  <c r="C17" i="27"/>
  <c r="E17" i="27" s="1"/>
  <c r="H17" i="27" s="1"/>
  <c r="B17" i="27"/>
  <c r="A17" i="27"/>
  <c r="B16" i="27"/>
  <c r="I15" i="27"/>
  <c r="H15" i="27"/>
  <c r="E15" i="27"/>
  <c r="D15" i="27"/>
  <c r="C15" i="27"/>
  <c r="B15" i="27"/>
  <c r="A15" i="27"/>
  <c r="D14" i="27"/>
  <c r="C14" i="27"/>
  <c r="E14" i="27" s="1"/>
  <c r="B14" i="27"/>
  <c r="A14" i="27"/>
  <c r="B13" i="27"/>
  <c r="D12" i="27"/>
  <c r="C12" i="27"/>
  <c r="B12" i="27"/>
  <c r="E11" i="27"/>
  <c r="D11" i="27"/>
  <c r="C11" i="27"/>
  <c r="B11" i="27"/>
  <c r="D10" i="27"/>
  <c r="C10" i="27"/>
  <c r="E10" i="27" s="1"/>
  <c r="B10" i="27"/>
  <c r="G9" i="27"/>
  <c r="G78" i="27" s="1"/>
  <c r="G81" i="27" s="1"/>
  <c r="D9" i="27"/>
  <c r="C9" i="27"/>
  <c r="B9" i="27"/>
  <c r="D8" i="27"/>
  <c r="C8" i="27"/>
  <c r="B8" i="27"/>
  <c r="D7" i="27"/>
  <c r="C7" i="27"/>
  <c r="B7" i="27"/>
  <c r="D6" i="27"/>
  <c r="C6" i="27"/>
  <c r="B6" i="27"/>
  <c r="D5" i="27"/>
  <c r="C5" i="27"/>
  <c r="B5" i="27"/>
  <c r="A5" i="27"/>
  <c r="A2" i="27"/>
  <c r="G92" i="26"/>
  <c r="G91" i="26"/>
  <c r="G90" i="26"/>
  <c r="G89" i="26"/>
  <c r="G88" i="26"/>
  <c r="G87" i="26"/>
  <c r="G86" i="26"/>
  <c r="G84" i="26"/>
  <c r="G83" i="26"/>
  <c r="G82" i="26"/>
  <c r="G81" i="26"/>
  <c r="G80" i="26"/>
  <c r="G79" i="26"/>
  <c r="G78" i="26"/>
  <c r="G75" i="26"/>
  <c r="G74" i="26"/>
  <c r="G73" i="26"/>
  <c r="G71" i="26"/>
  <c r="G70" i="26"/>
  <c r="G69" i="26"/>
  <c r="G66" i="26"/>
  <c r="G65" i="26"/>
  <c r="G64" i="26"/>
  <c r="G62" i="26"/>
  <c r="G61" i="26"/>
  <c r="G59" i="26"/>
  <c r="G58" i="26"/>
  <c r="G57" i="26"/>
  <c r="G55" i="26"/>
  <c r="G54" i="26"/>
  <c r="G52" i="26"/>
  <c r="G51" i="26"/>
  <c r="G50" i="26"/>
  <c r="G49" i="26"/>
  <c r="G47" i="26"/>
  <c r="G45" i="26"/>
  <c r="G43" i="26"/>
  <c r="G42" i="26"/>
  <c r="G41" i="26"/>
  <c r="G40" i="26"/>
  <c r="G39" i="26"/>
  <c r="G38" i="26"/>
  <c r="G37" i="26"/>
  <c r="G36" i="26"/>
  <c r="G35" i="26"/>
  <c r="G34" i="26"/>
  <c r="G33" i="26"/>
  <c r="G31" i="26"/>
  <c r="G30" i="26"/>
  <c r="G29" i="26"/>
  <c r="G28" i="26"/>
  <c r="G26" i="26"/>
  <c r="G25" i="26"/>
  <c r="G23" i="26"/>
  <c r="G22" i="26"/>
  <c r="G21" i="26"/>
  <c r="G19" i="26"/>
  <c r="G17" i="26"/>
  <c r="G16" i="26"/>
  <c r="A15" i="26"/>
  <c r="G14" i="26"/>
  <c r="G13" i="26"/>
  <c r="G12" i="26"/>
  <c r="A12" i="26"/>
  <c r="A13" i="26" s="1"/>
  <c r="A14" i="26" s="1"/>
  <c r="G11" i="26"/>
  <c r="G10" i="26"/>
  <c r="G9" i="26"/>
  <c r="G8" i="26"/>
  <c r="G7" i="26"/>
  <c r="D90" i="25"/>
  <c r="C90" i="25"/>
  <c r="B90" i="25"/>
  <c r="D89" i="25"/>
  <c r="C89" i="25"/>
  <c r="B89" i="25"/>
  <c r="D88" i="25"/>
  <c r="C88" i="25"/>
  <c r="B88" i="25"/>
  <c r="D87" i="25"/>
  <c r="C87" i="25"/>
  <c r="B87" i="25"/>
  <c r="D86" i="25"/>
  <c r="C86" i="25"/>
  <c r="B86" i="25"/>
  <c r="D85" i="25"/>
  <c r="C85" i="25"/>
  <c r="B85" i="25"/>
  <c r="A85" i="25"/>
  <c r="D84" i="25"/>
  <c r="C84" i="25"/>
  <c r="B84" i="25"/>
  <c r="A84" i="25"/>
  <c r="D83" i="25"/>
  <c r="C83" i="25"/>
  <c r="B83" i="25"/>
  <c r="D82" i="25"/>
  <c r="C82" i="25"/>
  <c r="B82" i="25"/>
  <c r="D81" i="25"/>
  <c r="C81" i="25"/>
  <c r="B81" i="25"/>
  <c r="D80" i="25"/>
  <c r="C80" i="25"/>
  <c r="B80" i="25"/>
  <c r="D79" i="25"/>
  <c r="C79" i="25"/>
  <c r="B79" i="25"/>
  <c r="D78" i="25"/>
  <c r="C78" i="25"/>
  <c r="B78" i="25"/>
  <c r="D77" i="25"/>
  <c r="C77" i="25"/>
  <c r="B77" i="25"/>
  <c r="D76" i="25"/>
  <c r="C76" i="25"/>
  <c r="B76" i="25"/>
  <c r="A76" i="25"/>
  <c r="B75" i="25"/>
  <c r="B74" i="25"/>
  <c r="A74" i="25"/>
  <c r="D73" i="25"/>
  <c r="C73" i="25"/>
  <c r="E73" i="25" s="1"/>
  <c r="H73" i="25" s="1"/>
  <c r="I73" i="25" s="1"/>
  <c r="B73" i="25"/>
  <c r="D72" i="25"/>
  <c r="C72" i="25"/>
  <c r="E72" i="25" s="1"/>
  <c r="H72" i="25" s="1"/>
  <c r="I72" i="25" s="1"/>
  <c r="B72" i="25"/>
  <c r="D71" i="25"/>
  <c r="C71" i="25"/>
  <c r="E71" i="25" s="1"/>
  <c r="H71" i="25" s="1"/>
  <c r="B71" i="25"/>
  <c r="A71" i="25"/>
  <c r="B70" i="25"/>
  <c r="D69" i="25"/>
  <c r="C69" i="25"/>
  <c r="E69" i="25" s="1"/>
  <c r="H69" i="25" s="1"/>
  <c r="B69" i="25"/>
  <c r="A69" i="25"/>
  <c r="D68" i="25"/>
  <c r="C68" i="25"/>
  <c r="E68" i="25" s="1"/>
  <c r="H68" i="25" s="1"/>
  <c r="B68" i="25"/>
  <c r="A68" i="25"/>
  <c r="D67" i="25"/>
  <c r="C67" i="25"/>
  <c r="E67" i="25" s="1"/>
  <c r="H67" i="25" s="1"/>
  <c r="B67" i="25"/>
  <c r="A67" i="25"/>
  <c r="B66" i="25"/>
  <c r="B65" i="25"/>
  <c r="A65" i="25"/>
  <c r="D64" i="25"/>
  <c r="C64" i="25"/>
  <c r="B64" i="25"/>
  <c r="D63" i="25"/>
  <c r="C63" i="25"/>
  <c r="B63" i="25"/>
  <c r="D62" i="25"/>
  <c r="C62" i="25"/>
  <c r="B62" i="25"/>
  <c r="A62" i="25"/>
  <c r="B61" i="25"/>
  <c r="D60" i="25"/>
  <c r="C60" i="25"/>
  <c r="E60" i="25" s="1"/>
  <c r="H60" i="25" s="1"/>
  <c r="B60" i="25"/>
  <c r="A60" i="25"/>
  <c r="E59" i="25"/>
  <c r="H59" i="25" s="1"/>
  <c r="D59" i="25"/>
  <c r="C59" i="25"/>
  <c r="B59" i="25"/>
  <c r="A59" i="25"/>
  <c r="B58" i="25"/>
  <c r="D57" i="25"/>
  <c r="C57" i="25"/>
  <c r="B57" i="25"/>
  <c r="D56" i="25"/>
  <c r="C56" i="25"/>
  <c r="B56" i="25"/>
  <c r="D55" i="25"/>
  <c r="C55" i="25"/>
  <c r="E55" i="25" s="1"/>
  <c r="H55" i="25" s="1"/>
  <c r="B55" i="25"/>
  <c r="A55" i="25"/>
  <c r="B54" i="25"/>
  <c r="D53" i="25"/>
  <c r="C53" i="25"/>
  <c r="B53" i="25"/>
  <c r="D52" i="25"/>
  <c r="C52" i="25"/>
  <c r="E52" i="25" s="1"/>
  <c r="H52" i="25" s="1"/>
  <c r="B52" i="25"/>
  <c r="A52" i="25"/>
  <c r="B51" i="25"/>
  <c r="D50" i="25"/>
  <c r="C50" i="25"/>
  <c r="B50" i="25"/>
  <c r="D49" i="25"/>
  <c r="C49" i="25"/>
  <c r="B49" i="25"/>
  <c r="D48" i="25"/>
  <c r="C48" i="25"/>
  <c r="B48" i="25"/>
  <c r="A48" i="25"/>
  <c r="D47" i="25"/>
  <c r="C47" i="25"/>
  <c r="B47" i="25"/>
  <c r="A47" i="25"/>
  <c r="B46" i="25"/>
  <c r="D45" i="25"/>
  <c r="C45" i="25"/>
  <c r="B45" i="25"/>
  <c r="A45" i="25"/>
  <c r="B44" i="25"/>
  <c r="D43" i="25"/>
  <c r="C43" i="25"/>
  <c r="E43" i="25" s="1"/>
  <c r="H43" i="25" s="1"/>
  <c r="I43" i="25" s="1"/>
  <c r="B43" i="25"/>
  <c r="A43" i="25"/>
  <c r="B42" i="25"/>
  <c r="D41" i="25"/>
  <c r="C41" i="25"/>
  <c r="E41" i="25" s="1"/>
  <c r="H41" i="25" s="1"/>
  <c r="B41" i="25"/>
  <c r="D40" i="25"/>
  <c r="C40" i="25"/>
  <c r="B40" i="25"/>
  <c r="D39" i="25"/>
  <c r="C39" i="25"/>
  <c r="B39" i="25"/>
  <c r="D38" i="25"/>
  <c r="C38" i="25"/>
  <c r="B38" i="25"/>
  <c r="D37" i="25"/>
  <c r="C37" i="25"/>
  <c r="F37" i="25" s="1"/>
  <c r="B37" i="25"/>
  <c r="D36" i="25"/>
  <c r="C36" i="25"/>
  <c r="B36" i="25"/>
  <c r="D35" i="25"/>
  <c r="C35" i="25"/>
  <c r="B35" i="25"/>
  <c r="F34" i="25"/>
  <c r="D34" i="25"/>
  <c r="C34" i="25"/>
  <c r="B34" i="25"/>
  <c r="E33" i="25"/>
  <c r="D33" i="25"/>
  <c r="C33" i="25"/>
  <c r="B33" i="25"/>
  <c r="E32" i="25"/>
  <c r="D32" i="25"/>
  <c r="C32" i="25"/>
  <c r="B32" i="25"/>
  <c r="A32" i="25"/>
  <c r="D31" i="25"/>
  <c r="C31" i="25"/>
  <c r="E31" i="25" s="1"/>
  <c r="B31" i="25"/>
  <c r="A31" i="25"/>
  <c r="D30" i="25"/>
  <c r="C30" i="25"/>
  <c r="B30" i="25"/>
  <c r="F29" i="25"/>
  <c r="D29" i="25"/>
  <c r="C29" i="25"/>
  <c r="B29" i="25"/>
  <c r="D28" i="25"/>
  <c r="C28" i="25"/>
  <c r="E28" i="25" s="1"/>
  <c r="B28" i="25"/>
  <c r="A28" i="25"/>
  <c r="D27" i="25"/>
  <c r="C27" i="25"/>
  <c r="E27" i="25" s="1"/>
  <c r="B27" i="25"/>
  <c r="A27" i="25"/>
  <c r="D26" i="25"/>
  <c r="C26" i="25"/>
  <c r="E26" i="25" s="1"/>
  <c r="B26" i="25"/>
  <c r="A26" i="25"/>
  <c r="B25" i="25"/>
  <c r="A25" i="25"/>
  <c r="D24" i="25"/>
  <c r="C24" i="25"/>
  <c r="E24" i="25" s="1"/>
  <c r="B24" i="25"/>
  <c r="A24" i="25"/>
  <c r="D23" i="25"/>
  <c r="C23" i="25"/>
  <c r="E23" i="25" s="1"/>
  <c r="B23" i="25"/>
  <c r="A23" i="25"/>
  <c r="B22" i="25"/>
  <c r="A22" i="25"/>
  <c r="D21" i="25"/>
  <c r="C21" i="25"/>
  <c r="E21" i="25" s="1"/>
  <c r="B21" i="25"/>
  <c r="A21" i="25"/>
  <c r="D20" i="25"/>
  <c r="C20" i="25"/>
  <c r="E20" i="25" s="1"/>
  <c r="B20" i="25"/>
  <c r="A20" i="25"/>
  <c r="D19" i="25"/>
  <c r="C19" i="25"/>
  <c r="E19" i="25" s="1"/>
  <c r="B19" i="25"/>
  <c r="A19" i="25"/>
  <c r="B18" i="25"/>
  <c r="D17" i="25"/>
  <c r="C17" i="25"/>
  <c r="E17" i="25" s="1"/>
  <c r="B17" i="25"/>
  <c r="A17" i="25"/>
  <c r="B16" i="25"/>
  <c r="D15" i="25"/>
  <c r="C15" i="25"/>
  <c r="E15" i="25" s="1"/>
  <c r="B15" i="25"/>
  <c r="A15" i="25"/>
  <c r="D14" i="25"/>
  <c r="C14" i="25"/>
  <c r="E14" i="25" s="1"/>
  <c r="B14" i="25"/>
  <c r="A14" i="25"/>
  <c r="B13" i="25"/>
  <c r="D12" i="25"/>
  <c r="C12" i="25"/>
  <c r="B12" i="25"/>
  <c r="A12" i="25"/>
  <c r="E11" i="25"/>
  <c r="I11" i="25" s="1"/>
  <c r="D11" i="25"/>
  <c r="C11" i="25"/>
  <c r="B11" i="25"/>
  <c r="A11" i="25"/>
  <c r="D10" i="25"/>
  <c r="C10" i="25"/>
  <c r="E10" i="25" s="1"/>
  <c r="I10" i="25" s="1"/>
  <c r="B10" i="25"/>
  <c r="A10" i="25"/>
  <c r="D9" i="25"/>
  <c r="C9" i="25"/>
  <c r="G9" i="25" s="1"/>
  <c r="G91" i="25" s="1"/>
  <c r="G94" i="25" s="1"/>
  <c r="B9" i="25"/>
  <c r="A9" i="25"/>
  <c r="D8" i="25"/>
  <c r="C8" i="25"/>
  <c r="B8" i="25"/>
  <c r="A8" i="25"/>
  <c r="D7" i="25"/>
  <c r="C7" i="25"/>
  <c r="B7" i="25"/>
  <c r="A7" i="25"/>
  <c r="D6" i="25"/>
  <c r="C6" i="25"/>
  <c r="B6" i="25"/>
  <c r="A6" i="25"/>
  <c r="D5" i="25"/>
  <c r="C5" i="25"/>
  <c r="B5" i="25"/>
  <c r="A5" i="25"/>
  <c r="A2" i="25"/>
  <c r="C23" i="24"/>
  <c r="C17" i="24"/>
  <c r="K904" i="23"/>
  <c r="J904" i="23"/>
  <c r="I904" i="23"/>
  <c r="H904" i="23"/>
  <c r="G904" i="23"/>
  <c r="K903" i="23"/>
  <c r="J903" i="23"/>
  <c r="I903" i="23"/>
  <c r="H903" i="23"/>
  <c r="G903" i="23"/>
  <c r="J902" i="23"/>
  <c r="I902" i="23"/>
  <c r="H902" i="23"/>
  <c r="G902" i="23"/>
  <c r="K902" i="23" s="1"/>
  <c r="J901" i="23"/>
  <c r="K901" i="23" s="1"/>
  <c r="I901" i="23"/>
  <c r="H901" i="23"/>
  <c r="G901" i="23"/>
  <c r="J900" i="23"/>
  <c r="I900" i="23"/>
  <c r="H900" i="23"/>
  <c r="G900" i="23"/>
  <c r="K900" i="23" s="1"/>
  <c r="J899" i="23"/>
  <c r="I899" i="23"/>
  <c r="H899" i="23"/>
  <c r="G899" i="23"/>
  <c r="K899" i="23" s="1"/>
  <c r="K898" i="23"/>
  <c r="J898" i="23"/>
  <c r="I898" i="23"/>
  <c r="H898" i="23"/>
  <c r="G898" i="23"/>
  <c r="J897" i="23"/>
  <c r="I897" i="23"/>
  <c r="H897" i="23"/>
  <c r="G897" i="23"/>
  <c r="K896" i="23"/>
  <c r="J896" i="23"/>
  <c r="I896" i="23"/>
  <c r="H896" i="23"/>
  <c r="G896" i="23"/>
  <c r="K895" i="23"/>
  <c r="J895" i="23"/>
  <c r="I895" i="23"/>
  <c r="H895" i="23"/>
  <c r="G895" i="23"/>
  <c r="J894" i="23"/>
  <c r="I894" i="23"/>
  <c r="H894" i="23"/>
  <c r="G894" i="23"/>
  <c r="K894" i="23" s="1"/>
  <c r="J893" i="23"/>
  <c r="K893" i="23" s="1"/>
  <c r="I893" i="23"/>
  <c r="H893" i="23"/>
  <c r="G893" i="23"/>
  <c r="J892" i="23"/>
  <c r="I892" i="23"/>
  <c r="H892" i="23"/>
  <c r="G892" i="23"/>
  <c r="J891" i="23"/>
  <c r="I891" i="23"/>
  <c r="H891" i="23"/>
  <c r="G891" i="23"/>
  <c r="K891" i="23" s="1"/>
  <c r="K890" i="23"/>
  <c r="J890" i="23"/>
  <c r="I890" i="23"/>
  <c r="H890" i="23"/>
  <c r="G890" i="23"/>
  <c r="J889" i="23"/>
  <c r="I889" i="23"/>
  <c r="H889" i="23"/>
  <c r="G889" i="23"/>
  <c r="K889" i="23" s="1"/>
  <c r="K888" i="23"/>
  <c r="J888" i="23"/>
  <c r="I888" i="23"/>
  <c r="H888" i="23"/>
  <c r="G888" i="23"/>
  <c r="F888" i="23"/>
  <c r="K887" i="23"/>
  <c r="J887" i="23"/>
  <c r="I887" i="23"/>
  <c r="H887" i="23"/>
  <c r="G887" i="23"/>
  <c r="F887" i="23"/>
  <c r="J886" i="23"/>
  <c r="I886" i="23"/>
  <c r="H886" i="23"/>
  <c r="G886" i="23"/>
  <c r="K886" i="23" s="1"/>
  <c r="J885" i="23"/>
  <c r="I885" i="23"/>
  <c r="H885" i="23"/>
  <c r="G885" i="23"/>
  <c r="K885" i="23" s="1"/>
  <c r="K884" i="23"/>
  <c r="J884" i="23"/>
  <c r="I884" i="23"/>
  <c r="H884" i="23"/>
  <c r="G884" i="23"/>
  <c r="F884" i="23"/>
  <c r="J883" i="23"/>
  <c r="I883" i="23"/>
  <c r="H883" i="23"/>
  <c r="G883" i="23"/>
  <c r="J882" i="23"/>
  <c r="I882" i="23"/>
  <c r="H882" i="23"/>
  <c r="G882" i="23"/>
  <c r="K882" i="23" s="1"/>
  <c r="F882" i="23"/>
  <c r="J881" i="23"/>
  <c r="K881" i="23" s="1"/>
  <c r="I881" i="23"/>
  <c r="H881" i="23"/>
  <c r="G881" i="23"/>
  <c r="J880" i="23"/>
  <c r="I880" i="23"/>
  <c r="H880" i="23"/>
  <c r="G880" i="23"/>
  <c r="F880" i="23"/>
  <c r="J879" i="23"/>
  <c r="I879" i="23"/>
  <c r="H879" i="23"/>
  <c r="G879" i="23"/>
  <c r="K879" i="23" s="1"/>
  <c r="J878" i="23"/>
  <c r="K878" i="23" s="1"/>
  <c r="I878" i="23"/>
  <c r="H878" i="23"/>
  <c r="G878" i="23"/>
  <c r="F878" i="23"/>
  <c r="J877" i="23"/>
  <c r="K877" i="23" s="1"/>
  <c r="I877" i="23"/>
  <c r="H877" i="23"/>
  <c r="G877" i="23"/>
  <c r="J876" i="23"/>
  <c r="I876" i="23"/>
  <c r="H876" i="23"/>
  <c r="G876" i="23"/>
  <c r="F876" i="23"/>
  <c r="K875" i="23"/>
  <c r="J875" i="23"/>
  <c r="I875" i="23"/>
  <c r="H875" i="23"/>
  <c r="G875" i="23"/>
  <c r="K874" i="23"/>
  <c r="J874" i="23"/>
  <c r="I874" i="23"/>
  <c r="H874" i="23"/>
  <c r="G874" i="23"/>
  <c r="F874" i="23"/>
  <c r="J873" i="23"/>
  <c r="I873" i="23"/>
  <c r="H873" i="23"/>
  <c r="G873" i="23"/>
  <c r="K872" i="23"/>
  <c r="J872" i="23"/>
  <c r="I872" i="23"/>
  <c r="H872" i="23"/>
  <c r="G872" i="23"/>
  <c r="F872" i="23"/>
  <c r="K871" i="23"/>
  <c r="J871" i="23"/>
  <c r="I871" i="23"/>
  <c r="H871" i="23"/>
  <c r="G871" i="23"/>
  <c r="L870" i="23"/>
  <c r="J870" i="23"/>
  <c r="I870" i="23"/>
  <c r="H870" i="23"/>
  <c r="G870" i="23"/>
  <c r="F870" i="23"/>
  <c r="J869" i="23"/>
  <c r="I869" i="23"/>
  <c r="H869" i="23"/>
  <c r="G869" i="23"/>
  <c r="K869" i="23" s="1"/>
  <c r="R868" i="23"/>
  <c r="Q868" i="23"/>
  <c r="L868" i="23"/>
  <c r="J868" i="23"/>
  <c r="I868" i="23"/>
  <c r="H868" i="23"/>
  <c r="G868" i="23"/>
  <c r="K868" i="23" s="1"/>
  <c r="F868" i="23"/>
  <c r="K867" i="23"/>
  <c r="J867" i="23"/>
  <c r="I867" i="23"/>
  <c r="H867" i="23"/>
  <c r="G867" i="23"/>
  <c r="N866" i="23"/>
  <c r="O866" i="23" s="1"/>
  <c r="L866" i="23"/>
  <c r="K866" i="23"/>
  <c r="J866" i="23"/>
  <c r="I866" i="23"/>
  <c r="H866" i="23"/>
  <c r="G866" i="23"/>
  <c r="F866" i="23"/>
  <c r="O865" i="23"/>
  <c r="N865" i="23"/>
  <c r="L865" i="23"/>
  <c r="J865" i="23"/>
  <c r="I865" i="23"/>
  <c r="H865" i="23"/>
  <c r="G865" i="23"/>
  <c r="K865" i="23" s="1"/>
  <c r="F865" i="23"/>
  <c r="J864" i="23"/>
  <c r="I864" i="23"/>
  <c r="H864" i="23"/>
  <c r="G864" i="23"/>
  <c r="K864" i="23" s="1"/>
  <c r="J863" i="23"/>
  <c r="I863" i="23"/>
  <c r="H863" i="23"/>
  <c r="G863" i="23"/>
  <c r="M862" i="23"/>
  <c r="J862" i="23"/>
  <c r="I862" i="23"/>
  <c r="H862" i="23"/>
  <c r="G862" i="23"/>
  <c r="F862" i="23"/>
  <c r="K861" i="23"/>
  <c r="J861" i="23"/>
  <c r="I861" i="23"/>
  <c r="H861" i="23"/>
  <c r="G861" i="23"/>
  <c r="M860" i="23"/>
  <c r="K860" i="23"/>
  <c r="J860" i="23"/>
  <c r="I860" i="23"/>
  <c r="H860" i="23"/>
  <c r="G860" i="23"/>
  <c r="F860" i="23"/>
  <c r="J859" i="23"/>
  <c r="I859" i="23"/>
  <c r="H859" i="23"/>
  <c r="G859" i="23"/>
  <c r="K859" i="23" s="1"/>
  <c r="L858" i="23"/>
  <c r="J858" i="23"/>
  <c r="I858" i="23"/>
  <c r="H858" i="23"/>
  <c r="G858" i="23"/>
  <c r="F858" i="23"/>
  <c r="K857" i="23"/>
  <c r="J857" i="23"/>
  <c r="I857" i="23"/>
  <c r="H857" i="23"/>
  <c r="G857" i="23"/>
  <c r="L856" i="23"/>
  <c r="K856" i="23"/>
  <c r="J856" i="23"/>
  <c r="I856" i="23"/>
  <c r="H856" i="23"/>
  <c r="G856" i="23"/>
  <c r="F856" i="23"/>
  <c r="J855" i="23"/>
  <c r="I855" i="23"/>
  <c r="H855" i="23"/>
  <c r="G855" i="23"/>
  <c r="L854" i="23"/>
  <c r="J854" i="23"/>
  <c r="I854" i="23"/>
  <c r="H854" i="23"/>
  <c r="G854" i="23"/>
  <c r="K854" i="23" s="1"/>
  <c r="F854" i="23"/>
  <c r="K853" i="23"/>
  <c r="J853" i="23"/>
  <c r="I853" i="23"/>
  <c r="H853" i="23"/>
  <c r="G853" i="23"/>
  <c r="J852" i="23"/>
  <c r="K852" i="23" s="1"/>
  <c r="I852" i="23"/>
  <c r="H852" i="23"/>
  <c r="G852" i="23"/>
  <c r="F852" i="23"/>
  <c r="J851" i="23"/>
  <c r="I851" i="23"/>
  <c r="H851" i="23"/>
  <c r="G851" i="23"/>
  <c r="K850" i="23"/>
  <c r="J850" i="23"/>
  <c r="I850" i="23"/>
  <c r="H850" i="23"/>
  <c r="G850" i="23"/>
  <c r="F850" i="23"/>
  <c r="K849" i="23"/>
  <c r="J849" i="23"/>
  <c r="I849" i="23"/>
  <c r="H849" i="23"/>
  <c r="G849" i="23"/>
  <c r="M848" i="23"/>
  <c r="J848" i="23"/>
  <c r="I848" i="23"/>
  <c r="H848" i="23"/>
  <c r="G848" i="23"/>
  <c r="F848" i="23"/>
  <c r="J847" i="23"/>
  <c r="I847" i="23"/>
  <c r="H847" i="23"/>
  <c r="G847" i="23"/>
  <c r="K847" i="23" s="1"/>
  <c r="L846" i="23"/>
  <c r="K846" i="23"/>
  <c r="J846" i="23"/>
  <c r="I846" i="23"/>
  <c r="H846" i="23"/>
  <c r="G846" i="23"/>
  <c r="F846" i="23"/>
  <c r="K845" i="23"/>
  <c r="J845" i="23"/>
  <c r="I845" i="23"/>
  <c r="H845" i="23"/>
  <c r="G845" i="23"/>
  <c r="L844" i="23"/>
  <c r="J844" i="23"/>
  <c r="I844" i="23"/>
  <c r="H844" i="23"/>
  <c r="G844" i="23"/>
  <c r="K844" i="23" s="1"/>
  <c r="F844" i="23"/>
  <c r="J843" i="23"/>
  <c r="I843" i="23"/>
  <c r="H843" i="23"/>
  <c r="G843" i="23"/>
  <c r="K843" i="23" s="1"/>
  <c r="L842" i="23"/>
  <c r="K842" i="23"/>
  <c r="J842" i="23"/>
  <c r="I842" i="23"/>
  <c r="H842" i="23"/>
  <c r="G842" i="23"/>
  <c r="F842" i="23"/>
  <c r="L841" i="23"/>
  <c r="J841" i="23"/>
  <c r="I841" i="23"/>
  <c r="H841" i="23"/>
  <c r="G841" i="23"/>
  <c r="K841" i="23" s="1"/>
  <c r="F841" i="23"/>
  <c r="K840" i="23"/>
  <c r="J840" i="23"/>
  <c r="I840" i="23"/>
  <c r="H840" i="23"/>
  <c r="G840" i="23"/>
  <c r="J839" i="23"/>
  <c r="I839" i="23"/>
  <c r="H839" i="23"/>
  <c r="G839" i="23"/>
  <c r="K839" i="23" s="1"/>
  <c r="L838" i="23"/>
  <c r="K838" i="23"/>
  <c r="J838" i="23"/>
  <c r="I838" i="23"/>
  <c r="H838" i="23"/>
  <c r="G838" i="23"/>
  <c r="F838" i="23"/>
  <c r="K837" i="23"/>
  <c r="J837" i="23"/>
  <c r="I837" i="23"/>
  <c r="H837" i="23"/>
  <c r="G837" i="23"/>
  <c r="L836" i="23"/>
  <c r="J836" i="23"/>
  <c r="I836" i="23"/>
  <c r="H836" i="23"/>
  <c r="G836" i="23"/>
  <c r="F836" i="23"/>
  <c r="J835" i="23"/>
  <c r="I835" i="23"/>
  <c r="H835" i="23"/>
  <c r="G835" i="23"/>
  <c r="J834" i="23"/>
  <c r="I834" i="23"/>
  <c r="H834" i="23"/>
  <c r="G834" i="23"/>
  <c r="K834" i="23" s="1"/>
  <c r="F834" i="23"/>
  <c r="J833" i="23"/>
  <c r="K833" i="23" s="1"/>
  <c r="I833" i="23"/>
  <c r="H833" i="23"/>
  <c r="G833" i="23"/>
  <c r="J832" i="23"/>
  <c r="I832" i="23"/>
  <c r="H832" i="23"/>
  <c r="G832" i="23"/>
  <c r="K832" i="23" s="1"/>
  <c r="F832" i="23"/>
  <c r="K831" i="23"/>
  <c r="J831" i="23"/>
  <c r="I831" i="23"/>
  <c r="H831" i="23"/>
  <c r="G831" i="23"/>
  <c r="J830" i="23"/>
  <c r="K830" i="23" s="1"/>
  <c r="I830" i="23"/>
  <c r="H830" i="23"/>
  <c r="G830" i="23"/>
  <c r="F830" i="23"/>
  <c r="J829" i="23"/>
  <c r="I829" i="23"/>
  <c r="H829" i="23"/>
  <c r="G829" i="23"/>
  <c r="K829" i="23" s="1"/>
  <c r="K828" i="23"/>
  <c r="J828" i="23"/>
  <c r="I828" i="23"/>
  <c r="H828" i="23"/>
  <c r="G828" i="23"/>
  <c r="F828" i="23"/>
  <c r="K827" i="23"/>
  <c r="J827" i="23"/>
  <c r="I827" i="23"/>
  <c r="H827" i="23"/>
  <c r="G827" i="23"/>
  <c r="J826" i="23"/>
  <c r="I826" i="23"/>
  <c r="H826" i="23"/>
  <c r="G826" i="23"/>
  <c r="F826" i="23"/>
  <c r="J825" i="23"/>
  <c r="I825" i="23"/>
  <c r="H825" i="23"/>
  <c r="G825" i="23"/>
  <c r="K825" i="23" s="1"/>
  <c r="K824" i="23"/>
  <c r="J824" i="23"/>
  <c r="I824" i="23"/>
  <c r="H824" i="23"/>
  <c r="G824" i="23"/>
  <c r="J823" i="23"/>
  <c r="I823" i="23"/>
  <c r="H823" i="23"/>
  <c r="G823" i="23"/>
  <c r="K822" i="23"/>
  <c r="J822" i="23"/>
  <c r="I822" i="23"/>
  <c r="H822" i="23"/>
  <c r="G822" i="23"/>
  <c r="J821" i="23"/>
  <c r="K821" i="23" s="1"/>
  <c r="I821" i="23"/>
  <c r="H821" i="23"/>
  <c r="G821" i="23"/>
  <c r="J820" i="23"/>
  <c r="I820" i="23"/>
  <c r="H820" i="23"/>
  <c r="G820" i="23"/>
  <c r="K820" i="23" s="1"/>
  <c r="J819" i="23"/>
  <c r="I819" i="23"/>
  <c r="H819" i="23"/>
  <c r="G819" i="23"/>
  <c r="K819" i="23" s="1"/>
  <c r="J818" i="23"/>
  <c r="I818" i="23"/>
  <c r="H818" i="23"/>
  <c r="G818" i="23"/>
  <c r="J817" i="23"/>
  <c r="I817" i="23"/>
  <c r="H817" i="23"/>
  <c r="G817" i="23"/>
  <c r="K817" i="23" s="1"/>
  <c r="K816" i="23"/>
  <c r="J816" i="23"/>
  <c r="I816" i="23"/>
  <c r="H816" i="23"/>
  <c r="G816" i="23"/>
  <c r="J815" i="23"/>
  <c r="I815" i="23"/>
  <c r="H815" i="23"/>
  <c r="G815" i="23"/>
  <c r="K815" i="23" s="1"/>
  <c r="K814" i="23"/>
  <c r="J814" i="23"/>
  <c r="I814" i="23"/>
  <c r="H814" i="23"/>
  <c r="G814" i="23"/>
  <c r="K813" i="23"/>
  <c r="J813" i="23"/>
  <c r="I813" i="23"/>
  <c r="H813" i="23"/>
  <c r="G813" i="23"/>
  <c r="J812" i="23"/>
  <c r="I812" i="23"/>
  <c r="H812" i="23"/>
  <c r="G812" i="23"/>
  <c r="K812" i="23" s="1"/>
  <c r="J811" i="23"/>
  <c r="I811" i="23"/>
  <c r="H811" i="23"/>
  <c r="G811" i="23"/>
  <c r="K811" i="23" s="1"/>
  <c r="J810" i="23"/>
  <c r="I810" i="23"/>
  <c r="H810" i="23"/>
  <c r="G810" i="23"/>
  <c r="K810" i="23" s="1"/>
  <c r="J809" i="23"/>
  <c r="I809" i="23"/>
  <c r="H809" i="23"/>
  <c r="G809" i="23"/>
  <c r="K809" i="23" s="1"/>
  <c r="K808" i="23"/>
  <c r="J808" i="23"/>
  <c r="I808" i="23"/>
  <c r="H808" i="23"/>
  <c r="G808" i="23"/>
  <c r="J807" i="23"/>
  <c r="I807" i="23"/>
  <c r="H807" i="23"/>
  <c r="G807" i="23"/>
  <c r="K806" i="23"/>
  <c r="J806" i="23"/>
  <c r="I806" i="23"/>
  <c r="H806" i="23"/>
  <c r="G806" i="23"/>
  <c r="K805" i="23"/>
  <c r="J805" i="23"/>
  <c r="I805" i="23"/>
  <c r="H805" i="23"/>
  <c r="G805" i="23"/>
  <c r="J804" i="23"/>
  <c r="I804" i="23"/>
  <c r="H804" i="23"/>
  <c r="G804" i="23"/>
  <c r="K804" i="23" s="1"/>
  <c r="J803" i="23"/>
  <c r="I803" i="23"/>
  <c r="H803" i="23"/>
  <c r="G803" i="23"/>
  <c r="K803" i="23" s="1"/>
  <c r="J802" i="23"/>
  <c r="I802" i="23"/>
  <c r="H802" i="23"/>
  <c r="G802" i="23"/>
  <c r="K802" i="23" s="1"/>
  <c r="J801" i="23"/>
  <c r="I801" i="23"/>
  <c r="H801" i="23"/>
  <c r="G801" i="23"/>
  <c r="K801" i="23" s="1"/>
  <c r="K800" i="23"/>
  <c r="J800" i="23"/>
  <c r="I800" i="23"/>
  <c r="H800" i="23"/>
  <c r="G800" i="23"/>
  <c r="J799" i="23"/>
  <c r="I799" i="23"/>
  <c r="H799" i="23"/>
  <c r="G799" i="23"/>
  <c r="K799" i="23" s="1"/>
  <c r="K798" i="23"/>
  <c r="J798" i="23"/>
  <c r="I798" i="23"/>
  <c r="H798" i="23"/>
  <c r="G798" i="23"/>
  <c r="K797" i="23"/>
  <c r="J797" i="23"/>
  <c r="I797" i="23"/>
  <c r="H797" i="23"/>
  <c r="G797" i="23"/>
  <c r="J796" i="23"/>
  <c r="I796" i="23"/>
  <c r="H796" i="23"/>
  <c r="G796" i="23"/>
  <c r="K796" i="23" s="1"/>
  <c r="J795" i="23"/>
  <c r="I795" i="23"/>
  <c r="H795" i="23"/>
  <c r="G795" i="23"/>
  <c r="K795" i="23" s="1"/>
  <c r="J794" i="23"/>
  <c r="I794" i="23"/>
  <c r="H794" i="23"/>
  <c r="G794" i="23"/>
  <c r="J793" i="23"/>
  <c r="I793" i="23"/>
  <c r="H793" i="23"/>
  <c r="G793" i="23"/>
  <c r="K793" i="23" s="1"/>
  <c r="K792" i="23"/>
  <c r="J792" i="23"/>
  <c r="I792" i="23"/>
  <c r="H792" i="23"/>
  <c r="G792" i="23"/>
  <c r="J791" i="23"/>
  <c r="I791" i="23"/>
  <c r="H791" i="23"/>
  <c r="G791" i="23"/>
  <c r="K791" i="23" s="1"/>
  <c r="K790" i="23"/>
  <c r="J790" i="23"/>
  <c r="I790" i="23"/>
  <c r="H790" i="23"/>
  <c r="G790" i="23"/>
  <c r="J789" i="23"/>
  <c r="K789" i="23" s="1"/>
  <c r="I789" i="23"/>
  <c r="H789" i="23"/>
  <c r="G789" i="23"/>
  <c r="J788" i="23"/>
  <c r="I788" i="23"/>
  <c r="H788" i="23"/>
  <c r="G788" i="23"/>
  <c r="J787" i="23"/>
  <c r="I787" i="23"/>
  <c r="H787" i="23"/>
  <c r="G787" i="23"/>
  <c r="K787" i="23" s="1"/>
  <c r="J786" i="23"/>
  <c r="I786" i="23"/>
  <c r="H786" i="23"/>
  <c r="G786" i="23"/>
  <c r="F786" i="23"/>
  <c r="J785" i="23"/>
  <c r="I785" i="23"/>
  <c r="H785" i="23"/>
  <c r="G785" i="23"/>
  <c r="K785" i="23" s="1"/>
  <c r="J784" i="23"/>
  <c r="I784" i="23"/>
  <c r="H784" i="23"/>
  <c r="G784" i="23"/>
  <c r="K784" i="23" s="1"/>
  <c r="F784" i="23"/>
  <c r="J783" i="23"/>
  <c r="K783" i="23" s="1"/>
  <c r="I783" i="23"/>
  <c r="H783" i="23"/>
  <c r="G783" i="23"/>
  <c r="F783" i="23"/>
  <c r="J782" i="23"/>
  <c r="I782" i="23"/>
  <c r="H782" i="23"/>
  <c r="G782" i="23"/>
  <c r="K781" i="23"/>
  <c r="J781" i="23"/>
  <c r="I781" i="23"/>
  <c r="H781" i="23"/>
  <c r="G781" i="23"/>
  <c r="K780" i="23"/>
  <c r="J780" i="23"/>
  <c r="I780" i="23"/>
  <c r="H780" i="23"/>
  <c r="G780" i="23"/>
  <c r="J779" i="23"/>
  <c r="I779" i="23"/>
  <c r="H779" i="23"/>
  <c r="G779" i="23"/>
  <c r="K779" i="23" s="1"/>
  <c r="F779" i="23"/>
  <c r="K778" i="23"/>
  <c r="J778" i="23"/>
  <c r="I778" i="23"/>
  <c r="H778" i="23"/>
  <c r="G778" i="23"/>
  <c r="J777" i="23"/>
  <c r="K777" i="23" s="1"/>
  <c r="I777" i="23"/>
  <c r="H777" i="23"/>
  <c r="G777" i="23"/>
  <c r="J776" i="23"/>
  <c r="I776" i="23"/>
  <c r="H776" i="23"/>
  <c r="G776" i="23"/>
  <c r="K776" i="23" s="1"/>
  <c r="J775" i="23"/>
  <c r="I775" i="23"/>
  <c r="H775" i="23"/>
  <c r="G775" i="23"/>
  <c r="K775" i="23" s="1"/>
  <c r="J774" i="23"/>
  <c r="I774" i="23"/>
  <c r="H774" i="23"/>
  <c r="G774" i="23"/>
  <c r="K774" i="23" s="1"/>
  <c r="F774" i="23"/>
  <c r="J773" i="23"/>
  <c r="I773" i="23"/>
  <c r="H773" i="23"/>
  <c r="G773" i="23"/>
  <c r="J772" i="23"/>
  <c r="I772" i="23"/>
  <c r="H772" i="23"/>
  <c r="G772" i="23"/>
  <c r="K772" i="23" s="1"/>
  <c r="J771" i="23"/>
  <c r="I771" i="23"/>
  <c r="H771" i="23"/>
  <c r="G771" i="23"/>
  <c r="F771" i="23"/>
  <c r="J770" i="23"/>
  <c r="I770" i="23"/>
  <c r="H770" i="23"/>
  <c r="G770" i="23"/>
  <c r="J769" i="23"/>
  <c r="I769" i="23"/>
  <c r="H769" i="23"/>
  <c r="G769" i="23"/>
  <c r="K769" i="23" s="1"/>
  <c r="J768" i="23"/>
  <c r="I768" i="23"/>
  <c r="H768" i="23"/>
  <c r="G768" i="23"/>
  <c r="F768" i="23"/>
  <c r="J767" i="23"/>
  <c r="I767" i="23"/>
  <c r="H767" i="23"/>
  <c r="G767" i="23"/>
  <c r="J766" i="23"/>
  <c r="I766" i="23"/>
  <c r="H766" i="23"/>
  <c r="G766" i="23"/>
  <c r="K766" i="23" s="1"/>
  <c r="J765" i="23"/>
  <c r="I765" i="23"/>
  <c r="H765" i="23"/>
  <c r="G765" i="23"/>
  <c r="J764" i="23"/>
  <c r="I764" i="23"/>
  <c r="H764" i="23"/>
  <c r="G764" i="23"/>
  <c r="K764" i="23" s="1"/>
  <c r="K763" i="23"/>
  <c r="J763" i="23"/>
  <c r="I763" i="23"/>
  <c r="H763" i="23"/>
  <c r="G763" i="23"/>
  <c r="J762" i="23"/>
  <c r="I762" i="23"/>
  <c r="H762" i="23"/>
  <c r="G762" i="23"/>
  <c r="K761" i="23"/>
  <c r="J761" i="23"/>
  <c r="I761" i="23"/>
  <c r="H761" i="23"/>
  <c r="G761" i="23"/>
  <c r="J760" i="23"/>
  <c r="K760" i="23" s="1"/>
  <c r="I760" i="23"/>
  <c r="H760" i="23"/>
  <c r="G760" i="23"/>
  <c r="F760" i="23"/>
  <c r="J759" i="23"/>
  <c r="I759" i="23"/>
  <c r="H759" i="23"/>
  <c r="G759" i="23"/>
  <c r="K758" i="23"/>
  <c r="J758" i="23"/>
  <c r="I758" i="23"/>
  <c r="H758" i="23"/>
  <c r="G758" i="23"/>
  <c r="F758" i="23"/>
  <c r="K757" i="23"/>
  <c r="J757" i="23"/>
  <c r="I757" i="23"/>
  <c r="H757" i="23"/>
  <c r="G757" i="23"/>
  <c r="J756" i="23"/>
  <c r="I756" i="23"/>
  <c r="H756" i="23"/>
  <c r="G756" i="23"/>
  <c r="F756" i="23"/>
  <c r="J755" i="23"/>
  <c r="I755" i="23"/>
  <c r="H755" i="23"/>
  <c r="G755" i="23"/>
  <c r="K755" i="23" s="1"/>
  <c r="K754" i="23"/>
  <c r="J754" i="23"/>
  <c r="I754" i="23"/>
  <c r="H754" i="23"/>
  <c r="G754" i="23"/>
  <c r="F754" i="23"/>
  <c r="J753" i="23"/>
  <c r="I753" i="23"/>
  <c r="H753" i="23"/>
  <c r="G753" i="23"/>
  <c r="K753" i="23" s="1"/>
  <c r="J752" i="23"/>
  <c r="I752" i="23"/>
  <c r="H752" i="23"/>
  <c r="G752" i="23"/>
  <c r="K752" i="23" s="1"/>
  <c r="F752" i="23"/>
  <c r="J751" i="23"/>
  <c r="I751" i="23"/>
  <c r="H751" i="23"/>
  <c r="G751" i="23"/>
  <c r="K751" i="23" s="1"/>
  <c r="J750" i="23"/>
  <c r="I750" i="23"/>
  <c r="H750" i="23"/>
  <c r="G750" i="23"/>
  <c r="K750" i="23" s="1"/>
  <c r="F750" i="23"/>
  <c r="J749" i="23"/>
  <c r="I749" i="23"/>
  <c r="H749" i="23"/>
  <c r="G749" i="23"/>
  <c r="K749" i="23" s="1"/>
  <c r="J748" i="23"/>
  <c r="I748" i="23"/>
  <c r="H748" i="23"/>
  <c r="G748" i="23"/>
  <c r="K748" i="23" s="1"/>
  <c r="F748" i="23"/>
  <c r="K747" i="23"/>
  <c r="J747" i="23"/>
  <c r="I747" i="23"/>
  <c r="H747" i="23"/>
  <c r="G747" i="23"/>
  <c r="J746" i="23"/>
  <c r="I746" i="23"/>
  <c r="H746" i="23"/>
  <c r="G746" i="23"/>
  <c r="K746" i="23" s="1"/>
  <c r="F746" i="23"/>
  <c r="K745" i="23"/>
  <c r="J745" i="23"/>
  <c r="I745" i="23"/>
  <c r="H745" i="23"/>
  <c r="G745" i="23"/>
  <c r="J744" i="23"/>
  <c r="K744" i="23" s="1"/>
  <c r="I744" i="23"/>
  <c r="H744" i="23"/>
  <c r="G744" i="23"/>
  <c r="F744" i="23"/>
  <c r="J743" i="23"/>
  <c r="I743" i="23"/>
  <c r="H743" i="23"/>
  <c r="G743" i="23"/>
  <c r="K743" i="23" s="1"/>
  <c r="K742" i="23"/>
  <c r="J742" i="23"/>
  <c r="I742" i="23"/>
  <c r="H742" i="23"/>
  <c r="G742" i="23"/>
  <c r="F742" i="23"/>
  <c r="K741" i="23"/>
  <c r="J741" i="23"/>
  <c r="I741" i="23"/>
  <c r="H741" i="23"/>
  <c r="G741" i="23"/>
  <c r="J740" i="23"/>
  <c r="I740" i="23"/>
  <c r="H740" i="23"/>
  <c r="G740" i="23"/>
  <c r="K740" i="23" s="1"/>
  <c r="F740" i="23"/>
  <c r="J739" i="23"/>
  <c r="I739" i="23"/>
  <c r="H739" i="23"/>
  <c r="G739" i="23"/>
  <c r="K739" i="23" s="1"/>
  <c r="K738" i="23"/>
  <c r="J738" i="23"/>
  <c r="I738" i="23"/>
  <c r="H738" i="23"/>
  <c r="G738" i="23"/>
  <c r="F738" i="23"/>
  <c r="J737" i="23"/>
  <c r="I737" i="23"/>
  <c r="H737" i="23"/>
  <c r="G737" i="23"/>
  <c r="F737" i="23"/>
  <c r="J736" i="23"/>
  <c r="I736" i="23"/>
  <c r="H736" i="23"/>
  <c r="G736" i="23"/>
  <c r="J735" i="23"/>
  <c r="I735" i="23"/>
  <c r="H735" i="23"/>
  <c r="G735" i="23"/>
  <c r="K735" i="23" s="1"/>
  <c r="J734" i="23"/>
  <c r="I734" i="23"/>
  <c r="H734" i="23"/>
  <c r="G734" i="23"/>
  <c r="F734" i="23"/>
  <c r="J733" i="23"/>
  <c r="I733" i="23"/>
  <c r="H733" i="23"/>
  <c r="G733" i="23"/>
  <c r="K733" i="23" s="1"/>
  <c r="J732" i="23"/>
  <c r="I732" i="23"/>
  <c r="H732" i="23"/>
  <c r="G732" i="23"/>
  <c r="K732" i="23" s="1"/>
  <c r="J731" i="23"/>
  <c r="I731" i="23"/>
  <c r="H731" i="23"/>
  <c r="G731" i="23"/>
  <c r="K731" i="23" s="1"/>
  <c r="F731" i="23"/>
  <c r="J730" i="23"/>
  <c r="I730" i="23"/>
  <c r="H730" i="23"/>
  <c r="G730" i="23"/>
  <c r="K730" i="23" s="1"/>
  <c r="J729" i="23"/>
  <c r="I729" i="23"/>
  <c r="H729" i="23"/>
  <c r="G729" i="23"/>
  <c r="K729" i="23" s="1"/>
  <c r="J728" i="23"/>
  <c r="I728" i="23"/>
  <c r="H728" i="23"/>
  <c r="G728" i="23"/>
  <c r="K728" i="23" s="1"/>
  <c r="F728" i="23"/>
  <c r="J727" i="23"/>
  <c r="I727" i="23"/>
  <c r="H727" i="23"/>
  <c r="G727" i="23"/>
  <c r="K727" i="23" s="1"/>
  <c r="J726" i="23"/>
  <c r="I726" i="23"/>
  <c r="H726" i="23"/>
  <c r="G726" i="23"/>
  <c r="K726" i="23" s="1"/>
  <c r="J725" i="23"/>
  <c r="I725" i="23"/>
  <c r="H725" i="23"/>
  <c r="G725" i="23"/>
  <c r="F725" i="23"/>
  <c r="J724" i="23"/>
  <c r="I724" i="23"/>
  <c r="H724" i="23"/>
  <c r="G724" i="23"/>
  <c r="K724" i="23" s="1"/>
  <c r="J723" i="23"/>
  <c r="I723" i="23"/>
  <c r="H723" i="23"/>
  <c r="G723" i="23"/>
  <c r="K723" i="23" s="1"/>
  <c r="J722" i="23"/>
  <c r="I722" i="23"/>
  <c r="H722" i="23"/>
  <c r="G722" i="23"/>
  <c r="K722" i="23" s="1"/>
  <c r="F722" i="23"/>
  <c r="J721" i="23"/>
  <c r="I721" i="23"/>
  <c r="H721" i="23"/>
  <c r="G721" i="23"/>
  <c r="J720" i="23"/>
  <c r="I720" i="23"/>
  <c r="H720" i="23"/>
  <c r="G720" i="23"/>
  <c r="K720" i="23" s="1"/>
  <c r="J719" i="23"/>
  <c r="I719" i="23"/>
  <c r="H719" i="23"/>
  <c r="G719" i="23"/>
  <c r="F719" i="23"/>
  <c r="J718" i="23"/>
  <c r="I718" i="23"/>
  <c r="H718" i="23"/>
  <c r="G718" i="23"/>
  <c r="J717" i="23"/>
  <c r="I717" i="23"/>
  <c r="H717" i="23"/>
  <c r="G717" i="23"/>
  <c r="K717" i="23" s="1"/>
  <c r="J716" i="23"/>
  <c r="I716" i="23"/>
  <c r="H716" i="23"/>
  <c r="G716" i="23"/>
  <c r="F716" i="23"/>
  <c r="J715" i="23"/>
  <c r="I715" i="23"/>
  <c r="H715" i="23"/>
  <c r="G715" i="23"/>
  <c r="J714" i="23"/>
  <c r="I714" i="23"/>
  <c r="H714" i="23"/>
  <c r="G714" i="23"/>
  <c r="K714" i="23" s="1"/>
  <c r="J713" i="23"/>
  <c r="I713" i="23"/>
  <c r="H713" i="23"/>
  <c r="G713" i="23"/>
  <c r="F713" i="23"/>
  <c r="J712" i="23"/>
  <c r="I712" i="23"/>
  <c r="H712" i="23"/>
  <c r="G712" i="23"/>
  <c r="J711" i="23"/>
  <c r="I711" i="23"/>
  <c r="H711" i="23"/>
  <c r="G711" i="23"/>
  <c r="K711" i="23" s="1"/>
  <c r="J710" i="23"/>
  <c r="I710" i="23"/>
  <c r="H710" i="23"/>
  <c r="G710" i="23"/>
  <c r="F710" i="23"/>
  <c r="J709" i="23"/>
  <c r="I709" i="23"/>
  <c r="H709" i="23"/>
  <c r="G709" i="23"/>
  <c r="K709" i="23" s="1"/>
  <c r="J708" i="23"/>
  <c r="I708" i="23"/>
  <c r="H708" i="23"/>
  <c r="G708" i="23"/>
  <c r="K708" i="23" s="1"/>
  <c r="J707" i="23"/>
  <c r="I707" i="23"/>
  <c r="H707" i="23"/>
  <c r="G707" i="23"/>
  <c r="K707" i="23" s="1"/>
  <c r="F707" i="23"/>
  <c r="J706" i="23"/>
  <c r="I706" i="23"/>
  <c r="H706" i="23"/>
  <c r="G706" i="23"/>
  <c r="K706" i="23" s="1"/>
  <c r="F706" i="23"/>
  <c r="K705" i="23"/>
  <c r="J705" i="23"/>
  <c r="I705" i="23"/>
  <c r="H705" i="23"/>
  <c r="G705" i="23"/>
  <c r="J704" i="23"/>
  <c r="K704" i="23" s="1"/>
  <c r="I704" i="23"/>
  <c r="H704" i="23"/>
  <c r="G704" i="23"/>
  <c r="J703" i="23"/>
  <c r="I703" i="23"/>
  <c r="H703" i="23"/>
  <c r="G703" i="23"/>
  <c r="F703" i="23"/>
  <c r="K702" i="23"/>
  <c r="J702" i="23"/>
  <c r="I702" i="23"/>
  <c r="H702" i="23"/>
  <c r="G702" i="23"/>
  <c r="K701" i="23"/>
  <c r="J701" i="23"/>
  <c r="I701" i="23"/>
  <c r="H701" i="23"/>
  <c r="G701" i="23"/>
  <c r="F701" i="23"/>
  <c r="J700" i="23"/>
  <c r="I700" i="23"/>
  <c r="H700" i="23"/>
  <c r="K700" i="23" s="1"/>
  <c r="G700" i="23"/>
  <c r="K699" i="23"/>
  <c r="J699" i="23"/>
  <c r="I699" i="23"/>
  <c r="H699" i="23"/>
  <c r="G699" i="23"/>
  <c r="F699" i="23"/>
  <c r="K698" i="23"/>
  <c r="J698" i="23"/>
  <c r="I698" i="23"/>
  <c r="H698" i="23"/>
  <c r="G698" i="23"/>
  <c r="J697" i="23"/>
  <c r="I697" i="23"/>
  <c r="H697" i="23"/>
  <c r="K697" i="23" s="1"/>
  <c r="G697" i="23"/>
  <c r="F697" i="23"/>
  <c r="J696" i="23"/>
  <c r="I696" i="23"/>
  <c r="H696" i="23"/>
  <c r="G696" i="23"/>
  <c r="K696" i="23" s="1"/>
  <c r="K695" i="23"/>
  <c r="J695" i="23"/>
  <c r="I695" i="23"/>
  <c r="H695" i="23"/>
  <c r="G695" i="23"/>
  <c r="J694" i="23"/>
  <c r="I694" i="23"/>
  <c r="H694" i="23"/>
  <c r="K694" i="23" s="1"/>
  <c r="G694" i="23"/>
  <c r="F694" i="23"/>
  <c r="J693" i="23"/>
  <c r="I693" i="23"/>
  <c r="H693" i="23"/>
  <c r="G693" i="23"/>
  <c r="K693" i="23" s="1"/>
  <c r="K692" i="23"/>
  <c r="J692" i="23"/>
  <c r="I692" i="23"/>
  <c r="H692" i="23"/>
  <c r="G692" i="23"/>
  <c r="J691" i="23"/>
  <c r="I691" i="23"/>
  <c r="H691" i="23"/>
  <c r="G691" i="23"/>
  <c r="K691" i="23" s="1"/>
  <c r="F691" i="23"/>
  <c r="J690" i="23"/>
  <c r="I690" i="23"/>
  <c r="H690" i="23"/>
  <c r="G690" i="23"/>
  <c r="K690" i="23" s="1"/>
  <c r="K689" i="23"/>
  <c r="J689" i="23"/>
  <c r="I689" i="23"/>
  <c r="H689" i="23"/>
  <c r="G689" i="23"/>
  <c r="J688" i="23"/>
  <c r="I688" i="23"/>
  <c r="H688" i="23"/>
  <c r="G688" i="23"/>
  <c r="K688" i="23" s="1"/>
  <c r="K687" i="23"/>
  <c r="J687" i="23"/>
  <c r="I687" i="23"/>
  <c r="H687" i="23"/>
  <c r="G687" i="23"/>
  <c r="F687" i="23"/>
  <c r="K686" i="23"/>
  <c r="J686" i="23"/>
  <c r="I686" i="23"/>
  <c r="H686" i="23"/>
  <c r="G686" i="23"/>
  <c r="J685" i="23"/>
  <c r="I685" i="23"/>
  <c r="H685" i="23"/>
  <c r="G685" i="23"/>
  <c r="F685" i="23"/>
  <c r="J684" i="23"/>
  <c r="I684" i="23"/>
  <c r="H684" i="23"/>
  <c r="G684" i="23"/>
  <c r="K684" i="23" s="1"/>
  <c r="K683" i="23"/>
  <c r="J683" i="23"/>
  <c r="I683" i="23"/>
  <c r="H683" i="23"/>
  <c r="G683" i="23"/>
  <c r="J682" i="23"/>
  <c r="I682" i="23"/>
  <c r="H682" i="23"/>
  <c r="G682" i="23"/>
  <c r="F682" i="23"/>
  <c r="J681" i="23"/>
  <c r="I681" i="23"/>
  <c r="H681" i="23"/>
  <c r="G681" i="23"/>
  <c r="K681" i="23" s="1"/>
  <c r="K680" i="23"/>
  <c r="J680" i="23"/>
  <c r="I680" i="23"/>
  <c r="H680" i="23"/>
  <c r="G680" i="23"/>
  <c r="J679" i="23"/>
  <c r="I679" i="23"/>
  <c r="H679" i="23"/>
  <c r="G679" i="23"/>
  <c r="K679" i="23" s="1"/>
  <c r="F679" i="23"/>
  <c r="J678" i="23"/>
  <c r="I678" i="23"/>
  <c r="H678" i="23"/>
  <c r="G678" i="23"/>
  <c r="K678" i="23" s="1"/>
  <c r="K677" i="23"/>
  <c r="J677" i="23"/>
  <c r="I677" i="23"/>
  <c r="H677" i="23"/>
  <c r="G677" i="23"/>
  <c r="J676" i="23"/>
  <c r="I676" i="23"/>
  <c r="H676" i="23"/>
  <c r="G676" i="23"/>
  <c r="K675" i="23"/>
  <c r="J675" i="23"/>
  <c r="I675" i="23"/>
  <c r="H675" i="23"/>
  <c r="G675" i="23"/>
  <c r="F675" i="23"/>
  <c r="K674" i="23"/>
  <c r="J674" i="23"/>
  <c r="I674" i="23"/>
  <c r="H674" i="23"/>
  <c r="G674" i="23"/>
  <c r="F674" i="23"/>
  <c r="J673" i="23"/>
  <c r="I673" i="23"/>
  <c r="H673" i="23"/>
  <c r="G673" i="23"/>
  <c r="J672" i="23"/>
  <c r="I672" i="23"/>
  <c r="H672" i="23"/>
  <c r="G672" i="23"/>
  <c r="K672" i="23" s="1"/>
  <c r="K671" i="23"/>
  <c r="J671" i="23"/>
  <c r="I671" i="23"/>
  <c r="H671" i="23"/>
  <c r="G671" i="23"/>
  <c r="F671" i="23"/>
  <c r="J670" i="23"/>
  <c r="I670" i="23"/>
  <c r="H670" i="23"/>
  <c r="G670" i="23"/>
  <c r="J669" i="23"/>
  <c r="I669" i="23"/>
  <c r="H669" i="23"/>
  <c r="G669" i="23"/>
  <c r="K669" i="23" s="1"/>
  <c r="K668" i="23"/>
  <c r="J668" i="23"/>
  <c r="I668" i="23"/>
  <c r="H668" i="23"/>
  <c r="G668" i="23"/>
  <c r="F668" i="23"/>
  <c r="J667" i="23"/>
  <c r="I667" i="23"/>
  <c r="H667" i="23"/>
  <c r="G667" i="23"/>
  <c r="F667" i="23"/>
  <c r="J666" i="23"/>
  <c r="I666" i="23"/>
  <c r="H666" i="23"/>
  <c r="G666" i="23"/>
  <c r="K666" i="23" s="1"/>
  <c r="J665" i="23"/>
  <c r="K665" i="23" s="1"/>
  <c r="I665" i="23"/>
  <c r="H665" i="23"/>
  <c r="G665" i="23"/>
  <c r="J664" i="23"/>
  <c r="I664" i="23"/>
  <c r="H664" i="23"/>
  <c r="G664" i="23"/>
  <c r="K664" i="23" s="1"/>
  <c r="F664" i="23"/>
  <c r="J663" i="23"/>
  <c r="I663" i="23"/>
  <c r="H663" i="23"/>
  <c r="G663" i="23"/>
  <c r="F663" i="23"/>
  <c r="K662" i="23"/>
  <c r="J662" i="23"/>
  <c r="I662" i="23"/>
  <c r="H662" i="23"/>
  <c r="G662" i="23"/>
  <c r="F662" i="23"/>
  <c r="K661" i="23"/>
  <c r="J661" i="23"/>
  <c r="I661" i="23"/>
  <c r="H661" i="23"/>
  <c r="G661" i="23"/>
  <c r="J660" i="23"/>
  <c r="I660" i="23"/>
  <c r="H660" i="23"/>
  <c r="G660" i="23"/>
  <c r="K659" i="23"/>
  <c r="J659" i="23"/>
  <c r="I659" i="23"/>
  <c r="H659" i="23"/>
  <c r="G659" i="23"/>
  <c r="J658" i="23"/>
  <c r="K658" i="23" s="1"/>
  <c r="I658" i="23"/>
  <c r="H658" i="23"/>
  <c r="G658" i="23"/>
  <c r="F658" i="23"/>
  <c r="J657" i="23"/>
  <c r="I657" i="23"/>
  <c r="H657" i="23"/>
  <c r="G657" i="23"/>
  <c r="K657" i="23" s="1"/>
  <c r="K656" i="23"/>
  <c r="J656" i="23"/>
  <c r="I656" i="23"/>
  <c r="H656" i="23"/>
  <c r="G656" i="23"/>
  <c r="F656" i="23"/>
  <c r="K655" i="23"/>
  <c r="J655" i="23"/>
  <c r="I655" i="23"/>
  <c r="H655" i="23"/>
  <c r="G655" i="23"/>
  <c r="J654" i="23"/>
  <c r="I654" i="23"/>
  <c r="H654" i="23"/>
  <c r="G654" i="23"/>
  <c r="K653" i="23"/>
  <c r="J653" i="23"/>
  <c r="I653" i="23"/>
  <c r="H653" i="23"/>
  <c r="G653" i="23"/>
  <c r="F653" i="23"/>
  <c r="K652" i="23"/>
  <c r="J652" i="23"/>
  <c r="I652" i="23"/>
  <c r="H652" i="23"/>
  <c r="G652" i="23"/>
  <c r="J651" i="23"/>
  <c r="I651" i="23"/>
  <c r="H651" i="23"/>
  <c r="G651" i="23"/>
  <c r="K650" i="23"/>
  <c r="J650" i="23"/>
  <c r="I650" i="23"/>
  <c r="H650" i="23"/>
  <c r="G650" i="23"/>
  <c r="F650" i="23"/>
  <c r="K649" i="23"/>
  <c r="J649" i="23"/>
  <c r="I649" i="23"/>
  <c r="H649" i="23"/>
  <c r="G649" i="23"/>
  <c r="J648" i="23"/>
  <c r="I648" i="23"/>
  <c r="H648" i="23"/>
  <c r="G648" i="23"/>
  <c r="K648" i="23" s="1"/>
  <c r="K647" i="23"/>
  <c r="J647" i="23"/>
  <c r="I647" i="23"/>
  <c r="H647" i="23"/>
  <c r="G647" i="23"/>
  <c r="F647" i="23"/>
  <c r="K646" i="23"/>
  <c r="J646" i="23"/>
  <c r="I646" i="23"/>
  <c r="H646" i="23"/>
  <c r="G646" i="23"/>
  <c r="J645" i="23"/>
  <c r="I645" i="23"/>
  <c r="H645" i="23"/>
  <c r="G645" i="23"/>
  <c r="K645" i="23" s="1"/>
  <c r="K644" i="23"/>
  <c r="J644" i="23"/>
  <c r="I644" i="23"/>
  <c r="H644" i="23"/>
  <c r="G644" i="23"/>
  <c r="F644" i="23"/>
  <c r="K643" i="23"/>
  <c r="J643" i="23"/>
  <c r="I643" i="23"/>
  <c r="H643" i="23"/>
  <c r="G643" i="23"/>
  <c r="F643" i="23"/>
  <c r="J642" i="23"/>
  <c r="I642" i="23"/>
  <c r="H642" i="23"/>
  <c r="G642" i="23"/>
  <c r="K642" i="23" s="1"/>
  <c r="F642" i="23"/>
  <c r="J641" i="23"/>
  <c r="I641" i="23"/>
  <c r="H641" i="23"/>
  <c r="G641" i="23"/>
  <c r="F641" i="23"/>
  <c r="K640" i="23"/>
  <c r="J640" i="23"/>
  <c r="I640" i="23"/>
  <c r="H640" i="23"/>
  <c r="G640" i="23"/>
  <c r="K639" i="23"/>
  <c r="J639" i="23"/>
  <c r="I639" i="23"/>
  <c r="H639" i="23"/>
  <c r="G639" i="23"/>
  <c r="J638" i="23"/>
  <c r="I638" i="23"/>
  <c r="H638" i="23"/>
  <c r="G638" i="23"/>
  <c r="K638" i="23" s="1"/>
  <c r="F638" i="23"/>
  <c r="K637" i="23"/>
  <c r="J637" i="23"/>
  <c r="I637" i="23"/>
  <c r="H637" i="23"/>
  <c r="G637" i="23"/>
  <c r="J636" i="23"/>
  <c r="K636" i="23" s="1"/>
  <c r="I636" i="23"/>
  <c r="H636" i="23"/>
  <c r="G636" i="23"/>
  <c r="J635" i="23"/>
  <c r="I635" i="23"/>
  <c r="H635" i="23"/>
  <c r="G635" i="23"/>
  <c r="K635" i="23" s="1"/>
  <c r="F635" i="23"/>
  <c r="K634" i="23"/>
  <c r="J634" i="23"/>
  <c r="I634" i="23"/>
  <c r="H634" i="23"/>
  <c r="G634" i="23"/>
  <c r="J633" i="23"/>
  <c r="K633" i="23" s="1"/>
  <c r="I633" i="23"/>
  <c r="H633" i="23"/>
  <c r="G633" i="23"/>
  <c r="F633" i="23"/>
  <c r="J632" i="23"/>
  <c r="I632" i="23"/>
  <c r="H632" i="23"/>
  <c r="G632" i="23"/>
  <c r="K631" i="23"/>
  <c r="J631" i="23"/>
  <c r="I631" i="23"/>
  <c r="H631" i="23"/>
  <c r="G631" i="23"/>
  <c r="K630" i="23"/>
  <c r="J630" i="23"/>
  <c r="I630" i="23"/>
  <c r="H630" i="23"/>
  <c r="G630" i="23"/>
  <c r="F630" i="23"/>
  <c r="J629" i="23"/>
  <c r="I629" i="23"/>
  <c r="H629" i="23"/>
  <c r="G629" i="23"/>
  <c r="F629" i="23"/>
  <c r="J628" i="23"/>
  <c r="I628" i="23"/>
  <c r="H628" i="23"/>
  <c r="G628" i="23"/>
  <c r="K628" i="23" s="1"/>
  <c r="F628" i="23"/>
  <c r="J627" i="23"/>
  <c r="K627" i="23" s="1"/>
  <c r="I627" i="23"/>
  <c r="H627" i="23"/>
  <c r="G627" i="23"/>
  <c r="F627" i="23"/>
  <c r="K626" i="23"/>
  <c r="J626" i="23"/>
  <c r="I626" i="23"/>
  <c r="H626" i="23"/>
  <c r="G626" i="23"/>
  <c r="J625" i="23"/>
  <c r="I625" i="23"/>
  <c r="H625" i="23"/>
  <c r="G625" i="23"/>
  <c r="K625" i="23" s="1"/>
  <c r="J624" i="23"/>
  <c r="K624" i="23" s="1"/>
  <c r="I624" i="23"/>
  <c r="H624" i="23"/>
  <c r="G624" i="23"/>
  <c r="F624" i="23"/>
  <c r="K623" i="23"/>
  <c r="J623" i="23"/>
  <c r="I623" i="23"/>
  <c r="H623" i="23"/>
  <c r="G623" i="23"/>
  <c r="F623" i="23"/>
  <c r="J622" i="23"/>
  <c r="I622" i="23"/>
  <c r="H622" i="23"/>
  <c r="G622" i="23"/>
  <c r="F622" i="23"/>
  <c r="J621" i="23"/>
  <c r="I621" i="23"/>
  <c r="H621" i="23"/>
  <c r="G621" i="23"/>
  <c r="K621" i="23" s="1"/>
  <c r="F621" i="23"/>
  <c r="J620" i="23"/>
  <c r="K620" i="23" s="1"/>
  <c r="I620" i="23"/>
  <c r="H620" i="23"/>
  <c r="G620" i="23"/>
  <c r="F620" i="23"/>
  <c r="K619" i="23"/>
  <c r="J619" i="23"/>
  <c r="I619" i="23"/>
  <c r="H619" i="23"/>
  <c r="G619" i="23"/>
  <c r="J618" i="23"/>
  <c r="I618" i="23"/>
  <c r="H618" i="23"/>
  <c r="G618" i="23"/>
  <c r="K618" i="23" s="1"/>
  <c r="J617" i="23"/>
  <c r="K617" i="23" s="1"/>
  <c r="I617" i="23"/>
  <c r="H617" i="23"/>
  <c r="G617" i="23"/>
  <c r="J616" i="23"/>
  <c r="I616" i="23"/>
  <c r="H616" i="23"/>
  <c r="G616" i="23"/>
  <c r="K616" i="23" s="1"/>
  <c r="J615" i="23"/>
  <c r="I615" i="23"/>
  <c r="H615" i="23"/>
  <c r="G615" i="23"/>
  <c r="K615" i="23" s="1"/>
  <c r="F615" i="23"/>
  <c r="J614" i="23"/>
  <c r="K614" i="23" s="1"/>
  <c r="I614" i="23"/>
  <c r="H614" i="23"/>
  <c r="G614" i="23"/>
  <c r="F614" i="23"/>
  <c r="K613" i="23"/>
  <c r="J613" i="23"/>
  <c r="I613" i="23"/>
  <c r="H613" i="23"/>
  <c r="G613" i="23"/>
  <c r="F613" i="23"/>
  <c r="J612" i="23"/>
  <c r="I612" i="23"/>
  <c r="H612" i="23"/>
  <c r="G612" i="23"/>
  <c r="F612" i="23"/>
  <c r="J611" i="23"/>
  <c r="I611" i="23"/>
  <c r="H611" i="23"/>
  <c r="G611" i="23"/>
  <c r="F611" i="23"/>
  <c r="J610" i="23"/>
  <c r="K610" i="23" s="1"/>
  <c r="I610" i="23"/>
  <c r="H610" i="23"/>
  <c r="G610" i="23"/>
  <c r="J609" i="23"/>
  <c r="K609" i="23" s="1"/>
  <c r="I609" i="23"/>
  <c r="H609" i="23"/>
  <c r="G609" i="23"/>
  <c r="J608" i="23"/>
  <c r="I608" i="23"/>
  <c r="H608" i="23"/>
  <c r="G608" i="23"/>
  <c r="K608" i="23" s="1"/>
  <c r="F608" i="23"/>
  <c r="J607" i="23"/>
  <c r="K607" i="23" s="1"/>
  <c r="I607" i="23"/>
  <c r="H607" i="23"/>
  <c r="G607" i="23"/>
  <c r="J606" i="23"/>
  <c r="I606" i="23"/>
  <c r="K606" i="23" s="1"/>
  <c r="H606" i="23"/>
  <c r="G606" i="23"/>
  <c r="J605" i="23"/>
  <c r="I605" i="23"/>
  <c r="H605" i="23"/>
  <c r="G605" i="23"/>
  <c r="K605" i="23" s="1"/>
  <c r="F605" i="23"/>
  <c r="J604" i="23"/>
  <c r="K604" i="23" s="1"/>
  <c r="I604" i="23"/>
  <c r="H604" i="23"/>
  <c r="G604" i="23"/>
  <c r="J603" i="23"/>
  <c r="I603" i="23"/>
  <c r="H603" i="23"/>
  <c r="G603" i="23"/>
  <c r="K603" i="23" s="1"/>
  <c r="F603" i="23"/>
  <c r="J602" i="23"/>
  <c r="I602" i="23"/>
  <c r="H602" i="23"/>
  <c r="G602" i="23"/>
  <c r="J601" i="23"/>
  <c r="I601" i="23"/>
  <c r="H601" i="23"/>
  <c r="G601" i="23"/>
  <c r="K601" i="23" s="1"/>
  <c r="F601" i="23"/>
  <c r="J600" i="23"/>
  <c r="I600" i="23"/>
  <c r="H600" i="23"/>
  <c r="K600" i="23" s="1"/>
  <c r="G600" i="23"/>
  <c r="J599" i="23"/>
  <c r="I599" i="23"/>
  <c r="H599" i="23"/>
  <c r="G599" i="23"/>
  <c r="F599" i="23"/>
  <c r="J598" i="23"/>
  <c r="I598" i="23"/>
  <c r="H598" i="23"/>
  <c r="G598" i="23"/>
  <c r="K598" i="23" s="1"/>
  <c r="J597" i="23"/>
  <c r="I597" i="23"/>
  <c r="H597" i="23"/>
  <c r="G597" i="23"/>
  <c r="K597" i="23" s="1"/>
  <c r="J596" i="23"/>
  <c r="I596" i="23"/>
  <c r="H596" i="23"/>
  <c r="G596" i="23"/>
  <c r="F596" i="23"/>
  <c r="J595" i="23"/>
  <c r="I595" i="23"/>
  <c r="H595" i="23"/>
  <c r="G595" i="23"/>
  <c r="K595" i="23" s="1"/>
  <c r="K594" i="23"/>
  <c r="J594" i="23"/>
  <c r="I594" i="23"/>
  <c r="H594" i="23"/>
  <c r="G594" i="23"/>
  <c r="F594" i="23"/>
  <c r="J593" i="23"/>
  <c r="I593" i="23"/>
  <c r="H593" i="23"/>
  <c r="G593" i="23"/>
  <c r="K593" i="23" s="1"/>
  <c r="J592" i="23"/>
  <c r="I592" i="23"/>
  <c r="H592" i="23"/>
  <c r="G592" i="23"/>
  <c r="K592" i="23" s="1"/>
  <c r="F592" i="23"/>
  <c r="J591" i="23"/>
  <c r="I591" i="23"/>
  <c r="K591" i="23" s="1"/>
  <c r="H591" i="23"/>
  <c r="G591" i="23"/>
  <c r="J590" i="23"/>
  <c r="I590" i="23"/>
  <c r="H590" i="23"/>
  <c r="G590" i="23"/>
  <c r="K590" i="23" s="1"/>
  <c r="F590" i="23"/>
  <c r="J589" i="23"/>
  <c r="I589" i="23"/>
  <c r="H589" i="23"/>
  <c r="G589" i="23"/>
  <c r="K589" i="23" s="1"/>
  <c r="J588" i="23"/>
  <c r="I588" i="23"/>
  <c r="K588" i="23" s="1"/>
  <c r="H588" i="23"/>
  <c r="G588" i="23"/>
  <c r="F588" i="23"/>
  <c r="J587" i="23"/>
  <c r="K587" i="23" s="1"/>
  <c r="I587" i="23"/>
  <c r="H587" i="23"/>
  <c r="G587" i="23"/>
  <c r="J586" i="23"/>
  <c r="I586" i="23"/>
  <c r="H586" i="23"/>
  <c r="G586" i="23"/>
  <c r="K586" i="23" s="1"/>
  <c r="J585" i="23"/>
  <c r="I585" i="23"/>
  <c r="K585" i="23" s="1"/>
  <c r="H585" i="23"/>
  <c r="G585" i="23"/>
  <c r="F585" i="23"/>
  <c r="J584" i="23"/>
  <c r="K584" i="23" s="1"/>
  <c r="I584" i="23"/>
  <c r="H584" i="23"/>
  <c r="G584" i="23"/>
  <c r="J583" i="23"/>
  <c r="I583" i="23"/>
  <c r="H583" i="23"/>
  <c r="G583" i="23"/>
  <c r="K583" i="23" s="1"/>
  <c r="J582" i="23"/>
  <c r="I582" i="23"/>
  <c r="K582" i="23" s="1"/>
  <c r="H582" i="23"/>
  <c r="G582" i="23"/>
  <c r="J581" i="23"/>
  <c r="I581" i="23"/>
  <c r="H581" i="23"/>
  <c r="G581" i="23"/>
  <c r="J580" i="23"/>
  <c r="I580" i="23"/>
  <c r="H580" i="23"/>
  <c r="G580" i="23"/>
  <c r="K580" i="23" s="1"/>
  <c r="K579" i="23"/>
  <c r="J579" i="23"/>
  <c r="I579" i="23"/>
  <c r="H579" i="23"/>
  <c r="G579" i="23"/>
  <c r="J578" i="23"/>
  <c r="I578" i="23"/>
  <c r="H578" i="23"/>
  <c r="G578" i="23"/>
  <c r="K578" i="23" s="1"/>
  <c r="J577" i="23"/>
  <c r="I577" i="23"/>
  <c r="H577" i="23"/>
  <c r="G577" i="23"/>
  <c r="K577" i="23" s="1"/>
  <c r="J576" i="23"/>
  <c r="I576" i="23"/>
  <c r="H576" i="23"/>
  <c r="G576" i="23"/>
  <c r="K576" i="23" s="1"/>
  <c r="J575" i="23"/>
  <c r="I575" i="23"/>
  <c r="H575" i="23"/>
  <c r="G575" i="23"/>
  <c r="K575" i="23" s="1"/>
  <c r="K574" i="23"/>
  <c r="J574" i="23"/>
  <c r="I574" i="23"/>
  <c r="H574" i="23"/>
  <c r="G574" i="23"/>
  <c r="J573" i="23"/>
  <c r="I573" i="23"/>
  <c r="H573" i="23"/>
  <c r="K573" i="23" s="1"/>
  <c r="G573" i="23"/>
  <c r="J572" i="23"/>
  <c r="I572" i="23"/>
  <c r="H572" i="23"/>
  <c r="K572" i="23" s="1"/>
  <c r="G572" i="23"/>
  <c r="J571" i="23"/>
  <c r="K571" i="23" s="1"/>
  <c r="I571" i="23"/>
  <c r="H571" i="23"/>
  <c r="G571" i="23"/>
  <c r="J570" i="23"/>
  <c r="I570" i="23"/>
  <c r="H570" i="23"/>
  <c r="G570" i="23"/>
  <c r="K570" i="23" s="1"/>
  <c r="F570" i="23"/>
  <c r="J569" i="23"/>
  <c r="I569" i="23"/>
  <c r="H569" i="23"/>
  <c r="K569" i="23" s="1"/>
  <c r="G569" i="23"/>
  <c r="J568" i="23"/>
  <c r="K568" i="23" s="1"/>
  <c r="I568" i="23"/>
  <c r="H568" i="23"/>
  <c r="G568" i="23"/>
  <c r="J567" i="23"/>
  <c r="I567" i="23"/>
  <c r="H567" i="23"/>
  <c r="G567" i="23"/>
  <c r="K567" i="23" s="1"/>
  <c r="J566" i="23"/>
  <c r="I566" i="23"/>
  <c r="H566" i="23"/>
  <c r="G566" i="23"/>
  <c r="K566" i="23" s="1"/>
  <c r="J565" i="23"/>
  <c r="I565" i="23"/>
  <c r="H565" i="23"/>
  <c r="G565" i="23"/>
  <c r="J564" i="23"/>
  <c r="I564" i="23"/>
  <c r="H564" i="23"/>
  <c r="G564" i="23"/>
  <c r="K564" i="23" s="1"/>
  <c r="K563" i="23"/>
  <c r="J563" i="23"/>
  <c r="I563" i="23"/>
  <c r="H563" i="23"/>
  <c r="G563" i="23"/>
  <c r="J562" i="23"/>
  <c r="I562" i="23"/>
  <c r="H562" i="23"/>
  <c r="K562" i="23" s="1"/>
  <c r="G562" i="23"/>
  <c r="J561" i="23"/>
  <c r="I561" i="23"/>
  <c r="H561" i="23"/>
  <c r="K561" i="23" s="1"/>
  <c r="G561" i="23"/>
  <c r="J560" i="23"/>
  <c r="K560" i="23" s="1"/>
  <c r="I560" i="23"/>
  <c r="H560" i="23"/>
  <c r="G560" i="23"/>
  <c r="J559" i="23"/>
  <c r="I559" i="23"/>
  <c r="H559" i="23"/>
  <c r="G559" i="23"/>
  <c r="K559" i="23" s="1"/>
  <c r="J558" i="23"/>
  <c r="I558" i="23"/>
  <c r="H558" i="23"/>
  <c r="G558" i="23"/>
  <c r="K558" i="23" s="1"/>
  <c r="J557" i="23"/>
  <c r="I557" i="23"/>
  <c r="H557" i="23"/>
  <c r="G557" i="23"/>
  <c r="K557" i="23" s="1"/>
  <c r="J556" i="23"/>
  <c r="I556" i="23"/>
  <c r="H556" i="23"/>
  <c r="G556" i="23"/>
  <c r="K556" i="23" s="1"/>
  <c r="F556" i="23"/>
  <c r="J555" i="23"/>
  <c r="I555" i="23"/>
  <c r="H555" i="23"/>
  <c r="G555" i="23"/>
  <c r="K555" i="23" s="1"/>
  <c r="J554" i="23"/>
  <c r="I554" i="23"/>
  <c r="H554" i="23"/>
  <c r="G554" i="23"/>
  <c r="K554" i="23" s="1"/>
  <c r="J553" i="23"/>
  <c r="I553" i="23"/>
  <c r="H553" i="23"/>
  <c r="G553" i="23"/>
  <c r="K553" i="23" s="1"/>
  <c r="K552" i="23"/>
  <c r="J552" i="23"/>
  <c r="I552" i="23"/>
  <c r="H552" i="23"/>
  <c r="G552" i="23"/>
  <c r="J551" i="23"/>
  <c r="I551" i="23"/>
  <c r="H551" i="23"/>
  <c r="K551" i="23" s="1"/>
  <c r="G551" i="23"/>
  <c r="J550" i="23"/>
  <c r="I550" i="23"/>
  <c r="H550" i="23"/>
  <c r="K550" i="23" s="1"/>
  <c r="G550" i="23"/>
  <c r="J549" i="23"/>
  <c r="K549" i="23" s="1"/>
  <c r="I549" i="23"/>
  <c r="H549" i="23"/>
  <c r="G549" i="23"/>
  <c r="J548" i="23"/>
  <c r="I548" i="23"/>
  <c r="H548" i="23"/>
  <c r="G548" i="23"/>
  <c r="K548" i="23" s="1"/>
  <c r="J547" i="23"/>
  <c r="I547" i="23"/>
  <c r="H547" i="23"/>
  <c r="G547" i="23"/>
  <c r="K547" i="23" s="1"/>
  <c r="J546" i="23"/>
  <c r="I546" i="23"/>
  <c r="H546" i="23"/>
  <c r="G546" i="23"/>
  <c r="K546" i="23" s="1"/>
  <c r="J545" i="23"/>
  <c r="I545" i="23"/>
  <c r="H545" i="23"/>
  <c r="G545" i="23"/>
  <c r="K545" i="23" s="1"/>
  <c r="K544" i="23"/>
  <c r="J544" i="23"/>
  <c r="I544" i="23"/>
  <c r="H544" i="23"/>
  <c r="G544" i="23"/>
  <c r="J543" i="23"/>
  <c r="I543" i="23"/>
  <c r="H543" i="23"/>
  <c r="K543" i="23" s="1"/>
  <c r="G543" i="23"/>
  <c r="J542" i="23"/>
  <c r="I542" i="23"/>
  <c r="H542" i="23"/>
  <c r="K542" i="23" s="1"/>
  <c r="G542" i="23"/>
  <c r="F542" i="23"/>
  <c r="K541" i="23"/>
  <c r="J541" i="23"/>
  <c r="I541" i="23"/>
  <c r="H541" i="23"/>
  <c r="G541" i="23"/>
  <c r="J540" i="23"/>
  <c r="I540" i="23"/>
  <c r="H540" i="23"/>
  <c r="K540" i="23" s="1"/>
  <c r="G540" i="23"/>
  <c r="J539" i="23"/>
  <c r="I539" i="23"/>
  <c r="H539" i="23"/>
  <c r="K539" i="23" s="1"/>
  <c r="G539" i="23"/>
  <c r="J538" i="23"/>
  <c r="K538" i="23" s="1"/>
  <c r="I538" i="23"/>
  <c r="H538" i="23"/>
  <c r="G538" i="23"/>
  <c r="J537" i="23"/>
  <c r="I537" i="23"/>
  <c r="H537" i="23"/>
  <c r="G537" i="23"/>
  <c r="K537" i="23" s="1"/>
  <c r="J536" i="23"/>
  <c r="I536" i="23"/>
  <c r="H536" i="23"/>
  <c r="G536" i="23"/>
  <c r="K536" i="23" s="1"/>
  <c r="J535" i="23"/>
  <c r="I535" i="23"/>
  <c r="H535" i="23"/>
  <c r="G535" i="23"/>
  <c r="K535" i="23" s="1"/>
  <c r="J534" i="23"/>
  <c r="I534" i="23"/>
  <c r="H534" i="23"/>
  <c r="G534" i="23"/>
  <c r="K534" i="23" s="1"/>
  <c r="K533" i="23"/>
  <c r="J533" i="23"/>
  <c r="I533" i="23"/>
  <c r="H533" i="23"/>
  <c r="G533" i="23"/>
  <c r="J532" i="23"/>
  <c r="I532" i="23"/>
  <c r="H532" i="23"/>
  <c r="K532" i="23" s="1"/>
  <c r="G532" i="23"/>
  <c r="J531" i="23"/>
  <c r="I531" i="23"/>
  <c r="H531" i="23"/>
  <c r="K531" i="23" s="1"/>
  <c r="G531" i="23"/>
  <c r="J530" i="23"/>
  <c r="K530" i="23" s="1"/>
  <c r="I530" i="23"/>
  <c r="H530" i="23"/>
  <c r="G530" i="23"/>
  <c r="J529" i="23"/>
  <c r="I529" i="23"/>
  <c r="H529" i="23"/>
  <c r="G529" i="23"/>
  <c r="K529" i="23" s="1"/>
  <c r="J528" i="23"/>
  <c r="I528" i="23"/>
  <c r="H528" i="23"/>
  <c r="G528" i="23"/>
  <c r="K528" i="23" s="1"/>
  <c r="F528" i="23"/>
  <c r="J527" i="23"/>
  <c r="K527" i="23" s="1"/>
  <c r="I527" i="23"/>
  <c r="H527" i="23"/>
  <c r="G527" i="23"/>
  <c r="J526" i="23"/>
  <c r="I526" i="23"/>
  <c r="H526" i="23"/>
  <c r="G526" i="23"/>
  <c r="K526" i="23" s="1"/>
  <c r="J525" i="23"/>
  <c r="I525" i="23"/>
  <c r="H525" i="23"/>
  <c r="G525" i="23"/>
  <c r="K525" i="23" s="1"/>
  <c r="J524" i="23"/>
  <c r="I524" i="23"/>
  <c r="H524" i="23"/>
  <c r="G524" i="23"/>
  <c r="J523" i="23"/>
  <c r="I523" i="23"/>
  <c r="H523" i="23"/>
  <c r="G523" i="23"/>
  <c r="K523" i="23" s="1"/>
  <c r="K522" i="23"/>
  <c r="J522" i="23"/>
  <c r="I522" i="23"/>
  <c r="H522" i="23"/>
  <c r="G522" i="23"/>
  <c r="J521" i="23"/>
  <c r="I521" i="23"/>
  <c r="H521" i="23"/>
  <c r="K521" i="23" s="1"/>
  <c r="G521" i="23"/>
  <c r="J520" i="23"/>
  <c r="I520" i="23"/>
  <c r="H520" i="23"/>
  <c r="K520" i="23" s="1"/>
  <c r="G520" i="23"/>
  <c r="J519" i="23"/>
  <c r="K519" i="23" s="1"/>
  <c r="I519" i="23"/>
  <c r="H519" i="23"/>
  <c r="G519" i="23"/>
  <c r="J518" i="23"/>
  <c r="I518" i="23"/>
  <c r="H518" i="23"/>
  <c r="G518" i="23"/>
  <c r="K518" i="23" s="1"/>
  <c r="J517" i="23"/>
  <c r="I517" i="23"/>
  <c r="H517" i="23"/>
  <c r="G517" i="23"/>
  <c r="K517" i="23" s="1"/>
  <c r="J516" i="23"/>
  <c r="I516" i="23"/>
  <c r="H516" i="23"/>
  <c r="G516" i="23"/>
  <c r="J515" i="23"/>
  <c r="I515" i="23"/>
  <c r="H515" i="23"/>
  <c r="G515" i="23"/>
  <c r="K515" i="23" s="1"/>
  <c r="K514" i="23"/>
  <c r="J514" i="23"/>
  <c r="I514" i="23"/>
  <c r="H514" i="23"/>
  <c r="G514" i="23"/>
  <c r="F514" i="23"/>
  <c r="J513" i="23"/>
  <c r="I513" i="23"/>
  <c r="H513" i="23"/>
  <c r="G513" i="23"/>
  <c r="J512" i="23"/>
  <c r="I512" i="23"/>
  <c r="H512" i="23"/>
  <c r="G512" i="23"/>
  <c r="K512" i="23" s="1"/>
  <c r="K511" i="23"/>
  <c r="J511" i="23"/>
  <c r="I511" i="23"/>
  <c r="H511" i="23"/>
  <c r="G511" i="23"/>
  <c r="J510" i="23"/>
  <c r="I510" i="23"/>
  <c r="H510" i="23"/>
  <c r="K510" i="23" s="1"/>
  <c r="G510" i="23"/>
  <c r="J509" i="23"/>
  <c r="I509" i="23"/>
  <c r="H509" i="23"/>
  <c r="K509" i="23" s="1"/>
  <c r="G509" i="23"/>
  <c r="J508" i="23"/>
  <c r="K508" i="23" s="1"/>
  <c r="I508" i="23"/>
  <c r="H508" i="23"/>
  <c r="G508" i="23"/>
  <c r="J507" i="23"/>
  <c r="I507" i="23"/>
  <c r="H507" i="23"/>
  <c r="G507" i="23"/>
  <c r="K507" i="23" s="1"/>
  <c r="J506" i="23"/>
  <c r="I506" i="23"/>
  <c r="H506" i="23"/>
  <c r="G506" i="23"/>
  <c r="K506" i="23" s="1"/>
  <c r="J505" i="23"/>
  <c r="I505" i="23"/>
  <c r="H505" i="23"/>
  <c r="G505" i="23"/>
  <c r="J504" i="23"/>
  <c r="I504" i="23"/>
  <c r="H504" i="23"/>
  <c r="G504" i="23"/>
  <c r="K504" i="23" s="1"/>
  <c r="K503" i="23"/>
  <c r="J503" i="23"/>
  <c r="I503" i="23"/>
  <c r="H503" i="23"/>
  <c r="G503" i="23"/>
  <c r="J502" i="23"/>
  <c r="I502" i="23"/>
  <c r="H502" i="23"/>
  <c r="K502" i="23" s="1"/>
  <c r="G502" i="23"/>
  <c r="J501" i="23"/>
  <c r="I501" i="23"/>
  <c r="H501" i="23"/>
  <c r="K501" i="23" s="1"/>
  <c r="G501" i="23"/>
  <c r="J500" i="23"/>
  <c r="K500" i="23" s="1"/>
  <c r="I500" i="23"/>
  <c r="H500" i="23"/>
  <c r="G500" i="23"/>
  <c r="F500" i="23"/>
  <c r="J499" i="23"/>
  <c r="I499" i="23"/>
  <c r="H499" i="23"/>
  <c r="K499" i="23" s="1"/>
  <c r="G499" i="23"/>
  <c r="J498" i="23"/>
  <c r="I498" i="23"/>
  <c r="H498" i="23"/>
  <c r="K498" i="23" s="1"/>
  <c r="G498" i="23"/>
  <c r="J497" i="23"/>
  <c r="K497" i="23" s="1"/>
  <c r="I497" i="23"/>
  <c r="H497" i="23"/>
  <c r="G497" i="23"/>
  <c r="J496" i="23"/>
  <c r="I496" i="23"/>
  <c r="H496" i="23"/>
  <c r="G496" i="23"/>
  <c r="K496" i="23" s="1"/>
  <c r="J495" i="23"/>
  <c r="I495" i="23"/>
  <c r="H495" i="23"/>
  <c r="G495" i="23"/>
  <c r="K495" i="23" s="1"/>
  <c r="J494" i="23"/>
  <c r="I494" i="23"/>
  <c r="H494" i="23"/>
  <c r="G494" i="23"/>
  <c r="K494" i="23" s="1"/>
  <c r="J493" i="23"/>
  <c r="I493" i="23"/>
  <c r="H493" i="23"/>
  <c r="G493" i="23"/>
  <c r="K493" i="23" s="1"/>
  <c r="K492" i="23"/>
  <c r="J492" i="23"/>
  <c r="I492" i="23"/>
  <c r="H492" i="23"/>
  <c r="G492" i="23"/>
  <c r="J491" i="23"/>
  <c r="I491" i="23"/>
  <c r="H491" i="23"/>
  <c r="K491" i="23" s="1"/>
  <c r="G491" i="23"/>
  <c r="J490" i="23"/>
  <c r="I490" i="23"/>
  <c r="H490" i="23"/>
  <c r="K490" i="23" s="1"/>
  <c r="G490" i="23"/>
  <c r="J489" i="23"/>
  <c r="K489" i="23" s="1"/>
  <c r="I489" i="23"/>
  <c r="H489" i="23"/>
  <c r="G489" i="23"/>
  <c r="J488" i="23"/>
  <c r="I488" i="23"/>
  <c r="H488" i="23"/>
  <c r="G488" i="23"/>
  <c r="K488" i="23" s="1"/>
  <c r="J487" i="23"/>
  <c r="I487" i="23"/>
  <c r="H487" i="23"/>
  <c r="G487" i="23"/>
  <c r="K487" i="23" s="1"/>
  <c r="J486" i="23"/>
  <c r="I486" i="23"/>
  <c r="H486" i="23"/>
  <c r="G486" i="23"/>
  <c r="F486" i="23"/>
  <c r="J485" i="23"/>
  <c r="I485" i="23"/>
  <c r="H485" i="23"/>
  <c r="G485" i="23"/>
  <c r="K485" i="23" s="1"/>
  <c r="J484" i="23"/>
  <c r="I484" i="23"/>
  <c r="H484" i="23"/>
  <c r="G484" i="23"/>
  <c r="K484" i="23" s="1"/>
  <c r="J483" i="23"/>
  <c r="I483" i="23"/>
  <c r="H483" i="23"/>
  <c r="G483" i="23"/>
  <c r="J482" i="23"/>
  <c r="I482" i="23"/>
  <c r="H482" i="23"/>
  <c r="G482" i="23"/>
  <c r="K482" i="23" s="1"/>
  <c r="K481" i="23"/>
  <c r="J481" i="23"/>
  <c r="I481" i="23"/>
  <c r="H481" i="23"/>
  <c r="G481" i="23"/>
  <c r="J480" i="23"/>
  <c r="I480" i="23"/>
  <c r="H480" i="23"/>
  <c r="K480" i="23" s="1"/>
  <c r="G480" i="23"/>
  <c r="J479" i="23"/>
  <c r="I479" i="23"/>
  <c r="H479" i="23"/>
  <c r="K479" i="23" s="1"/>
  <c r="G479" i="23"/>
  <c r="J478" i="23"/>
  <c r="K478" i="23" s="1"/>
  <c r="I478" i="23"/>
  <c r="H478" i="23"/>
  <c r="G478" i="23"/>
  <c r="J477" i="23"/>
  <c r="I477" i="23"/>
  <c r="H477" i="23"/>
  <c r="G477" i="23"/>
  <c r="K477" i="23" s="1"/>
  <c r="J476" i="23"/>
  <c r="I476" i="23"/>
  <c r="H476" i="23"/>
  <c r="G476" i="23"/>
  <c r="K476" i="23" s="1"/>
  <c r="J475" i="23"/>
  <c r="I475" i="23"/>
  <c r="H475" i="23"/>
  <c r="G475" i="23"/>
  <c r="K475" i="23" s="1"/>
  <c r="J474" i="23"/>
  <c r="I474" i="23"/>
  <c r="H474" i="23"/>
  <c r="G474" i="23"/>
  <c r="K474" i="23" s="1"/>
  <c r="K473" i="23"/>
  <c r="J473" i="23"/>
  <c r="I473" i="23"/>
  <c r="H473" i="23"/>
  <c r="G473" i="23"/>
  <c r="J472" i="23"/>
  <c r="I472" i="23"/>
  <c r="H472" i="23"/>
  <c r="K472" i="23" s="1"/>
  <c r="G472" i="23"/>
  <c r="J471" i="23"/>
  <c r="I471" i="23"/>
  <c r="H471" i="23"/>
  <c r="K471" i="23" s="1"/>
  <c r="G471" i="23"/>
  <c r="F471" i="23"/>
  <c r="K470" i="23"/>
  <c r="J470" i="23"/>
  <c r="I470" i="23"/>
  <c r="H470" i="23"/>
  <c r="G470" i="23"/>
  <c r="J469" i="23"/>
  <c r="I469" i="23"/>
  <c r="H469" i="23"/>
  <c r="K469" i="23" s="1"/>
  <c r="G469" i="23"/>
  <c r="J468" i="23"/>
  <c r="I468" i="23"/>
  <c r="H468" i="23"/>
  <c r="K468" i="23" s="1"/>
  <c r="G468" i="23"/>
  <c r="J467" i="23"/>
  <c r="K467" i="23" s="1"/>
  <c r="I467" i="23"/>
  <c r="H467" i="23"/>
  <c r="G467" i="23"/>
  <c r="J466" i="23"/>
  <c r="I466" i="23"/>
  <c r="H466" i="23"/>
  <c r="G466" i="23"/>
  <c r="K466" i="23" s="1"/>
  <c r="J465" i="23"/>
  <c r="I465" i="23"/>
  <c r="H465" i="23"/>
  <c r="G465" i="23"/>
  <c r="K465" i="23" s="1"/>
  <c r="J464" i="23"/>
  <c r="I464" i="23"/>
  <c r="H464" i="23"/>
  <c r="G464" i="23"/>
  <c r="J463" i="23"/>
  <c r="I463" i="23"/>
  <c r="H463" i="23"/>
  <c r="G463" i="23"/>
  <c r="K463" i="23" s="1"/>
  <c r="K462" i="23"/>
  <c r="J462" i="23"/>
  <c r="I462" i="23"/>
  <c r="H462" i="23"/>
  <c r="G462" i="23"/>
  <c r="J461" i="23"/>
  <c r="I461" i="23"/>
  <c r="H461" i="23"/>
  <c r="K461" i="23" s="1"/>
  <c r="G461" i="23"/>
  <c r="J460" i="23"/>
  <c r="I460" i="23"/>
  <c r="H460" i="23"/>
  <c r="K460" i="23" s="1"/>
  <c r="G460" i="23"/>
  <c r="J459" i="23"/>
  <c r="K459" i="23" s="1"/>
  <c r="I459" i="23"/>
  <c r="H459" i="23"/>
  <c r="G459" i="23"/>
  <c r="J458" i="23"/>
  <c r="I458" i="23"/>
  <c r="H458" i="23"/>
  <c r="G458" i="23"/>
  <c r="K458" i="23" s="1"/>
  <c r="J457" i="23"/>
  <c r="I457" i="23"/>
  <c r="H457" i="23"/>
  <c r="G457" i="23"/>
  <c r="K457" i="23" s="1"/>
  <c r="J456" i="23"/>
  <c r="I456" i="23"/>
  <c r="H456" i="23"/>
  <c r="G456" i="23"/>
  <c r="K456" i="23" s="1"/>
  <c r="F456" i="23"/>
  <c r="J455" i="23"/>
  <c r="I455" i="23"/>
  <c r="H455" i="23"/>
  <c r="G455" i="23"/>
  <c r="K455" i="23" s="1"/>
  <c r="J454" i="23"/>
  <c r="I454" i="23"/>
  <c r="H454" i="23"/>
  <c r="G454" i="23"/>
  <c r="K454" i="23" s="1"/>
  <c r="J453" i="23"/>
  <c r="I453" i="23"/>
  <c r="H453" i="23"/>
  <c r="G453" i="23"/>
  <c r="K453" i="23" s="1"/>
  <c r="J452" i="23"/>
  <c r="I452" i="23"/>
  <c r="H452" i="23"/>
  <c r="G452" i="23"/>
  <c r="K452" i="23" s="1"/>
  <c r="K451" i="23"/>
  <c r="J451" i="23"/>
  <c r="I451" i="23"/>
  <c r="H451" i="23"/>
  <c r="G451" i="23"/>
  <c r="J450" i="23"/>
  <c r="I450" i="23"/>
  <c r="H450" i="23"/>
  <c r="K450" i="23" s="1"/>
  <c r="G450" i="23"/>
  <c r="J449" i="23"/>
  <c r="I449" i="23"/>
  <c r="H449" i="23"/>
  <c r="K449" i="23" s="1"/>
  <c r="G449" i="23"/>
  <c r="J448" i="23"/>
  <c r="K448" i="23" s="1"/>
  <c r="I448" i="23"/>
  <c r="H448" i="23"/>
  <c r="G448" i="23"/>
  <c r="J447" i="23"/>
  <c r="I447" i="23"/>
  <c r="H447" i="23"/>
  <c r="G447" i="23"/>
  <c r="K447" i="23" s="1"/>
  <c r="J446" i="23"/>
  <c r="I446" i="23"/>
  <c r="H446" i="23"/>
  <c r="G446" i="23"/>
  <c r="K446" i="23" s="1"/>
  <c r="J445" i="23"/>
  <c r="I445" i="23"/>
  <c r="H445" i="23"/>
  <c r="G445" i="23"/>
  <c r="K445" i="23" s="1"/>
  <c r="J444" i="23"/>
  <c r="I444" i="23"/>
  <c r="H444" i="23"/>
  <c r="G444" i="23"/>
  <c r="K443" i="23"/>
  <c r="J443" i="23"/>
  <c r="I443" i="23"/>
  <c r="H443" i="23"/>
  <c r="G443" i="23"/>
  <c r="K442" i="23"/>
  <c r="J442" i="23"/>
  <c r="I442" i="23"/>
  <c r="H442" i="23"/>
  <c r="G442" i="23"/>
  <c r="F442" i="23"/>
  <c r="J441" i="23"/>
  <c r="I441" i="23"/>
  <c r="H441" i="23"/>
  <c r="G441" i="23"/>
  <c r="K441" i="23" s="1"/>
  <c r="K440" i="23"/>
  <c r="J440" i="23"/>
  <c r="I440" i="23"/>
  <c r="H440" i="23"/>
  <c r="G440" i="23"/>
  <c r="K439" i="23"/>
  <c r="J439" i="23"/>
  <c r="I439" i="23"/>
  <c r="H439" i="23"/>
  <c r="G439" i="23"/>
  <c r="J438" i="23"/>
  <c r="I438" i="23"/>
  <c r="H438" i="23"/>
  <c r="K438" i="23" s="1"/>
  <c r="G438" i="23"/>
  <c r="J437" i="23"/>
  <c r="K437" i="23" s="1"/>
  <c r="I437" i="23"/>
  <c r="H437" i="23"/>
  <c r="G437" i="23"/>
  <c r="J436" i="23"/>
  <c r="I436" i="23"/>
  <c r="H436" i="23"/>
  <c r="G436" i="23"/>
  <c r="K436" i="23" s="1"/>
  <c r="J435" i="23"/>
  <c r="I435" i="23"/>
  <c r="H435" i="23"/>
  <c r="G435" i="23"/>
  <c r="K435" i="23" s="1"/>
  <c r="J434" i="23"/>
  <c r="I434" i="23"/>
  <c r="H434" i="23"/>
  <c r="G434" i="23"/>
  <c r="J433" i="23"/>
  <c r="I433" i="23"/>
  <c r="H433" i="23"/>
  <c r="G433" i="23"/>
  <c r="K432" i="23"/>
  <c r="J432" i="23"/>
  <c r="I432" i="23"/>
  <c r="H432" i="23"/>
  <c r="G432" i="23"/>
  <c r="K431" i="23"/>
  <c r="J431" i="23"/>
  <c r="I431" i="23"/>
  <c r="H431" i="23"/>
  <c r="G431" i="23"/>
  <c r="J430" i="23"/>
  <c r="I430" i="23"/>
  <c r="H430" i="23"/>
  <c r="K430" i="23" s="1"/>
  <c r="G430" i="23"/>
  <c r="J429" i="23"/>
  <c r="K429" i="23" s="1"/>
  <c r="I429" i="23"/>
  <c r="H429" i="23"/>
  <c r="G429" i="23"/>
  <c r="J428" i="23"/>
  <c r="I428" i="23"/>
  <c r="H428" i="23"/>
  <c r="G428" i="23"/>
  <c r="K428" i="23" s="1"/>
  <c r="F428" i="23"/>
  <c r="J427" i="23"/>
  <c r="I427" i="23"/>
  <c r="H427" i="23"/>
  <c r="K427" i="23" s="1"/>
  <c r="G427" i="23"/>
  <c r="J426" i="23"/>
  <c r="K426" i="23" s="1"/>
  <c r="I426" i="23"/>
  <c r="H426" i="23"/>
  <c r="G426" i="23"/>
  <c r="J425" i="23"/>
  <c r="I425" i="23"/>
  <c r="H425" i="23"/>
  <c r="G425" i="23"/>
  <c r="K425" i="23" s="1"/>
  <c r="J424" i="23"/>
  <c r="I424" i="23"/>
  <c r="H424" i="23"/>
  <c r="G424" i="23"/>
  <c r="K424" i="23" s="1"/>
  <c r="J423" i="23"/>
  <c r="I423" i="23"/>
  <c r="H423" i="23"/>
  <c r="G423" i="23"/>
  <c r="K423" i="23" s="1"/>
  <c r="J422" i="23"/>
  <c r="I422" i="23"/>
  <c r="H422" i="23"/>
  <c r="G422" i="23"/>
  <c r="K421" i="23"/>
  <c r="J421" i="23"/>
  <c r="I421" i="23"/>
  <c r="H421" i="23"/>
  <c r="G421" i="23"/>
  <c r="K420" i="23"/>
  <c r="J420" i="23"/>
  <c r="I420" i="23"/>
  <c r="H420" i="23"/>
  <c r="G420" i="23"/>
  <c r="J419" i="23"/>
  <c r="I419" i="23"/>
  <c r="H419" i="23"/>
  <c r="K419" i="23" s="1"/>
  <c r="G419" i="23"/>
  <c r="J418" i="23"/>
  <c r="K418" i="23" s="1"/>
  <c r="I418" i="23"/>
  <c r="H418" i="23"/>
  <c r="G418" i="23"/>
  <c r="J417" i="23"/>
  <c r="I417" i="23"/>
  <c r="H417" i="23"/>
  <c r="G417" i="23"/>
  <c r="K417" i="23" s="1"/>
  <c r="J416" i="23"/>
  <c r="I416" i="23"/>
  <c r="H416" i="23"/>
  <c r="G416" i="23"/>
  <c r="K416" i="23" s="1"/>
  <c r="J415" i="23"/>
  <c r="I415" i="23"/>
  <c r="H415" i="23"/>
  <c r="G415" i="23"/>
  <c r="K415" i="23" s="1"/>
  <c r="J414" i="23"/>
  <c r="I414" i="23"/>
  <c r="H414" i="23"/>
  <c r="G414" i="23"/>
  <c r="K413" i="23"/>
  <c r="J413" i="23"/>
  <c r="I413" i="23"/>
  <c r="H413" i="23"/>
  <c r="G413" i="23"/>
  <c r="F413" i="23"/>
  <c r="J412" i="23"/>
  <c r="I412" i="23"/>
  <c r="H412" i="23"/>
  <c r="G412" i="23"/>
  <c r="K412" i="23" s="1"/>
  <c r="J411" i="23"/>
  <c r="I411" i="23"/>
  <c r="H411" i="23"/>
  <c r="G411" i="23"/>
  <c r="K410" i="23"/>
  <c r="J410" i="23"/>
  <c r="I410" i="23"/>
  <c r="H410" i="23"/>
  <c r="G410" i="23"/>
  <c r="K409" i="23"/>
  <c r="J409" i="23"/>
  <c r="I409" i="23"/>
  <c r="H409" i="23"/>
  <c r="G409" i="23"/>
  <c r="J408" i="23"/>
  <c r="I408" i="23"/>
  <c r="H408" i="23"/>
  <c r="K408" i="23" s="1"/>
  <c r="G408" i="23"/>
  <c r="J407" i="23"/>
  <c r="K407" i="23" s="1"/>
  <c r="I407" i="23"/>
  <c r="H407" i="23"/>
  <c r="G407" i="23"/>
  <c r="J406" i="23"/>
  <c r="I406" i="23"/>
  <c r="H406" i="23"/>
  <c r="G406" i="23"/>
  <c r="K406" i="23" s="1"/>
  <c r="F406" i="23"/>
  <c r="J405" i="23"/>
  <c r="I405" i="23"/>
  <c r="H405" i="23"/>
  <c r="K405" i="23" s="1"/>
  <c r="G405" i="23"/>
  <c r="K404" i="23"/>
  <c r="J404" i="23"/>
  <c r="I404" i="23"/>
  <c r="H404" i="23"/>
  <c r="G404" i="23"/>
  <c r="J403" i="23"/>
  <c r="I403" i="23"/>
  <c r="H403" i="23"/>
  <c r="G403" i="23"/>
  <c r="J402" i="23"/>
  <c r="I402" i="23"/>
  <c r="H402" i="23"/>
  <c r="G402" i="23"/>
  <c r="K402" i="23" s="1"/>
  <c r="J401" i="23"/>
  <c r="I401" i="23"/>
  <c r="H401" i="23"/>
  <c r="G401" i="23"/>
  <c r="K401" i="23" s="1"/>
  <c r="J400" i="23"/>
  <c r="I400" i="23"/>
  <c r="H400" i="23"/>
  <c r="G400" i="23"/>
  <c r="K399" i="23"/>
  <c r="J399" i="23"/>
  <c r="I399" i="23"/>
  <c r="H399" i="23"/>
  <c r="G399" i="23"/>
  <c r="F399" i="23"/>
  <c r="J398" i="23"/>
  <c r="I398" i="23"/>
  <c r="H398" i="23"/>
  <c r="G398" i="23"/>
  <c r="J397" i="23"/>
  <c r="I397" i="23"/>
  <c r="H397" i="23"/>
  <c r="G397" i="23"/>
  <c r="K397" i="23" s="1"/>
  <c r="K396" i="23"/>
  <c r="J396" i="23"/>
  <c r="I396" i="23"/>
  <c r="H396" i="23"/>
  <c r="G396" i="23"/>
  <c r="J395" i="23"/>
  <c r="I395" i="23"/>
  <c r="H395" i="23"/>
  <c r="K395" i="23" s="1"/>
  <c r="G395" i="23"/>
  <c r="J394" i="23"/>
  <c r="I394" i="23"/>
  <c r="H394" i="23"/>
  <c r="K394" i="23" s="1"/>
  <c r="G394" i="23"/>
  <c r="J393" i="23"/>
  <c r="K393" i="23" s="1"/>
  <c r="I393" i="23"/>
  <c r="H393" i="23"/>
  <c r="G393" i="23"/>
  <c r="J392" i="23"/>
  <c r="I392" i="23"/>
  <c r="H392" i="23"/>
  <c r="G392" i="23"/>
  <c r="F392" i="23"/>
  <c r="J391" i="23"/>
  <c r="I391" i="23"/>
  <c r="H391" i="23"/>
  <c r="K391" i="23" s="1"/>
  <c r="G391" i="23"/>
  <c r="K390" i="23"/>
  <c r="J390" i="23"/>
  <c r="I390" i="23"/>
  <c r="H390" i="23"/>
  <c r="G390" i="23"/>
  <c r="J389" i="23"/>
  <c r="I389" i="23"/>
  <c r="H389" i="23"/>
  <c r="G389" i="23"/>
  <c r="K389" i="23" s="1"/>
  <c r="J388" i="23"/>
  <c r="I388" i="23"/>
  <c r="H388" i="23"/>
  <c r="G388" i="23"/>
  <c r="K388" i="23" s="1"/>
  <c r="J387" i="23"/>
  <c r="I387" i="23"/>
  <c r="H387" i="23"/>
  <c r="G387" i="23"/>
  <c r="K387" i="23" s="1"/>
  <c r="J386" i="23"/>
  <c r="I386" i="23"/>
  <c r="H386" i="23"/>
  <c r="G386" i="23"/>
  <c r="K386" i="23" s="1"/>
  <c r="K385" i="23"/>
  <c r="J385" i="23"/>
  <c r="I385" i="23"/>
  <c r="H385" i="23"/>
  <c r="G385" i="23"/>
  <c r="F385" i="23"/>
  <c r="J384" i="23"/>
  <c r="I384" i="23"/>
  <c r="H384" i="23"/>
  <c r="G384" i="23"/>
  <c r="J383" i="23"/>
  <c r="I383" i="23"/>
  <c r="H383" i="23"/>
  <c r="G383" i="23"/>
  <c r="K382" i="23"/>
  <c r="J382" i="23"/>
  <c r="I382" i="23"/>
  <c r="H382" i="23"/>
  <c r="G382" i="23"/>
  <c r="J381" i="23"/>
  <c r="I381" i="23"/>
  <c r="H381" i="23"/>
  <c r="K381" i="23" s="1"/>
  <c r="G381" i="23"/>
  <c r="J380" i="23"/>
  <c r="I380" i="23"/>
  <c r="H380" i="23"/>
  <c r="K380" i="23" s="1"/>
  <c r="G380" i="23"/>
  <c r="K379" i="23"/>
  <c r="J379" i="23"/>
  <c r="I379" i="23"/>
  <c r="H379" i="23"/>
  <c r="G379" i="23"/>
  <c r="J378" i="23"/>
  <c r="I378" i="23"/>
  <c r="H378" i="23"/>
  <c r="G378" i="23"/>
  <c r="J377" i="23"/>
  <c r="I377" i="23"/>
  <c r="H377" i="23"/>
  <c r="G377" i="23"/>
  <c r="K377" i="23" s="1"/>
  <c r="J376" i="23"/>
  <c r="I376" i="23"/>
  <c r="H376" i="23"/>
  <c r="G376" i="23"/>
  <c r="K376" i="23" s="1"/>
  <c r="J375" i="23"/>
  <c r="I375" i="23"/>
  <c r="H375" i="23"/>
  <c r="G375" i="23"/>
  <c r="K374" i="23"/>
  <c r="J374" i="23"/>
  <c r="I374" i="23"/>
  <c r="H374" i="23"/>
  <c r="G374" i="23"/>
  <c r="K373" i="23"/>
  <c r="J373" i="23"/>
  <c r="I373" i="23"/>
  <c r="H373" i="23"/>
  <c r="G373" i="23"/>
  <c r="J372" i="23"/>
  <c r="I372" i="23"/>
  <c r="H372" i="23"/>
  <c r="K372" i="23" s="1"/>
  <c r="G372" i="23"/>
  <c r="K371" i="23"/>
  <c r="J371" i="23"/>
  <c r="I371" i="23"/>
  <c r="H371" i="23"/>
  <c r="G371" i="23"/>
  <c r="J370" i="23"/>
  <c r="I370" i="23"/>
  <c r="H370" i="23"/>
  <c r="G370" i="23"/>
  <c r="K370" i="23" s="1"/>
  <c r="J369" i="23"/>
  <c r="I369" i="23"/>
  <c r="H369" i="23"/>
  <c r="G369" i="23"/>
  <c r="K369" i="23" s="1"/>
  <c r="J368" i="23"/>
  <c r="I368" i="23"/>
  <c r="H368" i="23"/>
  <c r="G368" i="23"/>
  <c r="K368" i="23" s="1"/>
  <c r="F368" i="23"/>
  <c r="J367" i="23"/>
  <c r="I367" i="23"/>
  <c r="H367" i="23"/>
  <c r="G367" i="23"/>
  <c r="J366" i="23"/>
  <c r="I366" i="23"/>
  <c r="H366" i="23"/>
  <c r="G366" i="23"/>
  <c r="K366" i="23" s="1"/>
  <c r="J365" i="23"/>
  <c r="I365" i="23"/>
  <c r="H365" i="23"/>
  <c r="G365" i="23"/>
  <c r="K365" i="23" s="1"/>
  <c r="J364" i="23"/>
  <c r="I364" i="23"/>
  <c r="H364" i="23"/>
  <c r="G364" i="23"/>
  <c r="K363" i="23"/>
  <c r="J363" i="23"/>
  <c r="I363" i="23"/>
  <c r="H363" i="23"/>
  <c r="G363" i="23"/>
  <c r="K362" i="23"/>
  <c r="J362" i="23"/>
  <c r="I362" i="23"/>
  <c r="H362" i="23"/>
  <c r="G362" i="23"/>
  <c r="J361" i="23"/>
  <c r="I361" i="23"/>
  <c r="H361" i="23"/>
  <c r="K361" i="23" s="1"/>
  <c r="G361" i="23"/>
  <c r="K360" i="23"/>
  <c r="J360" i="23"/>
  <c r="I360" i="23"/>
  <c r="H360" i="23"/>
  <c r="G360" i="23"/>
  <c r="J359" i="23"/>
  <c r="I359" i="23"/>
  <c r="H359" i="23"/>
  <c r="G359" i="23"/>
  <c r="K359" i="23" s="1"/>
  <c r="J358" i="23"/>
  <c r="I358" i="23"/>
  <c r="H358" i="23"/>
  <c r="G358" i="23"/>
  <c r="K358" i="23" s="1"/>
  <c r="J357" i="23"/>
  <c r="I357" i="23"/>
  <c r="H357" i="23"/>
  <c r="G357" i="23"/>
  <c r="K357" i="23" s="1"/>
  <c r="J356" i="23"/>
  <c r="I356" i="23"/>
  <c r="H356" i="23"/>
  <c r="G356" i="23"/>
  <c r="K356" i="23" s="1"/>
  <c r="K355" i="23"/>
  <c r="J355" i="23"/>
  <c r="I355" i="23"/>
  <c r="H355" i="23"/>
  <c r="G355" i="23"/>
  <c r="J354" i="23"/>
  <c r="I354" i="23"/>
  <c r="H354" i="23"/>
  <c r="K354" i="23" s="1"/>
  <c r="G354" i="23"/>
  <c r="J353" i="23"/>
  <c r="I353" i="23"/>
  <c r="H353" i="23"/>
  <c r="K353" i="23" s="1"/>
  <c r="G353" i="23"/>
  <c r="F353" i="23"/>
  <c r="K352" i="23"/>
  <c r="J352" i="23"/>
  <c r="I352" i="23"/>
  <c r="H352" i="23"/>
  <c r="G352" i="23"/>
  <c r="J351" i="23"/>
  <c r="I351" i="23"/>
  <c r="H351" i="23"/>
  <c r="K351" i="23" s="1"/>
  <c r="G351" i="23"/>
  <c r="J350" i="23"/>
  <c r="I350" i="23"/>
  <c r="H350" i="23"/>
  <c r="K350" i="23" s="1"/>
  <c r="G350" i="23"/>
  <c r="J349" i="23"/>
  <c r="K349" i="23" s="1"/>
  <c r="I349" i="23"/>
  <c r="H349" i="23"/>
  <c r="G349" i="23"/>
  <c r="J348" i="23"/>
  <c r="I348" i="23"/>
  <c r="H348" i="23"/>
  <c r="G348" i="23"/>
  <c r="J347" i="23"/>
  <c r="I347" i="23"/>
  <c r="H347" i="23"/>
  <c r="G347" i="23"/>
  <c r="K347" i="23" s="1"/>
  <c r="J346" i="23"/>
  <c r="I346" i="23"/>
  <c r="H346" i="23"/>
  <c r="G346" i="23"/>
  <c r="J345" i="23"/>
  <c r="I345" i="23"/>
  <c r="H345" i="23"/>
  <c r="G345" i="23"/>
  <c r="K344" i="23"/>
  <c r="J344" i="23"/>
  <c r="I344" i="23"/>
  <c r="H344" i="23"/>
  <c r="G344" i="23"/>
  <c r="J343" i="23"/>
  <c r="I343" i="23"/>
  <c r="H343" i="23"/>
  <c r="K343" i="23" s="1"/>
  <c r="G343" i="23"/>
  <c r="J342" i="23"/>
  <c r="I342" i="23"/>
  <c r="H342" i="23"/>
  <c r="K342" i="23" s="1"/>
  <c r="G342" i="23"/>
  <c r="K341" i="23"/>
  <c r="J341" i="23"/>
  <c r="I341" i="23"/>
  <c r="H341" i="23"/>
  <c r="G341" i="23"/>
  <c r="J340" i="23"/>
  <c r="I340" i="23"/>
  <c r="H340" i="23"/>
  <c r="G340" i="23"/>
  <c r="J339" i="23"/>
  <c r="I339" i="23"/>
  <c r="H339" i="23"/>
  <c r="G339" i="23"/>
  <c r="K339" i="23" s="1"/>
  <c r="J338" i="23"/>
  <c r="I338" i="23"/>
  <c r="H338" i="23"/>
  <c r="G338" i="23"/>
  <c r="K338" i="23" s="1"/>
  <c r="J337" i="23"/>
  <c r="I337" i="23"/>
  <c r="H337" i="23"/>
  <c r="G337" i="23"/>
  <c r="F337" i="23"/>
  <c r="J336" i="23"/>
  <c r="I336" i="23"/>
  <c r="H336" i="23"/>
  <c r="G336" i="23"/>
  <c r="K336" i="23" s="1"/>
  <c r="J335" i="23"/>
  <c r="I335" i="23"/>
  <c r="H335" i="23"/>
  <c r="G335" i="23"/>
  <c r="J334" i="23"/>
  <c r="I334" i="23"/>
  <c r="H334" i="23"/>
  <c r="G334" i="23"/>
  <c r="K333" i="23"/>
  <c r="J333" i="23"/>
  <c r="I333" i="23"/>
  <c r="H333" i="23"/>
  <c r="G333" i="23"/>
  <c r="J332" i="23"/>
  <c r="I332" i="23"/>
  <c r="H332" i="23"/>
  <c r="K332" i="23" s="1"/>
  <c r="G332" i="23"/>
  <c r="J331" i="23"/>
  <c r="I331" i="23"/>
  <c r="H331" i="23"/>
  <c r="K331" i="23" s="1"/>
  <c r="G331" i="23"/>
  <c r="K330" i="23"/>
  <c r="J330" i="23"/>
  <c r="I330" i="23"/>
  <c r="H330" i="23"/>
  <c r="G330" i="23"/>
  <c r="J329" i="23"/>
  <c r="I329" i="23"/>
  <c r="H329" i="23"/>
  <c r="G329" i="23"/>
  <c r="J328" i="23"/>
  <c r="I328" i="23"/>
  <c r="H328" i="23"/>
  <c r="G328" i="23"/>
  <c r="K328" i="23" s="1"/>
  <c r="J327" i="23"/>
  <c r="I327" i="23"/>
  <c r="H327" i="23"/>
  <c r="G327" i="23"/>
  <c r="K327" i="23" s="1"/>
  <c r="J326" i="23"/>
  <c r="I326" i="23"/>
  <c r="H326" i="23"/>
  <c r="G326" i="23"/>
  <c r="K325" i="23"/>
  <c r="J325" i="23"/>
  <c r="I325" i="23"/>
  <c r="H325" i="23"/>
  <c r="G325" i="23"/>
  <c r="K324" i="23"/>
  <c r="J324" i="23"/>
  <c r="I324" i="23"/>
  <c r="H324" i="23"/>
  <c r="G324" i="23"/>
  <c r="J323" i="23"/>
  <c r="I323" i="23"/>
  <c r="H323" i="23"/>
  <c r="K323" i="23" s="1"/>
  <c r="G323" i="23"/>
  <c r="K322" i="23"/>
  <c r="J322" i="23"/>
  <c r="I322" i="23"/>
  <c r="H322" i="23"/>
  <c r="G322" i="23"/>
  <c r="J321" i="23"/>
  <c r="I321" i="23"/>
  <c r="H321" i="23"/>
  <c r="G321" i="23"/>
  <c r="K321" i="23" s="1"/>
  <c r="J320" i="23"/>
  <c r="I320" i="23"/>
  <c r="H320" i="23"/>
  <c r="G320" i="23"/>
  <c r="K320" i="23" s="1"/>
  <c r="J319" i="23"/>
  <c r="I319" i="23"/>
  <c r="H319" i="23"/>
  <c r="G319" i="23"/>
  <c r="K319" i="23" s="1"/>
  <c r="J318" i="23"/>
  <c r="I318" i="23"/>
  <c r="H318" i="23"/>
  <c r="G318" i="23"/>
  <c r="K318" i="23" s="1"/>
  <c r="K317" i="23"/>
  <c r="J317" i="23"/>
  <c r="I317" i="23"/>
  <c r="H317" i="23"/>
  <c r="G317" i="23"/>
  <c r="J316" i="23"/>
  <c r="I316" i="23"/>
  <c r="H316" i="23"/>
  <c r="K316" i="23" s="1"/>
  <c r="G316" i="23"/>
  <c r="F316" i="23"/>
  <c r="J315" i="23"/>
  <c r="I315" i="23"/>
  <c r="H315" i="23"/>
  <c r="G315" i="23"/>
  <c r="K314" i="23"/>
  <c r="J314" i="23"/>
  <c r="I314" i="23"/>
  <c r="H314" i="23"/>
  <c r="G314" i="23"/>
  <c r="F314" i="23"/>
  <c r="J313" i="23"/>
  <c r="I313" i="23"/>
  <c r="H313" i="23"/>
  <c r="G313" i="23"/>
  <c r="K313" i="23" s="1"/>
  <c r="J312" i="23"/>
  <c r="I312" i="23"/>
  <c r="H312" i="23"/>
  <c r="G312" i="23"/>
  <c r="K311" i="23"/>
  <c r="J311" i="23"/>
  <c r="I311" i="23"/>
  <c r="H311" i="23"/>
  <c r="G311" i="23"/>
  <c r="F311" i="23"/>
  <c r="J310" i="23"/>
  <c r="I310" i="23"/>
  <c r="H310" i="23"/>
  <c r="G310" i="23"/>
  <c r="J309" i="23"/>
  <c r="I309" i="23"/>
  <c r="H309" i="23"/>
  <c r="G309" i="23"/>
  <c r="K309" i="23" s="1"/>
  <c r="K308" i="23"/>
  <c r="J308" i="23"/>
  <c r="I308" i="23"/>
  <c r="H308" i="23"/>
  <c r="G308" i="23"/>
  <c r="F308" i="23"/>
  <c r="J307" i="23"/>
  <c r="I307" i="23"/>
  <c r="H307" i="23"/>
  <c r="G307" i="23"/>
  <c r="F307" i="23"/>
  <c r="J306" i="23"/>
  <c r="I306" i="23"/>
  <c r="H306" i="23"/>
  <c r="G306" i="23"/>
  <c r="J305" i="23"/>
  <c r="I305" i="23"/>
  <c r="H305" i="23"/>
  <c r="G305" i="23"/>
  <c r="K305" i="23" s="1"/>
  <c r="J304" i="23"/>
  <c r="I304" i="23"/>
  <c r="H304" i="23"/>
  <c r="G304" i="23"/>
  <c r="F304" i="23"/>
  <c r="J303" i="23"/>
  <c r="I303" i="23"/>
  <c r="H303" i="23"/>
  <c r="G303" i="23"/>
  <c r="F303" i="23"/>
  <c r="J302" i="23"/>
  <c r="I302" i="23"/>
  <c r="H302" i="23"/>
  <c r="K302" i="23" s="1"/>
  <c r="G302" i="23"/>
  <c r="F302" i="23"/>
  <c r="K301" i="23"/>
  <c r="J301" i="23"/>
  <c r="I301" i="23"/>
  <c r="H301" i="23"/>
  <c r="G301" i="23"/>
  <c r="F301" i="23"/>
  <c r="J300" i="23"/>
  <c r="I300" i="23"/>
  <c r="H300" i="23"/>
  <c r="G300" i="23"/>
  <c r="F300" i="23"/>
  <c r="J299" i="23"/>
  <c r="I299" i="23"/>
  <c r="H299" i="23"/>
  <c r="G299" i="23"/>
  <c r="K299" i="23" s="1"/>
  <c r="F299" i="23"/>
  <c r="J298" i="23"/>
  <c r="I298" i="23"/>
  <c r="H298" i="23"/>
  <c r="K298" i="23" s="1"/>
  <c r="G298" i="23"/>
  <c r="J297" i="23"/>
  <c r="K297" i="23" s="1"/>
  <c r="I297" i="23"/>
  <c r="H297" i="23"/>
  <c r="G297" i="23"/>
  <c r="J296" i="23"/>
  <c r="I296" i="23"/>
  <c r="H296" i="23"/>
  <c r="G296" i="23"/>
  <c r="J295" i="23"/>
  <c r="I295" i="23"/>
  <c r="H295" i="23"/>
  <c r="G295" i="23"/>
  <c r="K295" i="23" s="1"/>
  <c r="J294" i="23"/>
  <c r="I294" i="23"/>
  <c r="H294" i="23"/>
  <c r="G294" i="23"/>
  <c r="K294" i="23" s="1"/>
  <c r="F294" i="23"/>
  <c r="J293" i="23"/>
  <c r="I293" i="23"/>
  <c r="H293" i="23"/>
  <c r="G293" i="23"/>
  <c r="F293" i="23"/>
  <c r="J292" i="23"/>
  <c r="I292" i="23"/>
  <c r="H292" i="23"/>
  <c r="K292" i="23" s="1"/>
  <c r="G292" i="23"/>
  <c r="K291" i="23"/>
  <c r="J291" i="23"/>
  <c r="I291" i="23"/>
  <c r="H291" i="23"/>
  <c r="G291" i="23"/>
  <c r="J290" i="23"/>
  <c r="I290" i="23"/>
  <c r="H290" i="23"/>
  <c r="G290" i="23"/>
  <c r="J289" i="23"/>
  <c r="I289" i="23"/>
  <c r="H289" i="23"/>
  <c r="G289" i="23"/>
  <c r="K289" i="23" s="1"/>
  <c r="F289" i="23"/>
  <c r="J288" i="23"/>
  <c r="K288" i="23" s="1"/>
  <c r="I288" i="23"/>
  <c r="H288" i="23"/>
  <c r="G288" i="23"/>
  <c r="J287" i="23"/>
  <c r="I287" i="23"/>
  <c r="H287" i="23"/>
  <c r="G287" i="23"/>
  <c r="K287" i="23" s="1"/>
  <c r="F287" i="23"/>
  <c r="J286" i="23"/>
  <c r="I286" i="23"/>
  <c r="H286" i="23"/>
  <c r="K286" i="23" s="1"/>
  <c r="G286" i="23"/>
  <c r="J285" i="23"/>
  <c r="K285" i="23" s="1"/>
  <c r="I285" i="23"/>
  <c r="H285" i="23"/>
  <c r="G285" i="23"/>
  <c r="F285" i="23"/>
  <c r="J284" i="23"/>
  <c r="I284" i="23"/>
  <c r="H284" i="23"/>
  <c r="K284" i="23" s="1"/>
  <c r="G284" i="23"/>
  <c r="J283" i="23"/>
  <c r="I283" i="23"/>
  <c r="H283" i="23"/>
  <c r="K283" i="23" s="1"/>
  <c r="G283" i="23"/>
  <c r="F283" i="23"/>
  <c r="K282" i="23"/>
  <c r="J282" i="23"/>
  <c r="I282" i="23"/>
  <c r="H282" i="23"/>
  <c r="G282" i="23"/>
  <c r="J281" i="23"/>
  <c r="I281" i="23"/>
  <c r="H281" i="23"/>
  <c r="K281" i="23" s="1"/>
  <c r="G281" i="23"/>
  <c r="J280" i="23"/>
  <c r="I280" i="23"/>
  <c r="H280" i="23"/>
  <c r="K280" i="23" s="1"/>
  <c r="G280" i="23"/>
  <c r="F280" i="23"/>
  <c r="K279" i="23"/>
  <c r="J279" i="23"/>
  <c r="I279" i="23"/>
  <c r="H279" i="23"/>
  <c r="G279" i="23"/>
  <c r="J278" i="23"/>
  <c r="I278" i="23"/>
  <c r="H278" i="23"/>
  <c r="K278" i="23" s="1"/>
  <c r="G278" i="23"/>
  <c r="J277" i="23"/>
  <c r="I277" i="23"/>
  <c r="H277" i="23"/>
  <c r="K277" i="23" s="1"/>
  <c r="G277" i="23"/>
  <c r="J276" i="23"/>
  <c r="K276" i="23" s="1"/>
  <c r="I276" i="23"/>
  <c r="H276" i="23"/>
  <c r="G276" i="23"/>
  <c r="F276" i="23"/>
  <c r="K275" i="23"/>
  <c r="J275" i="23"/>
  <c r="I275" i="23"/>
  <c r="H275" i="23"/>
  <c r="G275" i="23"/>
  <c r="J274" i="23"/>
  <c r="I274" i="23"/>
  <c r="H274" i="23"/>
  <c r="K274" i="23" s="1"/>
  <c r="G274" i="23"/>
  <c r="K273" i="23"/>
  <c r="J273" i="23"/>
  <c r="I273" i="23"/>
  <c r="H273" i="23"/>
  <c r="G273" i="23"/>
  <c r="F273" i="23"/>
  <c r="K272" i="23"/>
  <c r="J272" i="23"/>
  <c r="I272" i="23"/>
  <c r="H272" i="23"/>
  <c r="G272" i="23"/>
  <c r="J271" i="23"/>
  <c r="I271" i="23"/>
  <c r="H271" i="23"/>
  <c r="K271" i="23" s="1"/>
  <c r="G271" i="23"/>
  <c r="F271" i="23"/>
  <c r="K270" i="23"/>
  <c r="J270" i="23"/>
  <c r="I270" i="23"/>
  <c r="H270" i="23"/>
  <c r="G270" i="23"/>
  <c r="J269" i="23"/>
  <c r="I269" i="23"/>
  <c r="K269" i="23" s="1"/>
  <c r="H269" i="23"/>
  <c r="G269" i="23"/>
  <c r="F269" i="23"/>
  <c r="J268" i="23"/>
  <c r="I268" i="23"/>
  <c r="H268" i="23"/>
  <c r="G268" i="23"/>
  <c r="K268" i="23" s="1"/>
  <c r="K267" i="23"/>
  <c r="J267" i="23"/>
  <c r="I267" i="23"/>
  <c r="H267" i="23"/>
  <c r="G267" i="23"/>
  <c r="F267" i="23"/>
  <c r="J266" i="23"/>
  <c r="I266" i="23"/>
  <c r="H266" i="23"/>
  <c r="G266" i="23"/>
  <c r="J265" i="23"/>
  <c r="I265" i="23"/>
  <c r="H265" i="23"/>
  <c r="G265" i="23"/>
  <c r="K265" i="23" s="1"/>
  <c r="F265" i="23"/>
  <c r="J264" i="23"/>
  <c r="I264" i="23"/>
  <c r="H264" i="23"/>
  <c r="G264" i="23"/>
  <c r="K264" i="23" s="1"/>
  <c r="J263" i="23"/>
  <c r="I263" i="23"/>
  <c r="H263" i="23"/>
  <c r="G263" i="23"/>
  <c r="K263" i="23" s="1"/>
  <c r="F263" i="23"/>
  <c r="J262" i="23"/>
  <c r="I262" i="23"/>
  <c r="H262" i="23"/>
  <c r="G262" i="23"/>
  <c r="J261" i="23"/>
  <c r="I261" i="23"/>
  <c r="H261" i="23"/>
  <c r="G261" i="23"/>
  <c r="K261" i="23" s="1"/>
  <c r="F261" i="23"/>
  <c r="K260" i="23"/>
  <c r="J260" i="23"/>
  <c r="I260" i="23"/>
  <c r="H260" i="23"/>
  <c r="G260" i="23"/>
  <c r="J259" i="23"/>
  <c r="I259" i="23"/>
  <c r="H259" i="23"/>
  <c r="G259" i="23"/>
  <c r="F259" i="23"/>
  <c r="J258" i="23"/>
  <c r="I258" i="23"/>
  <c r="H258" i="23"/>
  <c r="K258" i="23" s="1"/>
  <c r="G258" i="23"/>
  <c r="J257" i="23"/>
  <c r="K257" i="23" s="1"/>
  <c r="I257" i="23"/>
  <c r="H257" i="23"/>
  <c r="G257" i="23"/>
  <c r="F257" i="23"/>
  <c r="J256" i="23"/>
  <c r="I256" i="23"/>
  <c r="H256" i="23"/>
  <c r="K256" i="23" s="1"/>
  <c r="G256" i="23"/>
  <c r="J255" i="23"/>
  <c r="I255" i="23"/>
  <c r="H255" i="23"/>
  <c r="K255" i="23" s="1"/>
  <c r="G255" i="23"/>
  <c r="F255" i="23"/>
  <c r="K254" i="23"/>
  <c r="J254" i="23"/>
  <c r="I254" i="23"/>
  <c r="H254" i="23"/>
  <c r="G254" i="23"/>
  <c r="J253" i="23"/>
  <c r="I253" i="23"/>
  <c r="H253" i="23"/>
  <c r="K253" i="23" s="1"/>
  <c r="G253" i="23"/>
  <c r="J252" i="23"/>
  <c r="I252" i="23"/>
  <c r="H252" i="23"/>
  <c r="K252" i="23" s="1"/>
  <c r="G252" i="23"/>
  <c r="J251" i="23"/>
  <c r="K251" i="23" s="1"/>
  <c r="I251" i="23"/>
  <c r="H251" i="23"/>
  <c r="G251" i="23"/>
  <c r="F251" i="23"/>
  <c r="J250" i="23"/>
  <c r="I250" i="23"/>
  <c r="H250" i="23"/>
  <c r="K250" i="23" s="1"/>
  <c r="G250" i="23"/>
  <c r="J249" i="23"/>
  <c r="I249" i="23"/>
  <c r="H249" i="23"/>
  <c r="K249" i="23" s="1"/>
  <c r="G249" i="23"/>
  <c r="F249" i="23"/>
  <c r="K248" i="23"/>
  <c r="J248" i="23"/>
  <c r="I248" i="23"/>
  <c r="H248" i="23"/>
  <c r="G248" i="23"/>
  <c r="J247" i="23"/>
  <c r="I247" i="23"/>
  <c r="H247" i="23"/>
  <c r="K247" i="23" s="1"/>
  <c r="G247" i="23"/>
  <c r="F247" i="23"/>
  <c r="J246" i="23"/>
  <c r="I246" i="23"/>
  <c r="H246" i="23"/>
  <c r="G246" i="23"/>
  <c r="K246" i="23" s="1"/>
  <c r="K245" i="23"/>
  <c r="J245" i="23"/>
  <c r="I245" i="23"/>
  <c r="H245" i="23"/>
  <c r="G245" i="23"/>
  <c r="F245" i="23"/>
  <c r="J244" i="23"/>
  <c r="I244" i="23"/>
  <c r="H244" i="23"/>
  <c r="G244" i="23"/>
  <c r="K244" i="23" s="1"/>
  <c r="J243" i="23"/>
  <c r="I243" i="23"/>
  <c r="H243" i="23"/>
  <c r="G243" i="23"/>
  <c r="K242" i="23"/>
  <c r="J242" i="23"/>
  <c r="I242" i="23"/>
  <c r="H242" i="23"/>
  <c r="G242" i="23"/>
  <c r="F242" i="23"/>
  <c r="J241" i="23"/>
  <c r="I241" i="23"/>
  <c r="H241" i="23"/>
  <c r="G241" i="23"/>
  <c r="J240" i="23"/>
  <c r="I240" i="23"/>
  <c r="H240" i="23"/>
  <c r="G240" i="23"/>
  <c r="K240" i="23" s="1"/>
  <c r="F240" i="23"/>
  <c r="J239" i="23"/>
  <c r="I239" i="23"/>
  <c r="H239" i="23"/>
  <c r="G239" i="23"/>
  <c r="K239" i="23" s="1"/>
  <c r="J238" i="23"/>
  <c r="I238" i="23"/>
  <c r="H238" i="23"/>
  <c r="G238" i="23"/>
  <c r="K238" i="23" s="1"/>
  <c r="F238" i="23"/>
  <c r="J237" i="23"/>
  <c r="I237" i="23"/>
  <c r="H237" i="23"/>
  <c r="G237" i="23"/>
  <c r="J236" i="23"/>
  <c r="I236" i="23"/>
  <c r="H236" i="23"/>
  <c r="G236" i="23"/>
  <c r="K236" i="23" s="1"/>
  <c r="J235" i="23"/>
  <c r="I235" i="23"/>
  <c r="H235" i="23"/>
  <c r="G235" i="23"/>
  <c r="K235" i="23" s="1"/>
  <c r="F235" i="23"/>
  <c r="J234" i="23"/>
  <c r="I234" i="23"/>
  <c r="H234" i="23"/>
  <c r="G234" i="23"/>
  <c r="J233" i="23"/>
  <c r="I233" i="23"/>
  <c r="H233" i="23"/>
  <c r="G233" i="23"/>
  <c r="K233" i="23" s="1"/>
  <c r="J232" i="23"/>
  <c r="I232" i="23"/>
  <c r="H232" i="23"/>
  <c r="G232" i="23"/>
  <c r="L231" i="23"/>
  <c r="J231" i="23"/>
  <c r="I231" i="23"/>
  <c r="H231" i="23"/>
  <c r="G231" i="23"/>
  <c r="K231" i="23" s="1"/>
  <c r="F231" i="23"/>
  <c r="J230" i="23"/>
  <c r="I230" i="23"/>
  <c r="H230" i="23"/>
  <c r="K230" i="23" s="1"/>
  <c r="G230" i="23"/>
  <c r="J229" i="23"/>
  <c r="K229" i="23" s="1"/>
  <c r="I229" i="23"/>
  <c r="H229" i="23"/>
  <c r="G229" i="23"/>
  <c r="J228" i="23"/>
  <c r="I228" i="23"/>
  <c r="H228" i="23"/>
  <c r="G228" i="23"/>
  <c r="J227" i="23"/>
  <c r="I227" i="23"/>
  <c r="H227" i="23"/>
  <c r="G227" i="23"/>
  <c r="K227" i="23" s="1"/>
  <c r="L226" i="23"/>
  <c r="J226" i="23"/>
  <c r="K226" i="23" s="1"/>
  <c r="I226" i="23"/>
  <c r="H226" i="23"/>
  <c r="G226" i="23"/>
  <c r="F226" i="23"/>
  <c r="J225" i="23"/>
  <c r="I225" i="23"/>
  <c r="H225" i="23"/>
  <c r="K225" i="23" s="1"/>
  <c r="G225" i="23"/>
  <c r="J224" i="23"/>
  <c r="I224" i="23"/>
  <c r="H224" i="23"/>
  <c r="K224" i="23" s="1"/>
  <c r="G224" i="23"/>
  <c r="F224" i="23"/>
  <c r="K223" i="23"/>
  <c r="J223" i="23"/>
  <c r="I223" i="23"/>
  <c r="H223" i="23"/>
  <c r="G223" i="23"/>
  <c r="K222" i="23"/>
  <c r="J222" i="23"/>
  <c r="I222" i="23"/>
  <c r="H222" i="23"/>
  <c r="G222" i="23"/>
  <c r="F222" i="23"/>
  <c r="J221" i="23"/>
  <c r="I221" i="23"/>
  <c r="H221" i="23"/>
  <c r="G221" i="23"/>
  <c r="F221" i="23"/>
  <c r="J220" i="23"/>
  <c r="I220" i="23"/>
  <c r="H220" i="23"/>
  <c r="G220" i="23"/>
  <c r="K220" i="23" s="1"/>
  <c r="F220" i="23"/>
  <c r="K219" i="23"/>
  <c r="J219" i="23"/>
  <c r="I219" i="23"/>
  <c r="H219" i="23"/>
  <c r="G219" i="23"/>
  <c r="J218" i="23"/>
  <c r="I218" i="23"/>
  <c r="H218" i="23"/>
  <c r="G218" i="23"/>
  <c r="K218" i="23" s="1"/>
  <c r="J217" i="23"/>
  <c r="I217" i="23"/>
  <c r="H217" i="23"/>
  <c r="G217" i="23"/>
  <c r="K217" i="23" s="1"/>
  <c r="F217" i="23"/>
  <c r="J216" i="23"/>
  <c r="K216" i="23" s="1"/>
  <c r="I216" i="23"/>
  <c r="H216" i="23"/>
  <c r="G216" i="23"/>
  <c r="J215" i="23"/>
  <c r="I215" i="23"/>
  <c r="H215" i="23"/>
  <c r="G215" i="23"/>
  <c r="K215" i="23" s="1"/>
  <c r="F215" i="23"/>
  <c r="J214" i="23"/>
  <c r="I214" i="23"/>
  <c r="H214" i="23"/>
  <c r="K214" i="23" s="1"/>
  <c r="G214" i="23"/>
  <c r="K213" i="23"/>
  <c r="J213" i="23"/>
  <c r="I213" i="23"/>
  <c r="H213" i="23"/>
  <c r="G213" i="23"/>
  <c r="F213" i="23"/>
  <c r="J212" i="23"/>
  <c r="I212" i="23"/>
  <c r="H212" i="23"/>
  <c r="K212" i="23" s="1"/>
  <c r="G212" i="23"/>
  <c r="J211" i="23"/>
  <c r="I211" i="23"/>
  <c r="H211" i="23"/>
  <c r="K211" i="23" s="1"/>
  <c r="G211" i="23"/>
  <c r="F211" i="23"/>
  <c r="K210" i="23"/>
  <c r="J210" i="23"/>
  <c r="I210" i="23"/>
  <c r="H210" i="23"/>
  <c r="G210" i="23"/>
  <c r="J209" i="23"/>
  <c r="I209" i="23"/>
  <c r="H209" i="23"/>
  <c r="K209" i="23" s="1"/>
  <c r="G209" i="23"/>
  <c r="F209" i="23"/>
  <c r="J208" i="23"/>
  <c r="I208" i="23"/>
  <c r="H208" i="23"/>
  <c r="G208" i="23"/>
  <c r="K207" i="23"/>
  <c r="J207" i="23"/>
  <c r="I207" i="23"/>
  <c r="H207" i="23"/>
  <c r="G207" i="23"/>
  <c r="F207" i="23"/>
  <c r="J206" i="23"/>
  <c r="I206" i="23"/>
  <c r="H206" i="23"/>
  <c r="G206" i="23"/>
  <c r="K206" i="23" s="1"/>
  <c r="J205" i="23"/>
  <c r="I205" i="23"/>
  <c r="H205" i="23"/>
  <c r="G205" i="23"/>
  <c r="K205" i="23" s="1"/>
  <c r="F205" i="23"/>
  <c r="J204" i="23"/>
  <c r="I204" i="23"/>
  <c r="H204" i="23"/>
  <c r="G204" i="23"/>
  <c r="K204" i="23" s="1"/>
  <c r="J203" i="23"/>
  <c r="I203" i="23"/>
  <c r="H203" i="23"/>
  <c r="G203" i="23"/>
  <c r="F203" i="23"/>
  <c r="J202" i="23"/>
  <c r="I202" i="23"/>
  <c r="H202" i="23"/>
  <c r="G202" i="23"/>
  <c r="K202" i="23" s="1"/>
  <c r="K201" i="23"/>
  <c r="J201" i="23"/>
  <c r="I201" i="23"/>
  <c r="H201" i="23"/>
  <c r="G201" i="23"/>
  <c r="F201" i="23"/>
  <c r="J200" i="23"/>
  <c r="I200" i="23"/>
  <c r="K200" i="23" s="1"/>
  <c r="H200" i="23"/>
  <c r="G200" i="23"/>
  <c r="J199" i="23"/>
  <c r="I199" i="23"/>
  <c r="H199" i="23"/>
  <c r="G199" i="23"/>
  <c r="J198" i="23"/>
  <c r="I198" i="23"/>
  <c r="K198" i="23" s="1"/>
  <c r="H198" i="23"/>
  <c r="G198" i="23"/>
  <c r="F198" i="23"/>
  <c r="J197" i="23"/>
  <c r="I197" i="23"/>
  <c r="H197" i="23"/>
  <c r="G197" i="23"/>
  <c r="K197" i="23" s="1"/>
  <c r="J196" i="23"/>
  <c r="I196" i="23"/>
  <c r="H196" i="23"/>
  <c r="G196" i="23"/>
  <c r="K196" i="23" s="1"/>
  <c r="F196" i="23"/>
  <c r="J195" i="23"/>
  <c r="K195" i="23" s="1"/>
  <c r="I195" i="23"/>
  <c r="H195" i="23"/>
  <c r="G195" i="23"/>
  <c r="J194" i="23"/>
  <c r="I194" i="23"/>
  <c r="H194" i="23"/>
  <c r="G194" i="23"/>
  <c r="K194" i="23" s="1"/>
  <c r="J193" i="23"/>
  <c r="I193" i="23"/>
  <c r="H193" i="23"/>
  <c r="G193" i="23"/>
  <c r="F193" i="23"/>
  <c r="J192" i="23"/>
  <c r="I192" i="23"/>
  <c r="H192" i="23"/>
  <c r="K192" i="23" s="1"/>
  <c r="G192" i="23"/>
  <c r="J191" i="23"/>
  <c r="I191" i="23"/>
  <c r="H191" i="23"/>
  <c r="G191" i="23"/>
  <c r="K191" i="23" s="1"/>
  <c r="J190" i="23"/>
  <c r="I190" i="23"/>
  <c r="H190" i="23"/>
  <c r="G190" i="23"/>
  <c r="F190" i="23"/>
  <c r="J189" i="23"/>
  <c r="I189" i="23"/>
  <c r="H189" i="23"/>
  <c r="K189" i="23" s="1"/>
  <c r="G189" i="23"/>
  <c r="F189" i="23"/>
  <c r="J188" i="23"/>
  <c r="I188" i="23"/>
  <c r="H188" i="23"/>
  <c r="K188" i="23" s="1"/>
  <c r="G188" i="23"/>
  <c r="F188" i="23"/>
  <c r="J187" i="23"/>
  <c r="I187" i="23"/>
  <c r="H187" i="23"/>
  <c r="G187" i="23"/>
  <c r="F187" i="23"/>
  <c r="J186" i="23"/>
  <c r="I186" i="23"/>
  <c r="H186" i="23"/>
  <c r="G186" i="23"/>
  <c r="K186" i="23" s="1"/>
  <c r="F186" i="23"/>
  <c r="J185" i="23"/>
  <c r="I185" i="23"/>
  <c r="H185" i="23"/>
  <c r="K185" i="23" s="1"/>
  <c r="G185" i="23"/>
  <c r="J184" i="23"/>
  <c r="K184" i="23" s="1"/>
  <c r="I184" i="23"/>
  <c r="H184" i="23"/>
  <c r="G184" i="23"/>
  <c r="J183" i="23"/>
  <c r="I183" i="23"/>
  <c r="H183" i="23"/>
  <c r="G183" i="23"/>
  <c r="K183" i="23" s="1"/>
  <c r="F183" i="23"/>
  <c r="J182" i="23"/>
  <c r="I182" i="23"/>
  <c r="H182" i="23"/>
  <c r="K182" i="23" s="1"/>
  <c r="G182" i="23"/>
  <c r="J181" i="23"/>
  <c r="I181" i="23"/>
  <c r="K181" i="23" s="1"/>
  <c r="H181" i="23"/>
  <c r="G181" i="23"/>
  <c r="J180" i="23"/>
  <c r="I180" i="23"/>
  <c r="H180" i="23"/>
  <c r="G180" i="23"/>
  <c r="K180" i="23" s="1"/>
  <c r="F180" i="23"/>
  <c r="J179" i="23"/>
  <c r="I179" i="23"/>
  <c r="H179" i="23"/>
  <c r="K179" i="23" s="1"/>
  <c r="G179" i="23"/>
  <c r="J178" i="23"/>
  <c r="I178" i="23"/>
  <c r="K178" i="23" s="1"/>
  <c r="H178" i="23"/>
  <c r="G178" i="23"/>
  <c r="F178" i="23"/>
  <c r="J177" i="23"/>
  <c r="I177" i="23"/>
  <c r="H177" i="23"/>
  <c r="G177" i="23"/>
  <c r="K177" i="23" s="1"/>
  <c r="J176" i="23"/>
  <c r="I176" i="23"/>
  <c r="H176" i="23"/>
  <c r="K176" i="23" s="1"/>
  <c r="G176" i="23"/>
  <c r="F176" i="23"/>
  <c r="J175" i="23"/>
  <c r="K175" i="23" s="1"/>
  <c r="I175" i="23"/>
  <c r="H175" i="23"/>
  <c r="G175" i="23"/>
  <c r="J174" i="23"/>
  <c r="I174" i="23"/>
  <c r="H174" i="23"/>
  <c r="G174" i="23"/>
  <c r="K174" i="23" s="1"/>
  <c r="F174" i="23"/>
  <c r="J173" i="23"/>
  <c r="I173" i="23"/>
  <c r="H173" i="23"/>
  <c r="G173" i="23"/>
  <c r="K173" i="23" s="1"/>
  <c r="J172" i="23"/>
  <c r="K172" i="23" s="1"/>
  <c r="I172" i="23"/>
  <c r="H172" i="23"/>
  <c r="G172" i="23"/>
  <c r="F172" i="23"/>
  <c r="J171" i="23"/>
  <c r="I171" i="23"/>
  <c r="H171" i="23"/>
  <c r="G171" i="23"/>
  <c r="K171" i="23" s="1"/>
  <c r="J170" i="23"/>
  <c r="I170" i="23"/>
  <c r="H170" i="23"/>
  <c r="G170" i="23"/>
  <c r="K170" i="23" s="1"/>
  <c r="F170" i="23"/>
  <c r="J169" i="23"/>
  <c r="K169" i="23" s="1"/>
  <c r="I169" i="23"/>
  <c r="H169" i="23"/>
  <c r="G169" i="23"/>
  <c r="F169" i="23"/>
  <c r="J168" i="23"/>
  <c r="I168" i="23"/>
  <c r="H168" i="23"/>
  <c r="K168" i="23" s="1"/>
  <c r="G168" i="23"/>
  <c r="F168" i="23"/>
  <c r="J167" i="23"/>
  <c r="I167" i="23"/>
  <c r="H167" i="23"/>
  <c r="G167" i="23"/>
  <c r="K167" i="23" s="1"/>
  <c r="F167" i="23"/>
  <c r="J166" i="23"/>
  <c r="I166" i="23"/>
  <c r="H166" i="23"/>
  <c r="G166" i="23"/>
  <c r="K166" i="23" s="1"/>
  <c r="F166" i="23"/>
  <c r="J165" i="23"/>
  <c r="K165" i="23" s="1"/>
  <c r="I165" i="23"/>
  <c r="H165" i="23"/>
  <c r="G165" i="23"/>
  <c r="J164" i="23"/>
  <c r="I164" i="23"/>
  <c r="H164" i="23"/>
  <c r="G164" i="23"/>
  <c r="K164" i="23" s="1"/>
  <c r="K163" i="23"/>
  <c r="J163" i="23"/>
  <c r="I163" i="23"/>
  <c r="H163" i="23"/>
  <c r="G163" i="23"/>
  <c r="J162" i="23"/>
  <c r="I162" i="23"/>
  <c r="H162" i="23"/>
  <c r="K162" i="23" s="1"/>
  <c r="G162" i="23"/>
  <c r="F162" i="23"/>
  <c r="J161" i="23"/>
  <c r="I161" i="23"/>
  <c r="H161" i="23"/>
  <c r="G161" i="23"/>
  <c r="K161" i="23" s="1"/>
  <c r="K160" i="23"/>
  <c r="J160" i="23"/>
  <c r="I160" i="23"/>
  <c r="H160" i="23"/>
  <c r="G160" i="23"/>
  <c r="F160" i="23"/>
  <c r="J159" i="23"/>
  <c r="I159" i="23"/>
  <c r="K159" i="23" s="1"/>
  <c r="H159" i="23"/>
  <c r="G159" i="23"/>
  <c r="F159" i="23"/>
  <c r="J158" i="23"/>
  <c r="I158" i="23"/>
  <c r="H158" i="23"/>
  <c r="G158" i="23"/>
  <c r="K158" i="23" s="1"/>
  <c r="F158" i="23"/>
  <c r="J157" i="23"/>
  <c r="I157" i="23"/>
  <c r="H157" i="23"/>
  <c r="G157" i="23"/>
  <c r="K157" i="23" s="1"/>
  <c r="J156" i="23"/>
  <c r="K156" i="23" s="1"/>
  <c r="I156" i="23"/>
  <c r="H156" i="23"/>
  <c r="G156" i="23"/>
  <c r="J155" i="23"/>
  <c r="I155" i="23"/>
  <c r="H155" i="23"/>
  <c r="G155" i="23"/>
  <c r="K155" i="23" s="1"/>
  <c r="J154" i="23"/>
  <c r="I154" i="23"/>
  <c r="H154" i="23"/>
  <c r="G154" i="23"/>
  <c r="K154" i="23" s="1"/>
  <c r="F154" i="23"/>
  <c r="J153" i="23"/>
  <c r="K153" i="23" s="1"/>
  <c r="I153" i="23"/>
  <c r="H153" i="23"/>
  <c r="G153" i="23"/>
  <c r="J152" i="23"/>
  <c r="I152" i="23"/>
  <c r="H152" i="23"/>
  <c r="G152" i="23"/>
  <c r="K152" i="23" s="1"/>
  <c r="F152" i="23"/>
  <c r="J151" i="23"/>
  <c r="I151" i="23"/>
  <c r="H151" i="23"/>
  <c r="G151" i="23"/>
  <c r="K151" i="23" s="1"/>
  <c r="J150" i="23"/>
  <c r="K150" i="23" s="1"/>
  <c r="I150" i="23"/>
  <c r="H150" i="23"/>
  <c r="G150" i="23"/>
  <c r="F150" i="23"/>
  <c r="J149" i="23"/>
  <c r="I149" i="23"/>
  <c r="H149" i="23"/>
  <c r="K149" i="23" s="1"/>
  <c r="G149" i="23"/>
  <c r="J148" i="23"/>
  <c r="I148" i="23"/>
  <c r="H148" i="23"/>
  <c r="G148" i="23"/>
  <c r="K148" i="23" s="1"/>
  <c r="F148" i="23"/>
  <c r="K147" i="23"/>
  <c r="J147" i="23"/>
  <c r="I147" i="23"/>
  <c r="H147" i="23"/>
  <c r="G147" i="23"/>
  <c r="F147" i="23"/>
  <c r="J146" i="23"/>
  <c r="I146" i="23"/>
  <c r="K146" i="23" s="1"/>
  <c r="H146" i="23"/>
  <c r="G146" i="23"/>
  <c r="F146" i="23"/>
  <c r="J145" i="23"/>
  <c r="I145" i="23"/>
  <c r="H145" i="23"/>
  <c r="G145" i="23"/>
  <c r="K145" i="23" s="1"/>
  <c r="F145" i="23"/>
  <c r="J144" i="23"/>
  <c r="I144" i="23"/>
  <c r="H144" i="23"/>
  <c r="G144" i="23"/>
  <c r="K144" i="23" s="1"/>
  <c r="J143" i="23"/>
  <c r="K143" i="23" s="1"/>
  <c r="I143" i="23"/>
  <c r="H143" i="23"/>
  <c r="G143" i="23"/>
  <c r="J142" i="23"/>
  <c r="I142" i="23"/>
  <c r="H142" i="23"/>
  <c r="G142" i="23"/>
  <c r="K142" i="23" s="1"/>
  <c r="F142" i="23"/>
  <c r="J141" i="23"/>
  <c r="I141" i="23"/>
  <c r="H141" i="23"/>
  <c r="G141" i="23"/>
  <c r="K141" i="23" s="1"/>
  <c r="L140" i="23"/>
  <c r="K140" i="23"/>
  <c r="J140" i="23"/>
  <c r="I140" i="23"/>
  <c r="H140" i="23"/>
  <c r="G140" i="23"/>
  <c r="F140" i="23"/>
  <c r="J139" i="23"/>
  <c r="I139" i="23"/>
  <c r="K139" i="23" s="1"/>
  <c r="H139" i="23"/>
  <c r="G139" i="23"/>
  <c r="L138" i="23"/>
  <c r="J138" i="23"/>
  <c r="I138" i="23"/>
  <c r="H138" i="23"/>
  <c r="G138" i="23"/>
  <c r="K138" i="23" s="1"/>
  <c r="F138" i="23"/>
  <c r="J137" i="23"/>
  <c r="I137" i="23"/>
  <c r="H137" i="23"/>
  <c r="G137" i="23"/>
  <c r="K137" i="23" s="1"/>
  <c r="J136" i="23"/>
  <c r="K136" i="23" s="1"/>
  <c r="I136" i="23"/>
  <c r="H136" i="23"/>
  <c r="G136" i="23"/>
  <c r="F136" i="23"/>
  <c r="J135" i="23"/>
  <c r="I135" i="23"/>
  <c r="H135" i="23"/>
  <c r="K135" i="23" s="1"/>
  <c r="G135" i="23"/>
  <c r="J134" i="23"/>
  <c r="I134" i="23"/>
  <c r="H134" i="23"/>
  <c r="G134" i="23"/>
  <c r="K134" i="23" s="1"/>
  <c r="F134" i="23"/>
  <c r="K133" i="23"/>
  <c r="J133" i="23"/>
  <c r="I133" i="23"/>
  <c r="H133" i="23"/>
  <c r="G133" i="23"/>
  <c r="J132" i="23"/>
  <c r="I132" i="23"/>
  <c r="H132" i="23"/>
  <c r="K132" i="23" s="1"/>
  <c r="G132" i="23"/>
  <c r="F132" i="23"/>
  <c r="J131" i="23"/>
  <c r="I131" i="23"/>
  <c r="H131" i="23"/>
  <c r="G131" i="23"/>
  <c r="K131" i="23" s="1"/>
  <c r="K130" i="23"/>
  <c r="J130" i="23"/>
  <c r="I130" i="23"/>
  <c r="H130" i="23"/>
  <c r="G130" i="23"/>
  <c r="F130" i="23"/>
  <c r="J129" i="23"/>
  <c r="I129" i="23"/>
  <c r="K129" i="23" s="1"/>
  <c r="H129" i="23"/>
  <c r="G129" i="23"/>
  <c r="J128" i="23"/>
  <c r="I128" i="23"/>
  <c r="H128" i="23"/>
  <c r="G128" i="23"/>
  <c r="K128" i="23" s="1"/>
  <c r="L127" i="23"/>
  <c r="J127" i="23"/>
  <c r="I127" i="23"/>
  <c r="H127" i="23"/>
  <c r="G127" i="23"/>
  <c r="K127" i="23" s="1"/>
  <c r="F127" i="23"/>
  <c r="J126" i="23"/>
  <c r="K126" i="23" s="1"/>
  <c r="I126" i="23"/>
  <c r="H126" i="23"/>
  <c r="G126" i="23"/>
  <c r="J125" i="23"/>
  <c r="I125" i="23"/>
  <c r="H125" i="23"/>
  <c r="G125" i="23"/>
  <c r="K125" i="23" s="1"/>
  <c r="F125" i="23"/>
  <c r="J124" i="23"/>
  <c r="I124" i="23"/>
  <c r="H124" i="23"/>
  <c r="G124" i="23"/>
  <c r="K124" i="23" s="1"/>
  <c r="J123" i="23"/>
  <c r="K123" i="23" s="1"/>
  <c r="I123" i="23"/>
  <c r="H123" i="23"/>
  <c r="G123" i="23"/>
  <c r="F123" i="23"/>
  <c r="J122" i="23"/>
  <c r="I122" i="23"/>
  <c r="H122" i="23"/>
  <c r="K122" i="23" s="1"/>
  <c r="G122" i="23"/>
  <c r="F122" i="23"/>
  <c r="J121" i="23"/>
  <c r="I121" i="23"/>
  <c r="H121" i="23"/>
  <c r="G121" i="23"/>
  <c r="K121" i="23" s="1"/>
  <c r="K120" i="23"/>
  <c r="J120" i="23"/>
  <c r="I120" i="23"/>
  <c r="H120" i="23"/>
  <c r="G120" i="23"/>
  <c r="L119" i="23"/>
  <c r="J119" i="23"/>
  <c r="I119" i="23"/>
  <c r="K119" i="23" s="1"/>
  <c r="H119" i="23"/>
  <c r="G119" i="23"/>
  <c r="F119" i="23"/>
  <c r="J118" i="23"/>
  <c r="I118" i="23"/>
  <c r="H118" i="23"/>
  <c r="G118" i="23"/>
  <c r="K118" i="23" s="1"/>
  <c r="L117" i="23"/>
  <c r="J117" i="23"/>
  <c r="I117" i="23"/>
  <c r="H117" i="23"/>
  <c r="G117" i="23"/>
  <c r="K117" i="23" s="1"/>
  <c r="F117" i="23"/>
  <c r="K116" i="23"/>
  <c r="J116" i="23"/>
  <c r="I116" i="23"/>
  <c r="H116" i="23"/>
  <c r="G116" i="23"/>
  <c r="L115" i="23"/>
  <c r="J115" i="23"/>
  <c r="I115" i="23"/>
  <c r="K115" i="23" s="1"/>
  <c r="H115" i="23"/>
  <c r="G115" i="23"/>
  <c r="F115" i="23"/>
  <c r="J114" i="23"/>
  <c r="I114" i="23"/>
  <c r="H114" i="23"/>
  <c r="G114" i="23"/>
  <c r="K114" i="23" s="1"/>
  <c r="L113" i="23"/>
  <c r="J113" i="23"/>
  <c r="I113" i="23"/>
  <c r="H113" i="23"/>
  <c r="G113" i="23"/>
  <c r="K113" i="23" s="1"/>
  <c r="F113" i="23"/>
  <c r="K112" i="23"/>
  <c r="J112" i="23"/>
  <c r="I112" i="23"/>
  <c r="H112" i="23"/>
  <c r="G112" i="23"/>
  <c r="L111" i="23"/>
  <c r="J111" i="23"/>
  <c r="I111" i="23"/>
  <c r="K111" i="23" s="1"/>
  <c r="H111" i="23"/>
  <c r="G111" i="23"/>
  <c r="F111" i="23"/>
  <c r="J110" i="23"/>
  <c r="I110" i="23"/>
  <c r="H110" i="23"/>
  <c r="G110" i="23"/>
  <c r="K110" i="23" s="1"/>
  <c r="L109" i="23"/>
  <c r="J109" i="23"/>
  <c r="I109" i="23"/>
  <c r="H109" i="23"/>
  <c r="G109" i="23"/>
  <c r="K109" i="23" s="1"/>
  <c r="F109" i="23"/>
  <c r="K108" i="23"/>
  <c r="J108" i="23"/>
  <c r="I108" i="23"/>
  <c r="H108" i="23"/>
  <c r="G108" i="23"/>
  <c r="L107" i="23"/>
  <c r="J107" i="23"/>
  <c r="I107" i="23"/>
  <c r="K107" i="23" s="1"/>
  <c r="H107" i="23"/>
  <c r="G107" i="23"/>
  <c r="F107" i="23"/>
  <c r="L106" i="23"/>
  <c r="J106" i="23"/>
  <c r="I106" i="23"/>
  <c r="H106" i="23"/>
  <c r="K106" i="23" s="1"/>
  <c r="G106" i="23"/>
  <c r="F106" i="23"/>
  <c r="J105" i="23"/>
  <c r="I105" i="23"/>
  <c r="H105" i="23"/>
  <c r="G105" i="23"/>
  <c r="K105" i="23" s="1"/>
  <c r="K104" i="23"/>
  <c r="J104" i="23"/>
  <c r="I104" i="23"/>
  <c r="H104" i="23"/>
  <c r="G104" i="23"/>
  <c r="L103" i="23"/>
  <c r="J103" i="23"/>
  <c r="I103" i="23"/>
  <c r="K103" i="23" s="1"/>
  <c r="H103" i="23"/>
  <c r="G103" i="23"/>
  <c r="F103" i="23"/>
  <c r="L102" i="23"/>
  <c r="J102" i="23"/>
  <c r="I102" i="23"/>
  <c r="H102" i="23"/>
  <c r="K102" i="23" s="1"/>
  <c r="G102" i="23"/>
  <c r="F102" i="23"/>
  <c r="J101" i="23"/>
  <c r="I101" i="23"/>
  <c r="H101" i="23"/>
  <c r="G101" i="23"/>
  <c r="K101" i="23" s="1"/>
  <c r="K100" i="23"/>
  <c r="J100" i="23"/>
  <c r="I100" i="23"/>
  <c r="H100" i="23"/>
  <c r="G100" i="23"/>
  <c r="L99" i="23"/>
  <c r="J99" i="23"/>
  <c r="I99" i="23"/>
  <c r="K99" i="23" s="1"/>
  <c r="H99" i="23"/>
  <c r="G99" i="23"/>
  <c r="F99" i="23"/>
  <c r="L98" i="23"/>
  <c r="J98" i="23"/>
  <c r="I98" i="23"/>
  <c r="H98" i="23"/>
  <c r="K98" i="23" s="1"/>
  <c r="G98" i="23"/>
  <c r="F98" i="23"/>
  <c r="L97" i="23"/>
  <c r="J97" i="23"/>
  <c r="I97" i="23"/>
  <c r="H97" i="23"/>
  <c r="G97" i="23"/>
  <c r="K97" i="23" s="1"/>
  <c r="F97" i="23"/>
  <c r="J96" i="23"/>
  <c r="I96" i="23"/>
  <c r="H96" i="23"/>
  <c r="G96" i="23"/>
  <c r="K96" i="23" s="1"/>
  <c r="J95" i="23"/>
  <c r="K95" i="23" s="1"/>
  <c r="I95" i="23"/>
  <c r="H95" i="23"/>
  <c r="G95" i="23"/>
  <c r="J94" i="23"/>
  <c r="I94" i="23"/>
  <c r="H94" i="23"/>
  <c r="G94" i="23"/>
  <c r="K94" i="23" s="1"/>
  <c r="J93" i="23"/>
  <c r="I93" i="23"/>
  <c r="H93" i="23"/>
  <c r="G93" i="23"/>
  <c r="K93" i="23" s="1"/>
  <c r="F93" i="23"/>
  <c r="J92" i="23"/>
  <c r="K92" i="23" s="1"/>
  <c r="I92" i="23"/>
  <c r="H92" i="23"/>
  <c r="G92" i="23"/>
  <c r="J91" i="23"/>
  <c r="I91" i="23"/>
  <c r="H91" i="23"/>
  <c r="G91" i="23"/>
  <c r="K91" i="23" s="1"/>
  <c r="F91" i="23"/>
  <c r="J90" i="23"/>
  <c r="I90" i="23"/>
  <c r="H90" i="23"/>
  <c r="G90" i="23"/>
  <c r="K90" i="23" s="1"/>
  <c r="J89" i="23"/>
  <c r="K89" i="23" s="1"/>
  <c r="I89" i="23"/>
  <c r="H89" i="23"/>
  <c r="G89" i="23"/>
  <c r="F89" i="23"/>
  <c r="J88" i="23"/>
  <c r="I88" i="23"/>
  <c r="H88" i="23"/>
  <c r="K88" i="23" s="1"/>
  <c r="G88" i="23"/>
  <c r="J87" i="23"/>
  <c r="I87" i="23"/>
  <c r="H87" i="23"/>
  <c r="G87" i="23"/>
  <c r="K87" i="23" s="1"/>
  <c r="F87" i="23"/>
  <c r="K86" i="23"/>
  <c r="J86" i="23"/>
  <c r="I86" i="23"/>
  <c r="H86" i="23"/>
  <c r="G86" i="23"/>
  <c r="J85" i="23"/>
  <c r="I85" i="23"/>
  <c r="H85" i="23"/>
  <c r="K85" i="23" s="1"/>
  <c r="G85" i="23"/>
  <c r="L84" i="23"/>
  <c r="J84" i="23"/>
  <c r="I84" i="23"/>
  <c r="H84" i="23"/>
  <c r="G84" i="23"/>
  <c r="K84" i="23" s="1"/>
  <c r="F84" i="23"/>
  <c r="L83" i="23"/>
  <c r="J83" i="23"/>
  <c r="I83" i="23"/>
  <c r="H83" i="23"/>
  <c r="G83" i="23"/>
  <c r="K83" i="23" s="1"/>
  <c r="F83" i="23"/>
  <c r="K82" i="23"/>
  <c r="J82" i="23"/>
  <c r="I82" i="23"/>
  <c r="H82" i="23"/>
  <c r="G82" i="23"/>
  <c r="J81" i="23"/>
  <c r="I81" i="23"/>
  <c r="H81" i="23"/>
  <c r="K81" i="23" s="1"/>
  <c r="G81" i="23"/>
  <c r="P80" i="23"/>
  <c r="Q80" i="23" s="1"/>
  <c r="L80" i="23"/>
  <c r="J80" i="23"/>
  <c r="I80" i="23"/>
  <c r="H80" i="23"/>
  <c r="K80" i="23" s="1"/>
  <c r="G80" i="23"/>
  <c r="F80" i="23"/>
  <c r="J79" i="23"/>
  <c r="I79" i="23"/>
  <c r="H79" i="23"/>
  <c r="G79" i="23"/>
  <c r="K79" i="23" s="1"/>
  <c r="L78" i="23"/>
  <c r="J78" i="23"/>
  <c r="I78" i="23"/>
  <c r="H78" i="23"/>
  <c r="G78" i="23"/>
  <c r="K78" i="23" s="1"/>
  <c r="F78" i="23"/>
  <c r="J77" i="23"/>
  <c r="K77" i="23" s="1"/>
  <c r="I77" i="23"/>
  <c r="H77" i="23"/>
  <c r="G77" i="23"/>
  <c r="L76" i="23"/>
  <c r="J76" i="23"/>
  <c r="I76" i="23"/>
  <c r="H76" i="23"/>
  <c r="K76" i="23" s="1"/>
  <c r="G76" i="23"/>
  <c r="F76" i="23"/>
  <c r="J75" i="23"/>
  <c r="I75" i="23"/>
  <c r="H75" i="23"/>
  <c r="G75" i="23"/>
  <c r="K75" i="23" s="1"/>
  <c r="K74" i="23"/>
  <c r="J74" i="23"/>
  <c r="I74" i="23"/>
  <c r="H74" i="23"/>
  <c r="G74" i="23"/>
  <c r="M73" i="23"/>
  <c r="J73" i="23"/>
  <c r="I73" i="23"/>
  <c r="K73" i="23" s="1"/>
  <c r="H73" i="23"/>
  <c r="G73" i="23"/>
  <c r="F73" i="23"/>
  <c r="J72" i="23"/>
  <c r="I72" i="23"/>
  <c r="H72" i="23"/>
  <c r="G72" i="23"/>
  <c r="K72" i="23" s="1"/>
  <c r="M71" i="23"/>
  <c r="J71" i="23"/>
  <c r="I71" i="23"/>
  <c r="H71" i="23"/>
  <c r="G71" i="23"/>
  <c r="K71" i="23" s="1"/>
  <c r="F71" i="23"/>
  <c r="K70" i="23"/>
  <c r="J70" i="23"/>
  <c r="I70" i="23"/>
  <c r="H70" i="23"/>
  <c r="G70" i="23"/>
  <c r="M69" i="23"/>
  <c r="J69" i="23"/>
  <c r="I69" i="23"/>
  <c r="K69" i="23" s="1"/>
  <c r="H69" i="23"/>
  <c r="G69" i="23"/>
  <c r="F69" i="23"/>
  <c r="J68" i="23"/>
  <c r="I68" i="23"/>
  <c r="H68" i="23"/>
  <c r="G68" i="23"/>
  <c r="K68" i="23" s="1"/>
  <c r="M67" i="23"/>
  <c r="J67" i="23"/>
  <c r="I67" i="23"/>
  <c r="H67" i="23"/>
  <c r="G67" i="23"/>
  <c r="K67" i="23" s="1"/>
  <c r="F67" i="23"/>
  <c r="K66" i="23"/>
  <c r="J66" i="23"/>
  <c r="I66" i="23"/>
  <c r="H66" i="23"/>
  <c r="G66" i="23"/>
  <c r="J65" i="23"/>
  <c r="I65" i="23"/>
  <c r="H65" i="23"/>
  <c r="K65" i="23" s="1"/>
  <c r="G65" i="23"/>
  <c r="L64" i="23"/>
  <c r="J64" i="23"/>
  <c r="I64" i="23"/>
  <c r="H64" i="23"/>
  <c r="G64" i="23"/>
  <c r="K64" i="23" s="1"/>
  <c r="F64" i="23"/>
  <c r="J63" i="23"/>
  <c r="I63" i="23"/>
  <c r="H63" i="23"/>
  <c r="G63" i="23"/>
  <c r="K63" i="23" s="1"/>
  <c r="J62" i="23"/>
  <c r="I62" i="23"/>
  <c r="K62" i="23" s="1"/>
  <c r="H62" i="23"/>
  <c r="G62" i="23"/>
  <c r="M61" i="23"/>
  <c r="J61" i="23"/>
  <c r="I61" i="23"/>
  <c r="H61" i="23"/>
  <c r="G61" i="23"/>
  <c r="K61" i="23" s="1"/>
  <c r="F61" i="23"/>
  <c r="J60" i="23"/>
  <c r="I60" i="23"/>
  <c r="H60" i="23"/>
  <c r="G60" i="23"/>
  <c r="K60" i="23" s="1"/>
  <c r="L59" i="23"/>
  <c r="K59" i="23"/>
  <c r="J59" i="23"/>
  <c r="I59" i="23"/>
  <c r="H59" i="23"/>
  <c r="G59" i="23"/>
  <c r="F59" i="23"/>
  <c r="L58" i="23"/>
  <c r="J58" i="23"/>
  <c r="K58" i="23" s="1"/>
  <c r="I58" i="23"/>
  <c r="H58" i="23"/>
  <c r="G58" i="23"/>
  <c r="F58" i="23"/>
  <c r="L57" i="23"/>
  <c r="J57" i="23"/>
  <c r="I57" i="23"/>
  <c r="K57" i="23" s="1"/>
  <c r="H57" i="23"/>
  <c r="G57" i="23"/>
  <c r="F57" i="23"/>
  <c r="L56" i="23"/>
  <c r="J56" i="23"/>
  <c r="I56" i="23"/>
  <c r="H56" i="23"/>
  <c r="K56" i="23" s="1"/>
  <c r="G56" i="23"/>
  <c r="F56" i="23"/>
  <c r="J55" i="23"/>
  <c r="I55" i="23"/>
  <c r="H55" i="23"/>
  <c r="G55" i="23"/>
  <c r="K55" i="23" s="1"/>
  <c r="K54" i="23"/>
  <c r="J54" i="23"/>
  <c r="I54" i="23"/>
  <c r="H54" i="23"/>
  <c r="G54" i="23"/>
  <c r="L53" i="23"/>
  <c r="J53" i="23"/>
  <c r="I53" i="23"/>
  <c r="K53" i="23" s="1"/>
  <c r="H53" i="23"/>
  <c r="G53" i="23"/>
  <c r="F53" i="23"/>
  <c r="J52" i="23"/>
  <c r="I52" i="23"/>
  <c r="H52" i="23"/>
  <c r="G52" i="23"/>
  <c r="K52" i="23" s="1"/>
  <c r="L51" i="23"/>
  <c r="J51" i="23"/>
  <c r="I51" i="23"/>
  <c r="H51" i="23"/>
  <c r="G51" i="23"/>
  <c r="K51" i="23" s="1"/>
  <c r="F51" i="23"/>
  <c r="L50" i="23"/>
  <c r="J50" i="23"/>
  <c r="I50" i="23"/>
  <c r="H50" i="23"/>
  <c r="G50" i="23"/>
  <c r="K50" i="23" s="1"/>
  <c r="F50" i="23"/>
  <c r="L49" i="23"/>
  <c r="K49" i="23"/>
  <c r="J49" i="23"/>
  <c r="I49" i="23"/>
  <c r="H49" i="23"/>
  <c r="G49" i="23"/>
  <c r="F49" i="23"/>
  <c r="L48" i="23"/>
  <c r="J48" i="23"/>
  <c r="K48" i="23" s="1"/>
  <c r="I48" i="23"/>
  <c r="H48" i="23"/>
  <c r="G48" i="23"/>
  <c r="F48" i="23"/>
  <c r="L47" i="23"/>
  <c r="J47" i="23"/>
  <c r="I47" i="23"/>
  <c r="K47" i="23" s="1"/>
  <c r="H47" i="23"/>
  <c r="G47" i="23"/>
  <c r="F47" i="23"/>
  <c r="L46" i="23"/>
  <c r="J46" i="23"/>
  <c r="I46" i="23"/>
  <c r="H46" i="23"/>
  <c r="K46" i="23" s="1"/>
  <c r="G46" i="23"/>
  <c r="F46" i="23"/>
  <c r="L45" i="23"/>
  <c r="J45" i="23"/>
  <c r="I45" i="23"/>
  <c r="H45" i="23"/>
  <c r="G45" i="23"/>
  <c r="K45" i="23" s="1"/>
  <c r="F45" i="23"/>
  <c r="L44" i="23"/>
  <c r="J44" i="23"/>
  <c r="I44" i="23"/>
  <c r="H44" i="23"/>
  <c r="G44" i="23"/>
  <c r="K44" i="23" s="1"/>
  <c r="F44" i="23"/>
  <c r="J43" i="23"/>
  <c r="I43" i="23"/>
  <c r="H43" i="23"/>
  <c r="G43" i="23"/>
  <c r="K43" i="23" s="1"/>
  <c r="J42" i="23"/>
  <c r="I42" i="23"/>
  <c r="K42" i="23" s="1"/>
  <c r="H42" i="23"/>
  <c r="G42" i="23"/>
  <c r="J41" i="23"/>
  <c r="I41" i="23"/>
  <c r="H41" i="23"/>
  <c r="G41" i="23"/>
  <c r="K41" i="23" s="1"/>
  <c r="M40" i="23"/>
  <c r="J40" i="23"/>
  <c r="I40" i="23"/>
  <c r="H40" i="23"/>
  <c r="G40" i="23"/>
  <c r="K40" i="23" s="1"/>
  <c r="F40" i="23"/>
  <c r="J39" i="23"/>
  <c r="K39" i="23" s="1"/>
  <c r="I39" i="23"/>
  <c r="H39" i="23"/>
  <c r="G39" i="23"/>
  <c r="J38" i="23"/>
  <c r="I38" i="23"/>
  <c r="H38" i="23"/>
  <c r="G38" i="23"/>
  <c r="K38" i="23" s="1"/>
  <c r="F38" i="23"/>
  <c r="J37" i="23"/>
  <c r="I37" i="23"/>
  <c r="H37" i="23"/>
  <c r="G37" i="23"/>
  <c r="K37" i="23" s="1"/>
  <c r="J36" i="23"/>
  <c r="K36" i="23" s="1"/>
  <c r="I36" i="23"/>
  <c r="H36" i="23"/>
  <c r="G36" i="23"/>
  <c r="F36" i="23"/>
  <c r="J35" i="23"/>
  <c r="I35" i="23"/>
  <c r="H35" i="23"/>
  <c r="K35" i="23" s="1"/>
  <c r="G35" i="23"/>
  <c r="J34" i="23"/>
  <c r="I34" i="23"/>
  <c r="H34" i="23"/>
  <c r="G34" i="23"/>
  <c r="K34" i="23" s="1"/>
  <c r="F34" i="23"/>
  <c r="K33" i="23"/>
  <c r="J33" i="23"/>
  <c r="I33" i="23"/>
  <c r="H33" i="23"/>
  <c r="G33" i="23"/>
  <c r="L32" i="23"/>
  <c r="J32" i="23"/>
  <c r="I32" i="23"/>
  <c r="K32" i="23" s="1"/>
  <c r="H32" i="23"/>
  <c r="G32" i="23"/>
  <c r="F32" i="23"/>
  <c r="J31" i="23"/>
  <c r="I31" i="23"/>
  <c r="H31" i="23"/>
  <c r="G31" i="23"/>
  <c r="K31" i="23" s="1"/>
  <c r="M30" i="23"/>
  <c r="K30" i="23"/>
  <c r="F30" i="23"/>
  <c r="J29" i="23"/>
  <c r="I29" i="23"/>
  <c r="H29" i="23"/>
  <c r="G29" i="23"/>
  <c r="K29" i="23" s="1"/>
  <c r="L28" i="23"/>
  <c r="K28" i="23"/>
  <c r="F28" i="23"/>
  <c r="L27" i="23"/>
  <c r="K27" i="23"/>
  <c r="F27" i="23"/>
  <c r="L26" i="23"/>
  <c r="K26" i="23"/>
  <c r="F26" i="23"/>
  <c r="L25" i="23"/>
  <c r="K25" i="23"/>
  <c r="F25" i="23"/>
  <c r="J24" i="23"/>
  <c r="I24" i="23"/>
  <c r="H24" i="23"/>
  <c r="K24" i="23" s="1"/>
  <c r="G24" i="23"/>
  <c r="J23" i="23"/>
  <c r="I23" i="23"/>
  <c r="H23" i="23"/>
  <c r="G23" i="23"/>
  <c r="K23" i="23" s="1"/>
  <c r="L22" i="23"/>
  <c r="K22" i="23"/>
  <c r="F22" i="23"/>
  <c r="J21" i="23"/>
  <c r="I21" i="23"/>
  <c r="H21" i="23"/>
  <c r="G21" i="23"/>
  <c r="K21" i="23" s="1"/>
  <c r="J20" i="23"/>
  <c r="K20" i="23" s="1"/>
  <c r="I20" i="23"/>
  <c r="H20" i="23"/>
  <c r="G20" i="23"/>
  <c r="L19" i="23"/>
  <c r="K19" i="23"/>
  <c r="F19" i="23"/>
  <c r="J18" i="23"/>
  <c r="K18" i="23" s="1"/>
  <c r="I18" i="23"/>
  <c r="H18" i="23"/>
  <c r="G18" i="23"/>
  <c r="L17" i="23"/>
  <c r="K17" i="23"/>
  <c r="F17" i="23"/>
  <c r="J16" i="23"/>
  <c r="K16" i="23" s="1"/>
  <c r="I16" i="23"/>
  <c r="H16" i="23"/>
  <c r="G16" i="23"/>
  <c r="F15" i="23"/>
  <c r="J14" i="23"/>
  <c r="I14" i="23"/>
  <c r="H14" i="23"/>
  <c r="K14" i="23" s="1"/>
  <c r="G14" i="23"/>
  <c r="J13" i="23"/>
  <c r="I13" i="23"/>
  <c r="H13" i="23"/>
  <c r="G13" i="23"/>
  <c r="K13" i="23" s="1"/>
  <c r="F13" i="23"/>
  <c r="F11" i="23"/>
  <c r="F9" i="23"/>
  <c r="F7" i="23"/>
  <c r="F5" i="23"/>
  <c r="H11" i="25" l="1"/>
  <c r="F91" i="25"/>
  <c r="F94" i="25" s="1"/>
  <c r="M905" i="23"/>
  <c r="M906" i="23" s="1"/>
  <c r="K203" i="23"/>
  <c r="K221" i="23"/>
  <c r="K243" i="23"/>
  <c r="K259" i="23"/>
  <c r="K266" i="23"/>
  <c r="K290" i="23"/>
  <c r="K307" i="23"/>
  <c r="K312" i="23"/>
  <c r="K326" i="23"/>
  <c r="K337" i="23"/>
  <c r="K364" i="23"/>
  <c r="K375" i="23"/>
  <c r="K400" i="23"/>
  <c r="K411" i="23"/>
  <c r="K422" i="23"/>
  <c r="K444" i="23"/>
  <c r="K486" i="23"/>
  <c r="K513" i="23"/>
  <c r="K296" i="23"/>
  <c r="K304" i="23"/>
  <c r="K306" i="23"/>
  <c r="K334" i="23"/>
  <c r="K345" i="23"/>
  <c r="K383" i="23"/>
  <c r="K392" i="23"/>
  <c r="K434" i="23"/>
  <c r="K464" i="23"/>
  <c r="K483" i="23"/>
  <c r="K565" i="23"/>
  <c r="K199" i="23"/>
  <c r="K228" i="23"/>
  <c r="K237" i="23"/>
  <c r="K329" i="23"/>
  <c r="K340" i="23"/>
  <c r="K367" i="23"/>
  <c r="K378" i="23"/>
  <c r="K403" i="23"/>
  <c r="L905" i="23"/>
  <c r="L906" i="23" s="1"/>
  <c r="F905" i="23"/>
  <c r="K187" i="23"/>
  <c r="K193" i="23"/>
  <c r="K241" i="23"/>
  <c r="K262" i="23"/>
  <c r="K293" i="23"/>
  <c r="K300" i="23"/>
  <c r="K303" i="23"/>
  <c r="K310" i="23"/>
  <c r="K315" i="23"/>
  <c r="K398" i="23"/>
  <c r="K414" i="23"/>
  <c r="K516" i="23"/>
  <c r="K581" i="23"/>
  <c r="I11" i="27"/>
  <c r="H11" i="27"/>
  <c r="I33" i="25"/>
  <c r="H33" i="25"/>
  <c r="K190" i="23"/>
  <c r="K208" i="23"/>
  <c r="K232" i="23"/>
  <c r="K234" i="23"/>
  <c r="K335" i="23"/>
  <c r="K346" i="23"/>
  <c r="K348" i="23"/>
  <c r="K384" i="23"/>
  <c r="K433" i="23"/>
  <c r="K505" i="23"/>
  <c r="K524" i="23"/>
  <c r="K596" i="23"/>
  <c r="K611" i="23"/>
  <c r="K629" i="23"/>
  <c r="K651" i="23"/>
  <c r="K716" i="23"/>
  <c r="K718" i="23"/>
  <c r="K756" i="23"/>
  <c r="K768" i="23"/>
  <c r="K770" i="23"/>
  <c r="K835" i="23"/>
  <c r="K863" i="23"/>
  <c r="I20" i="25"/>
  <c r="H20" i="25"/>
  <c r="I27" i="25"/>
  <c r="H27" i="25"/>
  <c r="H14" i="27"/>
  <c r="I14" i="27"/>
  <c r="I15" i="25"/>
  <c r="H15" i="25"/>
  <c r="I23" i="25"/>
  <c r="H23" i="25"/>
  <c r="K673" i="23"/>
  <c r="K676" i="23"/>
  <c r="K713" i="23"/>
  <c r="K715" i="23"/>
  <c r="K737" i="23"/>
  <c r="K765" i="23"/>
  <c r="K767" i="23"/>
  <c r="K786" i="23"/>
  <c r="K788" i="23"/>
  <c r="K826" i="23"/>
  <c r="K862" i="23"/>
  <c r="K870" i="23"/>
  <c r="K873" i="23"/>
  <c r="K876" i="23"/>
  <c r="K883" i="23"/>
  <c r="K855" i="23"/>
  <c r="K897" i="23"/>
  <c r="I19" i="25"/>
  <c r="H19" i="25"/>
  <c r="I21" i="25"/>
  <c r="H21" i="25"/>
  <c r="I26" i="25"/>
  <c r="I91" i="25" s="1"/>
  <c r="I94" i="25" s="1"/>
  <c r="H26" i="25"/>
  <c r="I28" i="25"/>
  <c r="H28" i="25"/>
  <c r="G71" i="30"/>
  <c r="J68" i="31"/>
  <c r="I68" i="31"/>
  <c r="K602" i="23"/>
  <c r="K612" i="23"/>
  <c r="K622" i="23"/>
  <c r="K641" i="23"/>
  <c r="K660" i="23"/>
  <c r="K663" i="23"/>
  <c r="K670" i="23"/>
  <c r="K685" i="23"/>
  <c r="K703" i="23"/>
  <c r="K719" i="23"/>
  <c r="K721" i="23"/>
  <c r="K771" i="23"/>
  <c r="K773" i="23"/>
  <c r="K823" i="23"/>
  <c r="K836" i="23"/>
  <c r="K858" i="23"/>
  <c r="I32" i="25"/>
  <c r="H32" i="25"/>
  <c r="E91" i="25"/>
  <c r="E94" i="25" s="1"/>
  <c r="H26" i="27"/>
  <c r="I26" i="27"/>
  <c r="I29" i="27"/>
  <c r="H29" i="27"/>
  <c r="H33" i="27"/>
  <c r="H35" i="27"/>
  <c r="I35" i="27"/>
  <c r="K710" i="23"/>
  <c r="K712" i="23"/>
  <c r="K734" i="23"/>
  <c r="K736" i="23"/>
  <c r="K762" i="23"/>
  <c r="K794" i="23"/>
  <c r="K880" i="23"/>
  <c r="K892" i="23"/>
  <c r="I14" i="25"/>
  <c r="H14" i="25"/>
  <c r="I24" i="25"/>
  <c r="H24" i="25"/>
  <c r="K599" i="23"/>
  <c r="K632" i="23"/>
  <c r="K654" i="23"/>
  <c r="K667" i="23"/>
  <c r="K682" i="23"/>
  <c r="K725" i="23"/>
  <c r="K759" i="23"/>
  <c r="K782" i="23"/>
  <c r="K807" i="23"/>
  <c r="K818" i="23"/>
  <c r="K848" i="23"/>
  <c r="K851" i="23"/>
  <c r="H10" i="25"/>
  <c r="I17" i="25"/>
  <c r="H17" i="25"/>
  <c r="I31" i="25"/>
  <c r="H31" i="25"/>
  <c r="A18" i="26"/>
  <c r="A13" i="25"/>
  <c r="F88" i="31"/>
  <c r="F91" i="31" s="1"/>
  <c r="I11" i="29"/>
  <c r="H11" i="29"/>
  <c r="A10" i="30"/>
  <c r="A7" i="29"/>
  <c r="J25" i="31"/>
  <c r="I25" i="31"/>
  <c r="I88" i="31" s="1"/>
  <c r="I91" i="31" s="1"/>
  <c r="E78" i="27"/>
  <c r="E81" i="27" s="1"/>
  <c r="I10" i="27"/>
  <c r="H10" i="27"/>
  <c r="I32" i="27"/>
  <c r="H32" i="27"/>
  <c r="J88" i="31"/>
  <c r="J91" i="31" s="1"/>
  <c r="G91" i="32"/>
  <c r="I23" i="27"/>
  <c r="H16" i="29"/>
  <c r="A12" i="32"/>
  <c r="A8" i="31"/>
  <c r="A6" i="27"/>
  <c r="A9" i="28"/>
  <c r="G93" i="26"/>
  <c r="C25" i="24" s="1"/>
  <c r="I10" i="29"/>
  <c r="I68" i="29" s="1"/>
  <c r="I71" i="29" s="1"/>
  <c r="H10" i="29"/>
  <c r="E68" i="29"/>
  <c r="E71" i="29" s="1"/>
  <c r="H28" i="27"/>
  <c r="I65" i="31"/>
  <c r="G89" i="22"/>
  <c r="H89" i="22" s="1"/>
  <c r="G88" i="22"/>
  <c r="H85" i="22"/>
  <c r="G85" i="22"/>
  <c r="G84" i="22"/>
  <c r="G80" i="22"/>
  <c r="G81" i="22" s="1"/>
  <c r="H81" i="22" s="1"/>
  <c r="D80" i="22"/>
  <c r="G76" i="22"/>
  <c r="F76" i="22"/>
  <c r="G75" i="22"/>
  <c r="F75" i="22"/>
  <c r="G74" i="22"/>
  <c r="G77" i="22" s="1"/>
  <c r="H77" i="22" s="1"/>
  <c r="F74" i="22"/>
  <c r="G73" i="22"/>
  <c r="G72" i="22"/>
  <c r="G69" i="22"/>
  <c r="H69" i="22" s="1"/>
  <c r="G68" i="22"/>
  <c r="F68" i="22"/>
  <c r="G61" i="22"/>
  <c r="F61" i="22"/>
  <c r="D61" i="22"/>
  <c r="G60" i="22"/>
  <c r="G62" i="22" s="1"/>
  <c r="H62" i="22" s="1"/>
  <c r="F60" i="22"/>
  <c r="D60" i="22"/>
  <c r="G55" i="22"/>
  <c r="G54" i="22"/>
  <c r="D54" i="22"/>
  <c r="G52" i="22"/>
  <c r="G51" i="22"/>
  <c r="D51" i="22"/>
  <c r="G50" i="22"/>
  <c r="G48" i="22"/>
  <c r="F48" i="22"/>
  <c r="G46" i="22"/>
  <c r="F46" i="22"/>
  <c r="G45" i="22"/>
  <c r="F45" i="22"/>
  <c r="D45" i="22"/>
  <c r="G43" i="22"/>
  <c r="J41" i="22"/>
  <c r="G41" i="22"/>
  <c r="D41" i="22"/>
  <c r="J40" i="22"/>
  <c r="G40" i="22"/>
  <c r="G57" i="22" s="1"/>
  <c r="H57" i="22" s="1"/>
  <c r="D64" i="22" s="1"/>
  <c r="G64" i="22" s="1"/>
  <c r="G65" i="22" s="1"/>
  <c r="H65" i="22" s="1"/>
  <c r="D40" i="22"/>
  <c r="J39" i="22"/>
  <c r="G39" i="22"/>
  <c r="D39" i="22"/>
  <c r="G38" i="22"/>
  <c r="D34" i="22"/>
  <c r="C34" i="22"/>
  <c r="H31" i="22"/>
  <c r="G31" i="22"/>
  <c r="G30" i="22"/>
  <c r="E26" i="22"/>
  <c r="E34" i="22" s="1"/>
  <c r="G34" i="22" s="1"/>
  <c r="G35" i="22" s="1"/>
  <c r="H35" i="22" s="1"/>
  <c r="D26" i="22"/>
  <c r="G26" i="22" s="1"/>
  <c r="G27" i="22" s="1"/>
  <c r="H27" i="22" s="1"/>
  <c r="G22" i="22"/>
  <c r="E22" i="22"/>
  <c r="D22" i="22"/>
  <c r="C22" i="22"/>
  <c r="G19" i="22"/>
  <c r="G23" i="22" s="1"/>
  <c r="H23" i="22" s="1"/>
  <c r="E19" i="22"/>
  <c r="D19" i="22"/>
  <c r="F15" i="22"/>
  <c r="G15" i="22" s="1"/>
  <c r="F14" i="22"/>
  <c r="G14" i="22" s="1"/>
  <c r="E14" i="22"/>
  <c r="D14" i="22"/>
  <c r="G10" i="22"/>
  <c r="G7" i="22"/>
  <c r="G12" i="22" s="1"/>
  <c r="H12" i="22" s="1"/>
  <c r="F7" i="22"/>
  <c r="E7" i="22"/>
  <c r="D7" i="22"/>
  <c r="A16" i="25" l="1"/>
  <c r="A20" i="26"/>
  <c r="L907" i="23"/>
  <c r="A10" i="28"/>
  <c r="A7" i="27"/>
  <c r="A8" i="29"/>
  <c r="A11" i="30"/>
  <c r="H68" i="29"/>
  <c r="H71" i="29" s="1"/>
  <c r="E72" i="29" s="1"/>
  <c r="H78" i="27"/>
  <c r="H81" i="27" s="1"/>
  <c r="E82" i="27" s="1"/>
  <c r="A13" i="32"/>
  <c r="A10" i="31"/>
  <c r="I78" i="27"/>
  <c r="I81" i="27" s="1"/>
  <c r="F92" i="31"/>
  <c r="H91" i="25"/>
  <c r="H94" i="25" s="1"/>
  <c r="E95" i="25" s="1"/>
  <c r="M907" i="23"/>
  <c r="G16" i="22"/>
  <c r="H16" i="22" s="1"/>
  <c r="A31" i="26" l="1"/>
  <c r="A18" i="25"/>
  <c r="A11" i="31"/>
  <c r="A14" i="32"/>
  <c r="A12" i="30"/>
  <c r="A9" i="29"/>
  <c r="A11" i="28"/>
  <c r="A8" i="27"/>
  <c r="D29" i="15"/>
  <c r="D127" i="21"/>
  <c r="D114" i="21"/>
  <c r="G114" i="21" s="1"/>
  <c r="D93" i="21"/>
  <c r="G93" i="21" s="1"/>
  <c r="G79" i="21"/>
  <c r="D79" i="21"/>
  <c r="D78" i="21"/>
  <c r="G78" i="21" s="1"/>
  <c r="D70" i="21"/>
  <c r="D60" i="21"/>
  <c r="G42" i="21"/>
  <c r="D40" i="21"/>
  <c r="D38" i="21"/>
  <c r="F70" i="21"/>
  <c r="D61" i="21"/>
  <c r="D51" i="21"/>
  <c r="G51" i="21" s="1"/>
  <c r="G43" i="21"/>
  <c r="D45" i="21"/>
  <c r="D41" i="21"/>
  <c r="G38" i="21"/>
  <c r="G143" i="21"/>
  <c r="G144" i="21" s="1"/>
  <c r="H144" i="21" s="1"/>
  <c r="G139" i="21"/>
  <c r="G140" i="21" s="1"/>
  <c r="H140" i="21" s="1"/>
  <c r="G135" i="21"/>
  <c r="G136" i="21" s="1"/>
  <c r="H136" i="21" s="1"/>
  <c r="G131" i="21"/>
  <c r="G132" i="21" s="1"/>
  <c r="H132" i="21" s="1"/>
  <c r="G127" i="21"/>
  <c r="G128" i="21" s="1"/>
  <c r="H128" i="21" s="1"/>
  <c r="G123" i="21"/>
  <c r="G124" i="21" s="1"/>
  <c r="H124" i="21" s="1"/>
  <c r="G117" i="21"/>
  <c r="G116" i="21"/>
  <c r="F114" i="21"/>
  <c r="G113" i="21"/>
  <c r="G112" i="21"/>
  <c r="G108" i="21"/>
  <c r="G107" i="21"/>
  <c r="G105" i="21"/>
  <c r="G104" i="21"/>
  <c r="G100" i="21"/>
  <c r="G101" i="21" s="1"/>
  <c r="G96" i="21"/>
  <c r="G95" i="21"/>
  <c r="F93" i="21"/>
  <c r="G92" i="21"/>
  <c r="G91" i="21"/>
  <c r="G86" i="21"/>
  <c r="G85" i="21"/>
  <c r="G83" i="21"/>
  <c r="G82" i="21"/>
  <c r="G81" i="21"/>
  <c r="G73" i="21"/>
  <c r="G72" i="21"/>
  <c r="G70" i="21"/>
  <c r="G61" i="21"/>
  <c r="G60" i="21"/>
  <c r="G62" i="21" s="1"/>
  <c r="G55" i="21"/>
  <c r="G53" i="21"/>
  <c r="F49" i="21"/>
  <c r="G49" i="21" s="1"/>
  <c r="G48" i="21"/>
  <c r="G46" i="21"/>
  <c r="G45" i="21"/>
  <c r="G41" i="21"/>
  <c r="J38" i="21"/>
  <c r="G37" i="21"/>
  <c r="C26" i="21"/>
  <c r="E22" i="21"/>
  <c r="C22" i="21"/>
  <c r="E20" i="21"/>
  <c r="E26" i="21" s="1"/>
  <c r="D20" i="21"/>
  <c r="E11" i="21"/>
  <c r="E12" i="21" s="1"/>
  <c r="G7" i="21"/>
  <c r="G9" i="21" s="1"/>
  <c r="H9" i="21" s="1"/>
  <c r="E16" i="21"/>
  <c r="D16" i="21"/>
  <c r="H146" i="20"/>
  <c r="G146" i="20"/>
  <c r="G145" i="20"/>
  <c r="H142" i="20"/>
  <c r="G142" i="20"/>
  <c r="G141" i="20"/>
  <c r="H138" i="20"/>
  <c r="G138" i="20"/>
  <c r="G137" i="20"/>
  <c r="H134" i="20"/>
  <c r="G134" i="20"/>
  <c r="G133" i="20"/>
  <c r="G130" i="20"/>
  <c r="H130" i="20" s="1"/>
  <c r="G129" i="20"/>
  <c r="D129" i="20"/>
  <c r="H126" i="20"/>
  <c r="G126" i="20"/>
  <c r="G125" i="20"/>
  <c r="G119" i="20"/>
  <c r="G118" i="20"/>
  <c r="G116" i="20"/>
  <c r="F116" i="20"/>
  <c r="D116" i="20"/>
  <c r="G115" i="20"/>
  <c r="D115" i="20"/>
  <c r="G114" i="20"/>
  <c r="G120" i="20" s="1"/>
  <c r="H120" i="20" s="1"/>
  <c r="D114" i="20"/>
  <c r="G110" i="20"/>
  <c r="G109" i="20"/>
  <c r="G107" i="20"/>
  <c r="G106" i="20"/>
  <c r="G103" i="20"/>
  <c r="H103" i="20" s="1"/>
  <c r="G102" i="20"/>
  <c r="G98" i="20"/>
  <c r="G97" i="20"/>
  <c r="G95" i="20"/>
  <c r="F95" i="20"/>
  <c r="D95" i="20"/>
  <c r="G94" i="20"/>
  <c r="D94" i="20"/>
  <c r="G93" i="20"/>
  <c r="G99" i="20" s="1"/>
  <c r="H99" i="20" s="1"/>
  <c r="D93" i="20"/>
  <c r="G89" i="20"/>
  <c r="H89" i="20" s="1"/>
  <c r="G88" i="20"/>
  <c r="G87" i="20"/>
  <c r="G85" i="20"/>
  <c r="G84" i="20"/>
  <c r="G83" i="20"/>
  <c r="G81" i="20"/>
  <c r="G80" i="20"/>
  <c r="G75" i="20"/>
  <c r="G74" i="20"/>
  <c r="G72" i="20"/>
  <c r="F72" i="20"/>
  <c r="D72" i="20"/>
  <c r="G71" i="20"/>
  <c r="F71" i="20"/>
  <c r="D71" i="20"/>
  <c r="G70" i="20"/>
  <c r="G76" i="20" s="1"/>
  <c r="H76" i="20" s="1"/>
  <c r="F70" i="20"/>
  <c r="D70" i="20"/>
  <c r="G61" i="20"/>
  <c r="D61" i="20"/>
  <c r="G60" i="20"/>
  <c r="G62" i="20" s="1"/>
  <c r="H62" i="20" s="1"/>
  <c r="E60" i="20"/>
  <c r="D60" i="20"/>
  <c r="G55" i="20"/>
  <c r="G53" i="20"/>
  <c r="G51" i="20"/>
  <c r="F51" i="20"/>
  <c r="D51" i="20"/>
  <c r="G50" i="20"/>
  <c r="F50" i="20"/>
  <c r="D50" i="20"/>
  <c r="G49" i="20"/>
  <c r="F49" i="20"/>
  <c r="D49" i="20"/>
  <c r="G47" i="20"/>
  <c r="F47" i="20"/>
  <c r="D47" i="20"/>
  <c r="G46" i="20"/>
  <c r="F46" i="20"/>
  <c r="G44" i="20"/>
  <c r="G43" i="20"/>
  <c r="G41" i="20"/>
  <c r="F41" i="20"/>
  <c r="D41" i="20"/>
  <c r="G40" i="20"/>
  <c r="F40" i="20"/>
  <c r="D40" i="20"/>
  <c r="J38" i="20"/>
  <c r="G38" i="20"/>
  <c r="D38" i="20"/>
  <c r="G37" i="20"/>
  <c r="G57" i="20" s="1"/>
  <c r="H57" i="20" s="1"/>
  <c r="D64" i="20" s="1"/>
  <c r="G64" i="20" s="1"/>
  <c r="G65" i="20" s="1"/>
  <c r="H65" i="20" s="1"/>
  <c r="E37" i="20"/>
  <c r="D37" i="20"/>
  <c r="G30" i="20"/>
  <c r="D30" i="20"/>
  <c r="D31" i="20" s="1"/>
  <c r="E26" i="20"/>
  <c r="C26" i="20"/>
  <c r="G22" i="20"/>
  <c r="E22" i="20"/>
  <c r="D22" i="20"/>
  <c r="C22" i="20"/>
  <c r="E20" i="20"/>
  <c r="D20" i="20"/>
  <c r="D26" i="20" s="1"/>
  <c r="G26" i="20" s="1"/>
  <c r="G27" i="20" s="1"/>
  <c r="H27" i="20" s="1"/>
  <c r="G16" i="20"/>
  <c r="G17" i="20" s="1"/>
  <c r="H17" i="20" s="1"/>
  <c r="E16" i="20"/>
  <c r="D16" i="20"/>
  <c r="E12" i="20"/>
  <c r="G12" i="20" s="1"/>
  <c r="D12" i="20"/>
  <c r="F11" i="20"/>
  <c r="F12" i="20" s="1"/>
  <c r="E11" i="20"/>
  <c r="D11" i="20"/>
  <c r="G7" i="20"/>
  <c r="G9" i="20" s="1"/>
  <c r="H9" i="20" s="1"/>
  <c r="F7" i="20"/>
  <c r="E7" i="20"/>
  <c r="D7" i="20"/>
  <c r="A9" i="27" l="1"/>
  <c r="A12" i="28"/>
  <c r="A10" i="29"/>
  <c r="A13" i="30"/>
  <c r="A15" i="32"/>
  <c r="A12" i="31"/>
  <c r="A32" i="26"/>
  <c r="A29" i="25"/>
  <c r="G87" i="21"/>
  <c r="H87" i="21" s="1"/>
  <c r="G74" i="21"/>
  <c r="H74" i="21" s="1"/>
  <c r="G97" i="21"/>
  <c r="H97" i="21" s="1"/>
  <c r="G118" i="21"/>
  <c r="H118" i="21" s="1"/>
  <c r="H62" i="21"/>
  <c r="G16" i="21"/>
  <c r="G17" i="21" s="1"/>
  <c r="H17" i="21" s="1"/>
  <c r="G40" i="21"/>
  <c r="G57" i="21" s="1"/>
  <c r="H57" i="21" s="1"/>
  <c r="D64" i="21" s="1"/>
  <c r="G64" i="21" s="1"/>
  <c r="G65" i="21" s="1"/>
  <c r="H65" i="21" s="1"/>
  <c r="G20" i="21"/>
  <c r="D26" i="21"/>
  <c r="G26" i="21" s="1"/>
  <c r="G27" i="21" s="1"/>
  <c r="H27" i="21" s="1"/>
  <c r="H101" i="21"/>
  <c r="G109" i="21"/>
  <c r="H109" i="21" s="1"/>
  <c r="F11" i="21"/>
  <c r="F12" i="21" s="1"/>
  <c r="G12" i="21" s="1"/>
  <c r="D11" i="21"/>
  <c r="G31" i="20"/>
  <c r="D32" i="20"/>
  <c r="G11" i="20"/>
  <c r="G13" i="20" s="1"/>
  <c r="H13" i="20" s="1"/>
  <c r="G111" i="20"/>
  <c r="H111" i="20" s="1"/>
  <c r="G20" i="20"/>
  <c r="G23" i="20" s="1"/>
  <c r="H23" i="20" s="1"/>
  <c r="A11" i="29" l="1"/>
  <c r="A14" i="30"/>
  <c r="A35" i="26"/>
  <c r="A30" i="25"/>
  <c r="A13" i="31"/>
  <c r="A18" i="32"/>
  <c r="A10" i="27"/>
  <c r="A13" i="28"/>
  <c r="G11" i="21"/>
  <c r="G30" i="21"/>
  <c r="G22" i="21"/>
  <c r="G23" i="21" s="1"/>
  <c r="H23" i="21" s="1"/>
  <c r="D33" i="20"/>
  <c r="G33" i="20" s="1"/>
  <c r="G32" i="20"/>
  <c r="A14" i="28" l="1"/>
  <c r="A11" i="27"/>
  <c r="A16" i="31"/>
  <c r="A28" i="32"/>
  <c r="A33" i="25"/>
  <c r="A36" i="26"/>
  <c r="A15" i="30"/>
  <c r="A12" i="29"/>
  <c r="G13" i="21"/>
  <c r="H13" i="21" s="1"/>
  <c r="D32" i="21"/>
  <c r="G31" i="21"/>
  <c r="G34" i="20"/>
  <c r="H34" i="20" s="1"/>
  <c r="A37" i="26" l="1"/>
  <c r="A34" i="25"/>
  <c r="A26" i="31"/>
  <c r="A29" i="32"/>
  <c r="A16" i="30"/>
  <c r="A13" i="29"/>
  <c r="A15" i="28"/>
  <c r="A12" i="27"/>
  <c r="G32" i="21"/>
  <c r="G34" i="21" s="1"/>
  <c r="D33" i="21"/>
  <c r="G33" i="21" s="1"/>
  <c r="A38" i="26" l="1"/>
  <c r="A35" i="25"/>
  <c r="A27" i="31"/>
  <c r="A30" i="32"/>
  <c r="A18" i="28"/>
  <c r="A13" i="27"/>
  <c r="A14" i="29"/>
  <c r="A17" i="30"/>
  <c r="H34" i="21"/>
  <c r="A20" i="28" l="1"/>
  <c r="A16" i="27"/>
  <c r="A33" i="32"/>
  <c r="A28" i="31"/>
  <c r="A15" i="29"/>
  <c r="A18" i="30"/>
  <c r="A39" i="26"/>
  <c r="A36" i="25"/>
  <c r="G132" i="19"/>
  <c r="H132" i="19" s="1"/>
  <c r="G131" i="19"/>
  <c r="G128" i="19"/>
  <c r="H128" i="19" s="1"/>
  <c r="G127" i="19"/>
  <c r="G124" i="19"/>
  <c r="H124" i="19" s="1"/>
  <c r="G123" i="19"/>
  <c r="G117" i="19"/>
  <c r="G116" i="19"/>
  <c r="G114" i="19"/>
  <c r="F114" i="19"/>
  <c r="D114" i="19"/>
  <c r="G113" i="19"/>
  <c r="D113" i="19"/>
  <c r="G112" i="19"/>
  <c r="G118" i="19" s="1"/>
  <c r="H118" i="19" s="1"/>
  <c r="D112" i="19"/>
  <c r="G108" i="19"/>
  <c r="G107" i="19"/>
  <c r="D105" i="19"/>
  <c r="G105" i="19" s="1"/>
  <c r="C105" i="19"/>
  <c r="D104" i="19"/>
  <c r="G104" i="19" s="1"/>
  <c r="C104" i="19"/>
  <c r="G101" i="19"/>
  <c r="H101" i="19" s="1"/>
  <c r="G100" i="19"/>
  <c r="E100" i="19"/>
  <c r="D100" i="19"/>
  <c r="C100" i="19"/>
  <c r="G96" i="19"/>
  <c r="G95" i="19"/>
  <c r="G93" i="19"/>
  <c r="F93" i="19"/>
  <c r="D93" i="19"/>
  <c r="G92" i="19"/>
  <c r="D92" i="19"/>
  <c r="G91" i="19"/>
  <c r="G97" i="19" s="1"/>
  <c r="H97" i="19" s="1"/>
  <c r="D91" i="19"/>
  <c r="G86" i="19"/>
  <c r="G85" i="19"/>
  <c r="G83" i="19"/>
  <c r="D83" i="19"/>
  <c r="G82" i="19"/>
  <c r="G87" i="19" s="1"/>
  <c r="H87" i="19" s="1"/>
  <c r="D82" i="19"/>
  <c r="G81" i="19"/>
  <c r="G78" i="19"/>
  <c r="H78" i="19" s="1"/>
  <c r="G77" i="19"/>
  <c r="G76" i="19"/>
  <c r="G74" i="19"/>
  <c r="D74" i="19"/>
  <c r="G73" i="19"/>
  <c r="D73" i="19"/>
  <c r="G63" i="19"/>
  <c r="F63" i="19"/>
  <c r="D63" i="19"/>
  <c r="G61" i="19"/>
  <c r="D61" i="19"/>
  <c r="C61" i="19"/>
  <c r="D59" i="19"/>
  <c r="G59" i="19" s="1"/>
  <c r="C59" i="19"/>
  <c r="G58" i="19"/>
  <c r="E58" i="19"/>
  <c r="D58" i="19"/>
  <c r="E57" i="19"/>
  <c r="G57" i="19" s="1"/>
  <c r="D57" i="19"/>
  <c r="G52" i="19"/>
  <c r="D52" i="19"/>
  <c r="F50" i="19"/>
  <c r="C50" i="19"/>
  <c r="F49" i="19"/>
  <c r="D49" i="19"/>
  <c r="G49" i="19" s="1"/>
  <c r="C49" i="19"/>
  <c r="G47" i="19"/>
  <c r="D45" i="19"/>
  <c r="G45" i="19" s="1"/>
  <c r="G44" i="19"/>
  <c r="D44" i="19"/>
  <c r="G42" i="19"/>
  <c r="G40" i="19"/>
  <c r="G15" i="19" s="1"/>
  <c r="E40" i="19"/>
  <c r="D40" i="19"/>
  <c r="C40" i="19"/>
  <c r="G36" i="19"/>
  <c r="D36" i="19"/>
  <c r="G35" i="19"/>
  <c r="G37" i="19" s="1"/>
  <c r="H37" i="19" s="1"/>
  <c r="D35" i="19"/>
  <c r="E27" i="19"/>
  <c r="G27" i="19" s="1"/>
  <c r="D27" i="19"/>
  <c r="C27" i="19"/>
  <c r="E26" i="19"/>
  <c r="G26" i="19" s="1"/>
  <c r="D26" i="19"/>
  <c r="C26" i="19"/>
  <c r="E24" i="19"/>
  <c r="D24" i="19"/>
  <c r="C24" i="19"/>
  <c r="G24" i="19" s="1"/>
  <c r="G20" i="19"/>
  <c r="G21" i="19" s="1"/>
  <c r="H21" i="19" s="1"/>
  <c r="E20" i="19"/>
  <c r="D20" i="19"/>
  <c r="C20" i="19"/>
  <c r="G16" i="19"/>
  <c r="G13" i="19"/>
  <c r="F13" i="19"/>
  <c r="E13" i="19"/>
  <c r="D13" i="19"/>
  <c r="C13" i="19"/>
  <c r="G9" i="19"/>
  <c r="F9" i="19"/>
  <c r="E9" i="19"/>
  <c r="D9" i="19"/>
  <c r="G8" i="19"/>
  <c r="F8" i="19"/>
  <c r="E8" i="19"/>
  <c r="D8" i="19"/>
  <c r="G7" i="19"/>
  <c r="G11" i="19" s="1"/>
  <c r="H11" i="19" s="1"/>
  <c r="F7" i="19"/>
  <c r="A37" i="25" l="1"/>
  <c r="A40" i="26"/>
  <c r="A19" i="30"/>
  <c r="A16" i="29"/>
  <c r="A32" i="28"/>
  <c r="A18" i="27"/>
  <c r="A35" i="32"/>
  <c r="A31" i="31"/>
  <c r="G65" i="19"/>
  <c r="G14" i="19"/>
  <c r="G17" i="19" s="1"/>
  <c r="H17" i="19" s="1"/>
  <c r="G28" i="19"/>
  <c r="H28" i="19" s="1"/>
  <c r="G109" i="19"/>
  <c r="H109" i="19" s="1"/>
  <c r="D50" i="19"/>
  <c r="G50" i="19" s="1"/>
  <c r="G54" i="19" s="1"/>
  <c r="H54" i="19" s="1"/>
  <c r="D67" i="19" s="1"/>
  <c r="G67" i="19" s="1"/>
  <c r="G68" i="19" s="1"/>
  <c r="H68" i="19" s="1"/>
  <c r="A33" i="31" l="1"/>
  <c r="A36" i="32"/>
  <c r="A30" i="27"/>
  <c r="A33" i="28"/>
  <c r="A20" i="30"/>
  <c r="A17" i="29"/>
  <c r="A38" i="25"/>
  <c r="A41" i="26"/>
  <c r="G31" i="19"/>
  <c r="G32" i="19" s="1"/>
  <c r="H32" i="19" s="1"/>
  <c r="H65" i="19"/>
  <c r="A42" i="26" l="1"/>
  <c r="A39" i="25"/>
  <c r="A36" i="28"/>
  <c r="A31" i="27"/>
  <c r="A18" i="29"/>
  <c r="A21" i="30"/>
  <c r="A34" i="31"/>
  <c r="A37" i="32"/>
  <c r="H131" i="18"/>
  <c r="G131" i="18"/>
  <c r="G130" i="18"/>
  <c r="H127" i="18"/>
  <c r="G127" i="18"/>
  <c r="G126" i="18"/>
  <c r="G123" i="18"/>
  <c r="H123" i="18" s="1"/>
  <c r="G122" i="18"/>
  <c r="G119" i="18"/>
  <c r="H119" i="18" s="1"/>
  <c r="G118" i="18"/>
  <c r="D118" i="18"/>
  <c r="G114" i="18"/>
  <c r="G115" i="18" s="1"/>
  <c r="H115" i="18" s="1"/>
  <c r="E114" i="18"/>
  <c r="D114" i="18"/>
  <c r="G109" i="18"/>
  <c r="G108" i="18"/>
  <c r="G106" i="18"/>
  <c r="F106" i="18"/>
  <c r="D106" i="18"/>
  <c r="G105" i="18"/>
  <c r="D105" i="18"/>
  <c r="G104" i="18"/>
  <c r="D104" i="18"/>
  <c r="H101" i="18"/>
  <c r="G101" i="18"/>
  <c r="G100" i="18"/>
  <c r="G99" i="18"/>
  <c r="G97" i="18"/>
  <c r="G96" i="18"/>
  <c r="G93" i="18"/>
  <c r="H93" i="18" s="1"/>
  <c r="G92" i="18"/>
  <c r="E92" i="18"/>
  <c r="D92" i="18"/>
  <c r="G88" i="18"/>
  <c r="G87" i="18"/>
  <c r="G85" i="18"/>
  <c r="F85" i="18"/>
  <c r="D85" i="18"/>
  <c r="G84" i="18"/>
  <c r="D84" i="18"/>
  <c r="G83" i="18"/>
  <c r="G89" i="18" s="1"/>
  <c r="H89" i="18" s="1"/>
  <c r="D83" i="18"/>
  <c r="G78" i="18"/>
  <c r="G77" i="18"/>
  <c r="G75" i="18"/>
  <c r="D75" i="18"/>
  <c r="G74" i="18"/>
  <c r="D74" i="18"/>
  <c r="G73" i="18"/>
  <c r="G71" i="18"/>
  <c r="F71" i="18"/>
  <c r="D71" i="18"/>
  <c r="G70" i="18"/>
  <c r="G79" i="18" s="1"/>
  <c r="H79" i="18" s="1"/>
  <c r="F70" i="18"/>
  <c r="D70" i="18"/>
  <c r="G69" i="18"/>
  <c r="G64" i="18"/>
  <c r="G63" i="18"/>
  <c r="G61" i="18"/>
  <c r="F61" i="18"/>
  <c r="D61" i="18"/>
  <c r="G60" i="18"/>
  <c r="G65" i="18" s="1"/>
  <c r="H65" i="18" s="1"/>
  <c r="F60" i="18"/>
  <c r="D60" i="18"/>
  <c r="G59" i="18"/>
  <c r="F59" i="18"/>
  <c r="D59" i="18"/>
  <c r="G51" i="18"/>
  <c r="H51" i="18" s="1"/>
  <c r="G50" i="18"/>
  <c r="D50" i="18"/>
  <c r="G49" i="18"/>
  <c r="E49" i="18"/>
  <c r="D49" i="18"/>
  <c r="G44" i="18"/>
  <c r="G42" i="18"/>
  <c r="G40" i="18"/>
  <c r="F40" i="18"/>
  <c r="D40" i="18"/>
  <c r="G39" i="18"/>
  <c r="F39" i="18"/>
  <c r="D39" i="18"/>
  <c r="G37" i="18"/>
  <c r="F37" i="18"/>
  <c r="G36" i="18"/>
  <c r="F36" i="18"/>
  <c r="G34" i="18"/>
  <c r="G33" i="18"/>
  <c r="E33" i="18"/>
  <c r="D33" i="18"/>
  <c r="G31" i="18"/>
  <c r="G30" i="18"/>
  <c r="D30" i="18"/>
  <c r="J28" i="18"/>
  <c r="G28" i="18"/>
  <c r="D28" i="18"/>
  <c r="E27" i="18"/>
  <c r="G27" i="18" s="1"/>
  <c r="G46" i="18" s="1"/>
  <c r="H46" i="18" s="1"/>
  <c r="D53" i="18" s="1"/>
  <c r="G53" i="18" s="1"/>
  <c r="G54" i="18" s="1"/>
  <c r="H54" i="18" s="1"/>
  <c r="D27" i="18"/>
  <c r="E23" i="18"/>
  <c r="D23" i="18"/>
  <c r="G23" i="18" s="1"/>
  <c r="G24" i="18" s="1"/>
  <c r="H24" i="18" s="1"/>
  <c r="C23" i="18"/>
  <c r="E20" i="18"/>
  <c r="D20" i="18"/>
  <c r="G20" i="18" s="1"/>
  <c r="G16" i="18"/>
  <c r="G17" i="18" s="1"/>
  <c r="H17" i="18" s="1"/>
  <c r="E16" i="18"/>
  <c r="D16" i="18"/>
  <c r="E12" i="18"/>
  <c r="F11" i="18"/>
  <c r="G11" i="18" s="1"/>
  <c r="E11" i="18"/>
  <c r="D11" i="18"/>
  <c r="G9" i="18"/>
  <c r="H9" i="18" s="1"/>
  <c r="G7" i="18"/>
  <c r="F7" i="18"/>
  <c r="E7" i="18"/>
  <c r="D7" i="18"/>
  <c r="A38" i="32" l="1"/>
  <c r="A35" i="31"/>
  <c r="A19" i="29"/>
  <c r="A22" i="30"/>
  <c r="A37" i="28"/>
  <c r="A34" i="27"/>
  <c r="A43" i="26"/>
  <c r="A40" i="25"/>
  <c r="G13" i="18"/>
  <c r="H13" i="18" s="1"/>
  <c r="F12" i="18"/>
  <c r="G12" i="18" s="1"/>
  <c r="A39" i="32" l="1"/>
  <c r="A36" i="31"/>
  <c r="A23" i="30"/>
  <c r="A20" i="29"/>
  <c r="A41" i="25"/>
  <c r="A44" i="26"/>
  <c r="A38" i="28"/>
  <c r="A35" i="27"/>
  <c r="G29" i="15"/>
  <c r="G30" i="15" s="1"/>
  <c r="H30" i="15" s="1"/>
  <c r="H44" i="17"/>
  <c r="H37" i="17"/>
  <c r="H34" i="17"/>
  <c r="H29" i="17"/>
  <c r="H23" i="17"/>
  <c r="H19" i="17"/>
  <c r="H15" i="17"/>
  <c r="H11" i="17"/>
  <c r="H7" i="17"/>
  <c r="G39" i="17"/>
  <c r="F42" i="17"/>
  <c r="F41" i="17"/>
  <c r="G41" i="17" s="1"/>
  <c r="F40" i="17"/>
  <c r="D42" i="17"/>
  <c r="G42" i="17" s="1"/>
  <c r="D41" i="17"/>
  <c r="G28" i="17"/>
  <c r="D26" i="17"/>
  <c r="G26" i="17" s="1"/>
  <c r="G27" i="17"/>
  <c r="D6" i="17"/>
  <c r="E6" i="17" s="1"/>
  <c r="E33" i="17"/>
  <c r="D26" i="15"/>
  <c r="G26" i="15" s="1"/>
  <c r="G27" i="15" s="1"/>
  <c r="H27" i="15" s="1"/>
  <c r="D23" i="15"/>
  <c r="D12" i="15"/>
  <c r="D15" i="15" s="1"/>
  <c r="J203" i="16"/>
  <c r="H172" i="16"/>
  <c r="G164" i="16"/>
  <c r="G165" i="16" s="1"/>
  <c r="H165" i="16" s="1"/>
  <c r="G161" i="16"/>
  <c r="G159" i="16"/>
  <c r="C155" i="16"/>
  <c r="G151" i="16"/>
  <c r="G152" i="16" s="1"/>
  <c r="H152" i="16" s="1"/>
  <c r="D151" i="16"/>
  <c r="D155" i="16" s="1"/>
  <c r="G147" i="16"/>
  <c r="G148" i="16" s="1"/>
  <c r="H148" i="16" s="1"/>
  <c r="G144" i="16"/>
  <c r="G145" i="16" s="1"/>
  <c r="H145" i="16" s="1"/>
  <c r="G141" i="16"/>
  <c r="G142" i="16" s="1"/>
  <c r="H142" i="16" s="1"/>
  <c r="G138" i="16"/>
  <c r="G139" i="16" s="1"/>
  <c r="H139" i="16" s="1"/>
  <c r="J133" i="16"/>
  <c r="F114" i="16"/>
  <c r="D114" i="16"/>
  <c r="C114" i="16"/>
  <c r="F113" i="16"/>
  <c r="D113" i="16"/>
  <c r="C113" i="16"/>
  <c r="F112" i="16"/>
  <c r="D112" i="16"/>
  <c r="C112" i="16"/>
  <c r="G103" i="16"/>
  <c r="G102" i="16"/>
  <c r="G101" i="16"/>
  <c r="E99" i="16"/>
  <c r="E98" i="16"/>
  <c r="C98" i="16"/>
  <c r="G98" i="16" s="1"/>
  <c r="E97" i="16"/>
  <c r="D81" i="16"/>
  <c r="C81" i="16"/>
  <c r="C99" i="16" s="1"/>
  <c r="D80" i="16"/>
  <c r="C80" i="16"/>
  <c r="D79" i="16"/>
  <c r="C79" i="16"/>
  <c r="F77" i="16"/>
  <c r="C77" i="16"/>
  <c r="F76" i="16"/>
  <c r="C76" i="16"/>
  <c r="E74" i="16"/>
  <c r="E73" i="16"/>
  <c r="F68" i="16"/>
  <c r="F69" i="16" s="1"/>
  <c r="G69" i="16" s="1"/>
  <c r="G67" i="16"/>
  <c r="D62" i="16"/>
  <c r="G62" i="16" s="1"/>
  <c r="D61" i="16"/>
  <c r="G61" i="16" s="1"/>
  <c r="C56" i="16"/>
  <c r="C55" i="16"/>
  <c r="E44" i="16"/>
  <c r="E43" i="16"/>
  <c r="E41" i="16"/>
  <c r="E49" i="16" s="1"/>
  <c r="E56" i="16" s="1"/>
  <c r="E40" i="16"/>
  <c r="E48" i="16" s="1"/>
  <c r="E55" i="16" s="1"/>
  <c r="E32" i="16"/>
  <c r="E37" i="16" s="1"/>
  <c r="E27" i="16"/>
  <c r="D23" i="16"/>
  <c r="G23" i="16" s="1"/>
  <c r="D22" i="16"/>
  <c r="D43" i="16" s="1"/>
  <c r="G18" i="16"/>
  <c r="G17" i="16"/>
  <c r="E7" i="16"/>
  <c r="E33" i="16" s="1"/>
  <c r="D7" i="16"/>
  <c r="D28" i="16" s="1"/>
  <c r="D6" i="16"/>
  <c r="D32" i="16" s="1"/>
  <c r="A36" i="27" l="1"/>
  <c r="A39" i="28"/>
  <c r="A42" i="25"/>
  <c r="A46" i="26"/>
  <c r="A24" i="30"/>
  <c r="A21" i="29"/>
  <c r="A37" i="31"/>
  <c r="A42" i="32"/>
  <c r="D40" i="17"/>
  <c r="D18" i="17"/>
  <c r="D10" i="17"/>
  <c r="G10" i="17" s="1"/>
  <c r="G11" i="17" s="1"/>
  <c r="G6" i="17"/>
  <c r="G7" i="17" s="1"/>
  <c r="E14" i="17"/>
  <c r="E18" i="17"/>
  <c r="E22" i="17" s="1"/>
  <c r="E25" i="17" s="1"/>
  <c r="E32" i="17" s="1"/>
  <c r="D22" i="17"/>
  <c r="D25" i="17" s="1"/>
  <c r="G25" i="17" s="1"/>
  <c r="G29" i="17" s="1"/>
  <c r="D14" i="17"/>
  <c r="D33" i="16"/>
  <c r="D38" i="16" s="1"/>
  <c r="D53" i="16" s="1"/>
  <c r="G6" i="16"/>
  <c r="G162" i="16"/>
  <c r="H162" i="16" s="1"/>
  <c r="G79" i="16"/>
  <c r="G99" i="16"/>
  <c r="G81" i="16"/>
  <c r="D44" i="16"/>
  <c r="G44" i="16" s="1"/>
  <c r="D8" i="16"/>
  <c r="G8" i="16" s="1"/>
  <c r="G112" i="16"/>
  <c r="G155" i="16"/>
  <c r="G156" i="16" s="1"/>
  <c r="H156" i="16" s="1"/>
  <c r="G80" i="16"/>
  <c r="G113" i="16"/>
  <c r="G114" i="16"/>
  <c r="G32" i="16"/>
  <c r="D76" i="16"/>
  <c r="G76" i="16" s="1"/>
  <c r="D37" i="16"/>
  <c r="D65" i="16"/>
  <c r="G43" i="16"/>
  <c r="E38" i="16"/>
  <c r="G68" i="16"/>
  <c r="D27" i="16"/>
  <c r="G27" i="16" s="1"/>
  <c r="C97" i="16"/>
  <c r="G97" i="16" s="1"/>
  <c r="G7" i="16"/>
  <c r="G22" i="16"/>
  <c r="G24" i="16" s="1"/>
  <c r="H24" i="16" s="1"/>
  <c r="E28" i="16"/>
  <c r="G28" i="16" s="1"/>
  <c r="G23" i="15"/>
  <c r="G19" i="15"/>
  <c r="G18" i="15"/>
  <c r="G15" i="15"/>
  <c r="G16" i="15" s="1"/>
  <c r="H16" i="15" s="1"/>
  <c r="G12" i="15"/>
  <c r="G13" i="15" s="1"/>
  <c r="H13" i="15" s="1"/>
  <c r="G9" i="15"/>
  <c r="G10" i="15" s="1"/>
  <c r="H10" i="15" s="1"/>
  <c r="G6" i="15"/>
  <c r="G7" i="15" s="1"/>
  <c r="H7" i="15" s="1"/>
  <c r="A40" i="31" l="1"/>
  <c r="A44" i="32"/>
  <c r="A48" i="26"/>
  <c r="A44" i="25"/>
  <c r="A22" i="29"/>
  <c r="A25" i="30"/>
  <c r="A37" i="27"/>
  <c r="A40" i="28"/>
  <c r="G40" i="17"/>
  <c r="D43" i="17"/>
  <c r="G43" i="17" s="1"/>
  <c r="G14" i="17"/>
  <c r="G15" i="17" s="1"/>
  <c r="G18" i="17"/>
  <c r="G19" i="17" s="1"/>
  <c r="G22" i="17"/>
  <c r="G23" i="17" s="1"/>
  <c r="D77" i="16"/>
  <c r="G77" i="16" s="1"/>
  <c r="G33" i="16"/>
  <c r="G38" i="16"/>
  <c r="D66" i="16"/>
  <c r="G66" i="16" s="1"/>
  <c r="D40" i="16"/>
  <c r="D9" i="16"/>
  <c r="G29" i="16"/>
  <c r="H29" i="16" s="1"/>
  <c r="G34" i="16"/>
  <c r="H34" i="16" s="1"/>
  <c r="G65" i="16"/>
  <c r="D107" i="16"/>
  <c r="G53" i="16"/>
  <c r="D74" i="16"/>
  <c r="G74" i="16" s="1"/>
  <c r="D52" i="16"/>
  <c r="G37" i="16"/>
  <c r="G20" i="15"/>
  <c r="G24" i="15"/>
  <c r="J25" i="15" s="1"/>
  <c r="A41" i="28" l="1"/>
  <c r="A38" i="27"/>
  <c r="A23" i="29"/>
  <c r="A26" i="30"/>
  <c r="A51" i="26"/>
  <c r="A46" i="25"/>
  <c r="A47" i="32"/>
  <c r="A42" i="31"/>
  <c r="G44" i="17"/>
  <c r="D32" i="17"/>
  <c r="G32" i="17" s="1"/>
  <c r="D108" i="16"/>
  <c r="D41" i="16"/>
  <c r="G9" i="16"/>
  <c r="G10" i="16" s="1"/>
  <c r="D48" i="16"/>
  <c r="G48" i="16" s="1"/>
  <c r="D55" i="16"/>
  <c r="G40" i="16"/>
  <c r="G13" i="16"/>
  <c r="G52" i="16"/>
  <c r="D73" i="16"/>
  <c r="G73" i="16" s="1"/>
  <c r="G82" i="16" s="1"/>
  <c r="H82" i="16" s="1"/>
  <c r="G107" i="16"/>
  <c r="D117" i="16"/>
  <c r="G108" i="16"/>
  <c r="D118" i="16"/>
  <c r="H20" i="15"/>
  <c r="J22" i="15"/>
  <c r="H24" i="15"/>
  <c r="A45" i="31" l="1"/>
  <c r="A48" i="32"/>
  <c r="A52" i="26"/>
  <c r="A49" i="25"/>
  <c r="A27" i="30"/>
  <c r="A24" i="29"/>
  <c r="A42" i="28"/>
  <c r="A39" i="27"/>
  <c r="D33" i="17"/>
  <c r="G33" i="17" s="1"/>
  <c r="G34" i="17" s="1"/>
  <c r="G55" i="16"/>
  <c r="D87" i="16"/>
  <c r="D58" i="16"/>
  <c r="G58" i="16" s="1"/>
  <c r="G12" i="16"/>
  <c r="H10" i="16"/>
  <c r="D56" i="16"/>
  <c r="G41" i="16"/>
  <c r="G45" i="16" s="1"/>
  <c r="H45" i="16" s="1"/>
  <c r="D49" i="16"/>
  <c r="G49" i="16" s="1"/>
  <c r="G50" i="16" s="1"/>
  <c r="H50" i="16" s="1"/>
  <c r="D124" i="16"/>
  <c r="G117" i="16"/>
  <c r="D130" i="16"/>
  <c r="D168" i="16" s="1"/>
  <c r="G168" i="16" s="1"/>
  <c r="G118" i="16"/>
  <c r="A49" i="32" l="1"/>
  <c r="A46" i="31"/>
  <c r="A40" i="27"/>
  <c r="A44" i="28"/>
  <c r="A29" i="30"/>
  <c r="A25" i="29"/>
  <c r="A50" i="25"/>
  <c r="A53" i="26"/>
  <c r="G124" i="16"/>
  <c r="G125" i="16" s="1"/>
  <c r="H125" i="16" s="1"/>
  <c r="D167" i="16"/>
  <c r="G167" i="16" s="1"/>
  <c r="G169" i="16" s="1"/>
  <c r="H169" i="16" s="1"/>
  <c r="D88" i="16"/>
  <c r="G56" i="16"/>
  <c r="D59" i="16"/>
  <c r="G59" i="16" s="1"/>
  <c r="G87" i="16"/>
  <c r="D93" i="16"/>
  <c r="G130" i="16"/>
  <c r="G131" i="16" s="1"/>
  <c r="H131" i="16" s="1"/>
  <c r="D133" i="16"/>
  <c r="G133" i="16" s="1"/>
  <c r="G134" i="16" s="1"/>
  <c r="H134" i="16" s="1"/>
  <c r="G119" i="16"/>
  <c r="A55" i="26" l="1"/>
  <c r="A51" i="25"/>
  <c r="A47" i="28"/>
  <c r="A42" i="27"/>
  <c r="A27" i="29"/>
  <c r="A30" i="30"/>
  <c r="A50" i="32"/>
  <c r="A47" i="31"/>
  <c r="D36" i="17"/>
  <c r="G36" i="17" s="1"/>
  <c r="G37" i="17" s="1"/>
  <c r="G89" i="16"/>
  <c r="H89" i="16" s="1"/>
  <c r="D94" i="16"/>
  <c r="G88" i="16"/>
  <c r="G93" i="16"/>
  <c r="D109" i="16"/>
  <c r="G70" i="16"/>
  <c r="H119" i="16"/>
  <c r="A31" i="30" l="1"/>
  <c r="A28" i="29"/>
  <c r="A52" i="32"/>
  <c r="A48" i="31"/>
  <c r="A48" i="28"/>
  <c r="A45" i="27"/>
  <c r="A56" i="26"/>
  <c r="A53" i="25"/>
  <c r="D84" i="16"/>
  <c r="G84" i="16" s="1"/>
  <c r="G85" i="16" s="1"/>
  <c r="H85" i="16" s="1"/>
  <c r="G14" i="16"/>
  <c r="G15" i="16" s="1"/>
  <c r="G16" i="16" s="1"/>
  <c r="G19" i="16" s="1"/>
  <c r="H19" i="16" s="1"/>
  <c r="H70" i="16"/>
  <c r="G109" i="16"/>
  <c r="D127" i="16"/>
  <c r="G127" i="16" s="1"/>
  <c r="G128" i="16" s="1"/>
  <c r="H128" i="16" s="1"/>
  <c r="G94" i="16"/>
  <c r="G104" i="16" s="1"/>
  <c r="H104" i="16" s="1"/>
  <c r="D110" i="16"/>
  <c r="G110" i="16" s="1"/>
  <c r="A58" i="26" l="1"/>
  <c r="A54" i="25"/>
  <c r="A46" i="27"/>
  <c r="A50" i="28"/>
  <c r="A32" i="30"/>
  <c r="A29" i="29"/>
  <c r="A50" i="31"/>
  <c r="A53" i="32"/>
  <c r="G115" i="16"/>
  <c r="G57" i="14"/>
  <c r="G58" i="14" s="1"/>
  <c r="G60" i="14" s="1"/>
  <c r="D57" i="14"/>
  <c r="G59" i="14"/>
  <c r="G56" i="14"/>
  <c r="F56" i="14"/>
  <c r="D56" i="14"/>
  <c r="D55" i="14"/>
  <c r="F55" i="14"/>
  <c r="G55" i="14"/>
  <c r="D54" i="14"/>
  <c r="F54" i="14"/>
  <c r="G54" i="14" s="1"/>
  <c r="E52" i="14"/>
  <c r="D52" i="14"/>
  <c r="C52" i="14"/>
  <c r="F51" i="14"/>
  <c r="D51" i="14"/>
  <c r="G51" i="14" s="1"/>
  <c r="E50" i="14"/>
  <c r="E51" i="14" s="1"/>
  <c r="F50" i="14"/>
  <c r="F52" i="14" s="1"/>
  <c r="E49" i="14"/>
  <c r="E48" i="14"/>
  <c r="F49" i="14"/>
  <c r="C49" i="14"/>
  <c r="F48" i="14"/>
  <c r="C48" i="14"/>
  <c r="F53" i="14"/>
  <c r="F47" i="14"/>
  <c r="E47" i="14"/>
  <c r="F46" i="14"/>
  <c r="D46" i="14"/>
  <c r="E8" i="14"/>
  <c r="E17" i="14" s="1"/>
  <c r="E22" i="14" s="1"/>
  <c r="E30" i="14" s="1"/>
  <c r="D8" i="14"/>
  <c r="D17" i="14" s="1"/>
  <c r="E57" i="14"/>
  <c r="K49" i="14"/>
  <c r="J49" i="14" s="1"/>
  <c r="K47" i="14"/>
  <c r="J47" i="14" s="1"/>
  <c r="F39" i="14"/>
  <c r="F40" i="14" s="1"/>
  <c r="F18" i="14"/>
  <c r="C17" i="14"/>
  <c r="C22" i="14" s="1"/>
  <c r="H57" i="5"/>
  <c r="G57" i="5"/>
  <c r="G56" i="5"/>
  <c r="E56" i="5"/>
  <c r="D56" i="5"/>
  <c r="G55" i="5"/>
  <c r="E53" i="5"/>
  <c r="G54" i="5"/>
  <c r="F54" i="5"/>
  <c r="C54" i="5"/>
  <c r="G53" i="5"/>
  <c r="F53" i="5"/>
  <c r="D53" i="5"/>
  <c r="C53" i="5"/>
  <c r="F52" i="5"/>
  <c r="G51" i="5"/>
  <c r="F51" i="5"/>
  <c r="E51" i="5"/>
  <c r="D51" i="5"/>
  <c r="C51" i="5"/>
  <c r="F50" i="5"/>
  <c r="D50" i="5"/>
  <c r="J49" i="5"/>
  <c r="E49" i="5" s="1"/>
  <c r="G49" i="5" s="1"/>
  <c r="F49" i="5"/>
  <c r="K49" i="5"/>
  <c r="G52" i="5"/>
  <c r="G50" i="5"/>
  <c r="F48" i="5"/>
  <c r="E48" i="5"/>
  <c r="D48" i="5"/>
  <c r="K47" i="5"/>
  <c r="J47" i="5" s="1"/>
  <c r="E47" i="5" s="1"/>
  <c r="F46" i="5"/>
  <c r="F39" i="5"/>
  <c r="F40" i="5" s="1"/>
  <c r="F18" i="5"/>
  <c r="E17" i="5"/>
  <c r="E22" i="5" s="1"/>
  <c r="E30" i="5" s="1"/>
  <c r="E26" i="5" s="1"/>
  <c r="C17" i="5"/>
  <c r="C22" i="5" s="1"/>
  <c r="C30" i="5" s="1"/>
  <c r="C33" i="5" s="1"/>
  <c r="C34" i="5" s="1"/>
  <c r="D8" i="5"/>
  <c r="D17" i="5" s="1"/>
  <c r="A54" i="32" l="1"/>
  <c r="A51" i="31"/>
  <c r="A33" i="30"/>
  <c r="A30" i="29"/>
  <c r="A48" i="27"/>
  <c r="A51" i="28"/>
  <c r="A59" i="26"/>
  <c r="A56" i="25"/>
  <c r="D121" i="16"/>
  <c r="G121" i="16" s="1"/>
  <c r="G122" i="16" s="1"/>
  <c r="H115" i="16"/>
  <c r="G49" i="14"/>
  <c r="D18" i="14"/>
  <c r="G50" i="14"/>
  <c r="C18" i="14"/>
  <c r="G17" i="14"/>
  <c r="D22" i="14"/>
  <c r="D30" i="14" s="1"/>
  <c r="G18" i="14"/>
  <c r="C30" i="14"/>
  <c r="E33" i="14"/>
  <c r="E38" i="14" s="1"/>
  <c r="E26" i="14"/>
  <c r="G52" i="14"/>
  <c r="G8" i="14"/>
  <c r="G9" i="14" s="1"/>
  <c r="F47" i="5"/>
  <c r="C38" i="5"/>
  <c r="E33" i="5"/>
  <c r="E38" i="5" s="1"/>
  <c r="C18" i="5"/>
  <c r="D22" i="5"/>
  <c r="D30" i="5" s="1"/>
  <c r="G17" i="5"/>
  <c r="D18" i="5"/>
  <c r="A57" i="25" l="1"/>
  <c r="A60" i="26"/>
  <c r="A31" i="29"/>
  <c r="A34" i="30"/>
  <c r="A53" i="28"/>
  <c r="A49" i="27"/>
  <c r="A52" i="31"/>
  <c r="A55" i="32"/>
  <c r="H122" i="16"/>
  <c r="H171" i="16" s="1"/>
  <c r="H173" i="16" s="1"/>
  <c r="J120" i="16"/>
  <c r="G22" i="14"/>
  <c r="G23" i="14" s="1"/>
  <c r="H23" i="14" s="1"/>
  <c r="H9" i="14"/>
  <c r="G11" i="14"/>
  <c r="G30" i="14"/>
  <c r="G31" i="14" s="1"/>
  <c r="C33" i="14"/>
  <c r="C26" i="14"/>
  <c r="D26" i="14"/>
  <c r="D33" i="14"/>
  <c r="D38" i="14" s="1"/>
  <c r="D39" i="14" s="1"/>
  <c r="D40" i="14" s="1"/>
  <c r="G19" i="14"/>
  <c r="H19" i="14" s="1"/>
  <c r="D26" i="5"/>
  <c r="D33" i="5"/>
  <c r="D38" i="5" s="1"/>
  <c r="D39" i="5" s="1"/>
  <c r="D40" i="5" s="1"/>
  <c r="G18" i="5"/>
  <c r="G19" i="5" s="1"/>
  <c r="A63" i="26" l="1"/>
  <c r="A58" i="25"/>
  <c r="A57" i="32"/>
  <c r="A53" i="31"/>
  <c r="A35" i="30"/>
  <c r="A32" i="29"/>
  <c r="A54" i="28"/>
  <c r="A51" i="27"/>
  <c r="G26" i="14"/>
  <c r="G27" i="14" s="1"/>
  <c r="H27" i="14" s="1"/>
  <c r="H31" i="14"/>
  <c r="G12" i="14"/>
  <c r="C34" i="14"/>
  <c r="G33" i="14"/>
  <c r="C38" i="14"/>
  <c r="G38" i="14" s="1"/>
  <c r="C39" i="5"/>
  <c r="C26" i="5"/>
  <c r="A52" i="27" l="1"/>
  <c r="A55" i="28"/>
  <c r="A37" i="30"/>
  <c r="A33" i="29"/>
  <c r="A55" i="31"/>
  <c r="A58" i="32"/>
  <c r="A65" i="26"/>
  <c r="A61" i="25"/>
  <c r="G13" i="14"/>
  <c r="G34" i="14"/>
  <c r="G14" i="14" s="1"/>
  <c r="C39" i="14"/>
  <c r="C40" i="5"/>
  <c r="G40" i="5" s="1"/>
  <c r="C46" i="5"/>
  <c r="A38" i="30" l="1"/>
  <c r="A35" i="29"/>
  <c r="A56" i="28"/>
  <c r="A53" i="27"/>
  <c r="A63" i="25"/>
  <c r="A66" i="26"/>
  <c r="A59" i="32"/>
  <c r="A56" i="31"/>
  <c r="G39" i="14"/>
  <c r="C46" i="14"/>
  <c r="C47" i="14" s="1"/>
  <c r="G35" i="14"/>
  <c r="C40" i="14"/>
  <c r="G40" i="14" s="1"/>
  <c r="G15" i="14"/>
  <c r="H15" i="14" s="1"/>
  <c r="G46" i="5"/>
  <c r="C47" i="5"/>
  <c r="G47" i="5" s="1"/>
  <c r="C49" i="5"/>
  <c r="C48" i="5"/>
  <c r="G48" i="5" s="1"/>
  <c r="A39" i="30" l="1"/>
  <c r="A36" i="29"/>
  <c r="A60" i="32"/>
  <c r="A57" i="31"/>
  <c r="A68" i="26"/>
  <c r="A64" i="25"/>
  <c r="A54" i="27"/>
  <c r="A59" i="28"/>
  <c r="G41" i="14"/>
  <c r="H35" i="14"/>
  <c r="D43" i="14"/>
  <c r="G43" i="14" s="1"/>
  <c r="G44" i="14" s="1"/>
  <c r="H44" i="14" s="1"/>
  <c r="H41" i="14"/>
  <c r="C53" i="14"/>
  <c r="G53" i="14" s="1"/>
  <c r="G47" i="14"/>
  <c r="G46" i="14"/>
  <c r="G48" i="14"/>
  <c r="G26" i="5"/>
  <c r="G34" i="5"/>
  <c r="G14" i="5" s="1"/>
  <c r="G33" i="5"/>
  <c r="G13" i="5" s="1"/>
  <c r="G30" i="5"/>
  <c r="G22" i="5"/>
  <c r="H19" i="5"/>
  <c r="G8" i="5"/>
  <c r="A37" i="29" l="1"/>
  <c r="A40" i="30"/>
  <c r="A57" i="27"/>
  <c r="A62" i="28"/>
  <c r="A72" i="26"/>
  <c r="A66" i="25"/>
  <c r="A61" i="32"/>
  <c r="A58" i="31"/>
  <c r="G35" i="5"/>
  <c r="D43" i="5" s="1"/>
  <c r="G43" i="5" s="1"/>
  <c r="G44" i="5" s="1"/>
  <c r="G38" i="5"/>
  <c r="G39" i="5"/>
  <c r="G27" i="5"/>
  <c r="G23" i="5"/>
  <c r="H23" i="5" s="1"/>
  <c r="A59" i="31" l="1"/>
  <c r="A62" i="32"/>
  <c r="A70" i="25"/>
  <c r="A74" i="26"/>
  <c r="A63" i="28"/>
  <c r="A60" i="27"/>
  <c r="A41" i="30"/>
  <c r="A38" i="29"/>
  <c r="H58" i="14"/>
  <c r="G9" i="5"/>
  <c r="G11" i="5" s="1"/>
  <c r="G41" i="5"/>
  <c r="H35" i="5"/>
  <c r="G31" i="5"/>
  <c r="A42" i="30" l="1"/>
  <c r="A39" i="29"/>
  <c r="A64" i="28"/>
  <c r="A61" i="27"/>
  <c r="A72" i="25"/>
  <c r="A75" i="26"/>
  <c r="A63" i="32"/>
  <c r="A60" i="31"/>
  <c r="G15" i="5"/>
  <c r="H15" i="5" s="1"/>
  <c r="H31" i="5"/>
  <c r="G12" i="5"/>
  <c r="H9" i="5"/>
  <c r="A64" i="32" l="1"/>
  <c r="A61" i="31"/>
  <c r="A77" i="26"/>
  <c r="A73" i="25"/>
  <c r="A62" i="27"/>
  <c r="A65" i="28"/>
  <c r="A40" i="29"/>
  <c r="A44" i="30"/>
  <c r="H44" i="5"/>
  <c r="A45" i="30" l="1"/>
  <c r="A42" i="29"/>
  <c r="A63" i="27"/>
  <c r="A66" i="28"/>
  <c r="A75" i="25"/>
  <c r="A79" i="26"/>
  <c r="A65" i="32"/>
  <c r="A62" i="31"/>
  <c r="H41" i="5"/>
  <c r="A77" i="25" l="1"/>
  <c r="A80" i="26"/>
  <c r="A63" i="31"/>
  <c r="A66" i="32"/>
  <c r="A67" i="28"/>
  <c r="A64" i="27"/>
  <c r="A43" i="29"/>
  <c r="A46" i="30"/>
  <c r="H27" i="5"/>
  <c r="A69" i="28" l="1"/>
  <c r="A65" i="27"/>
  <c r="A67" i="32"/>
  <c r="A64" i="31"/>
  <c r="A47" i="30"/>
  <c r="A44" i="29"/>
  <c r="A78" i="25"/>
  <c r="A81" i="26"/>
  <c r="A79" i="25" l="1"/>
  <c r="A82" i="26"/>
  <c r="A68" i="32"/>
  <c r="A65" i="31"/>
  <c r="A45" i="29"/>
  <c r="A48" i="30"/>
  <c r="A71" i="28"/>
  <c r="A67" i="27"/>
  <c r="A69" i="27" l="1"/>
  <c r="A72" i="28"/>
  <c r="A49" i="30"/>
  <c r="A46" i="29"/>
  <c r="A69" i="32"/>
  <c r="A66" i="31"/>
  <c r="A83" i="26"/>
  <c r="A80" i="25"/>
  <c r="A81" i="25" l="1"/>
  <c r="A84" i="26"/>
  <c r="A50" i="30"/>
  <c r="A47" i="29"/>
  <c r="A67" i="31"/>
  <c r="A71" i="32"/>
  <c r="A73" i="28"/>
  <c r="A70" i="27"/>
  <c r="A71" i="27" l="1"/>
  <c r="A74" i="28"/>
  <c r="A82" i="25"/>
  <c r="A85" i="26"/>
  <c r="A69" i="31"/>
  <c r="A73" i="32"/>
  <c r="A51" i="30"/>
  <c r="A48" i="29"/>
  <c r="A49" i="29" l="1"/>
  <c r="A52" i="30"/>
  <c r="A75" i="32"/>
  <c r="A71" i="31"/>
  <c r="A88" i="26"/>
  <c r="A83" i="25"/>
  <c r="A75" i="28"/>
  <c r="A72" i="27"/>
  <c r="A55" i="30" l="1"/>
  <c r="A50" i="29"/>
  <c r="A73" i="27"/>
  <c r="A76" i="28"/>
  <c r="A89" i="26"/>
  <c r="A86" i="25"/>
  <c r="A76" i="32"/>
  <c r="A73" i="31"/>
  <c r="A74" i="27" l="1"/>
  <c r="A77" i="28"/>
  <c r="A74" i="31"/>
  <c r="A78" i="32"/>
  <c r="A87" i="25"/>
  <c r="A90" i="26"/>
  <c r="A57" i="30"/>
  <c r="A53" i="29"/>
  <c r="A58" i="30" l="1"/>
  <c r="A55" i="29"/>
  <c r="A76" i="31"/>
  <c r="A79" i="32"/>
  <c r="A78" i="28"/>
  <c r="A75" i="27"/>
  <c r="A88" i="25"/>
  <c r="A91" i="26"/>
  <c r="A92" i="26" l="1"/>
  <c r="A90" i="25" s="1"/>
  <c r="A89" i="25"/>
  <c r="A80" i="32"/>
  <c r="A77" i="31"/>
  <c r="A56" i="29"/>
  <c r="A59" i="30"/>
  <c r="A79" i="28"/>
  <c r="A77" i="27" s="1"/>
  <c r="A76" i="27"/>
  <c r="A60" i="30" l="1"/>
  <c r="A57" i="29"/>
  <c r="A81" i="32"/>
  <c r="A78" i="31"/>
  <c r="A58" i="29" l="1"/>
  <c r="A61" i="30"/>
  <c r="A79" i="31"/>
  <c r="A82" i="32"/>
  <c r="A83" i="32" l="1"/>
  <c r="A80" i="31"/>
  <c r="A62" i="30"/>
  <c r="A59" i="29"/>
  <c r="A60" i="29" l="1"/>
  <c r="A63" i="30"/>
  <c r="A81" i="31"/>
  <c r="A85" i="32"/>
  <c r="A86" i="32" l="1"/>
  <c r="A83" i="31"/>
  <c r="A61" i="29"/>
  <c r="A64" i="30"/>
  <c r="A65" i="30" l="1"/>
  <c r="A62" i="29"/>
  <c r="A84" i="31"/>
  <c r="A87" i="32"/>
  <c r="A85" i="31" l="1"/>
  <c r="A88" i="32"/>
  <c r="A66" i="30"/>
  <c r="A63" i="29"/>
  <c r="A89" i="32" l="1"/>
  <c r="A87" i="31" s="1"/>
  <c r="A86" i="31"/>
  <c r="A64" i="29"/>
  <c r="A67" i="30"/>
  <c r="A68" i="30" l="1"/>
  <c r="A65" i="29"/>
  <c r="A66" i="29" l="1"/>
  <c r="A69" i="30"/>
  <c r="A67" i="29" s="1"/>
</calcChain>
</file>

<file path=xl/sharedStrings.xml><?xml version="1.0" encoding="utf-8"?>
<sst xmlns="http://schemas.openxmlformats.org/spreadsheetml/2006/main" count="3344" uniqueCount="1091">
  <si>
    <t>Description</t>
  </si>
  <si>
    <t>Qty</t>
  </si>
  <si>
    <t>Unit</t>
  </si>
  <si>
    <t>A</t>
  </si>
  <si>
    <t>a)</t>
  </si>
  <si>
    <t>Termite proofing of new buildings incl wood-work therein with approved chemicals.</t>
  </si>
  <si>
    <t>Providing and laying of CC 1:4:8  under foundations, Plinth Beams, Floors, Steps &amp; Ramps etc. using crushed or broken stone graded as specified. (having minimum compressive cylindrical strength of 1500 psi) Mixed in Batching Plant.</t>
  </si>
  <si>
    <t>Providing and Laying reinforced cement concrete fair faced or as directed by the Engineer i/c erection and removal of form work as specified but excluding the cost of reinforcement which is to be paid separately, using approved Mild Steel frame of any section for Arches, Shelves, Gola, Curve beams, beams, wall, slab Round beam &amp; columns in any height &amp; any floor etc where required, with proper vibrating and curing etc complete as per drawing &amp; specification. (Minimum Compressive cylindrical strength 3000 psi @ 28 days but not leaner than 1:2:4. Mixed in Batching Plant).</t>
  </si>
  <si>
    <t>Columns</t>
  </si>
  <si>
    <t>Supply and fix bars round, using deformed bars Grade-60, incl cutting, bending, binding and placing reinforcement in position.</t>
  </si>
  <si>
    <t>Sft.</t>
  </si>
  <si>
    <t>Cft.</t>
  </si>
  <si>
    <t>Kgs.</t>
  </si>
  <si>
    <t xml:space="preserve">No. </t>
  </si>
  <si>
    <t>Length</t>
  </si>
  <si>
    <t>Width</t>
  </si>
  <si>
    <t>height</t>
  </si>
  <si>
    <t>Footings</t>
  </si>
  <si>
    <t>F1</t>
  </si>
  <si>
    <t>-</t>
  </si>
  <si>
    <t>Excavation for foundation, trenches, drains and other structure works in all kinds of soil (including but not limited to ordinary soil, gravel, morum, etc. but excluding rock) and backfilling the suitable excavated material in foundation, plinth,  under floor and for road embankment including breaking clods, watering, consolidation by ramming in layers not exceeding 9 inches (229mm) in depth to full compaction, dressing and disposal of unsuitable surplus excavated stuff to designated area as directed by the Engineer, including all lead and lift.</t>
  </si>
  <si>
    <t xml:space="preserve">Less Lean </t>
  </si>
  <si>
    <t>Less Footing</t>
  </si>
  <si>
    <t>Less Columns</t>
  </si>
  <si>
    <t>Total Received Excavation</t>
  </si>
  <si>
    <t>Providing and laying Stone Soling of any description, any thickness, spread, level and ramming, filling under floors.</t>
  </si>
  <si>
    <t>Double layer of Polythene sheet, as specified.</t>
  </si>
  <si>
    <t>MEASUREMENT SHEET</t>
  </si>
  <si>
    <t>Sr. No</t>
  </si>
  <si>
    <t>Total</t>
  </si>
  <si>
    <t>Say.</t>
  </si>
  <si>
    <t>Kg/Cft..</t>
  </si>
  <si>
    <t>Sft..</t>
  </si>
  <si>
    <t>Footing Bottom</t>
  </si>
  <si>
    <t>Footing Top</t>
  </si>
  <si>
    <t>Hot Bitumen on any plain surface, two coats. (complete as per approved specifications &amp; direction of the Engineer).</t>
  </si>
  <si>
    <t>Backfilling</t>
  </si>
  <si>
    <t>PD Column</t>
  </si>
  <si>
    <t>Sides</t>
  </si>
  <si>
    <t>Structural Steel</t>
  </si>
  <si>
    <t>Base Plate</t>
  </si>
  <si>
    <t>Brecing</t>
  </si>
  <si>
    <t>BG-1</t>
  </si>
  <si>
    <t>CB-1</t>
  </si>
  <si>
    <t>TB-1</t>
  </si>
  <si>
    <t>SHADE STRUCTURE WITH SOLAR</t>
  </si>
  <si>
    <t>Civil Works</t>
  </si>
  <si>
    <t>F2</t>
  </si>
  <si>
    <t>b)</t>
  </si>
  <si>
    <t>Plinth Beam</t>
  </si>
  <si>
    <t>External</t>
  </si>
  <si>
    <t>c)</t>
  </si>
  <si>
    <t>d)</t>
  </si>
  <si>
    <t>Supplying suitable earth from approved outside sources (borrowpits) including digging, loading and unloading, cartage upto site of work and filling in foundation  trenches, plinth or under floor, etc. including breaking clods, dressing, watering and consolidation by ramming in layers not exceeding 9 inches (229mm) in depth to full compaction complete including all lead and lift. The item rate shall include all cost related to the item.</t>
  </si>
  <si>
    <t>Total Back Filling</t>
  </si>
  <si>
    <t>Remaining</t>
  </si>
  <si>
    <t>Coverd Area</t>
  </si>
  <si>
    <t>Internal</t>
  </si>
  <si>
    <t>e)</t>
  </si>
  <si>
    <t>Under Flooring</t>
  </si>
  <si>
    <t>Providing and laying of Cement Concrete using crushed or broken stone as specified in walls, sills, copings, channels, drains, steps, string courses, corbels, pier caps, hinge stone, bed plates etc, including from work and fair faces to exposed surfaces. (Minimum Compressive cylindrical strength 2000 Psi but not leaner than 1:3:6, Mixed in Batching Plant.)</t>
  </si>
  <si>
    <t>Situ</t>
  </si>
  <si>
    <t>Slab</t>
  </si>
  <si>
    <t>Footing Sides</t>
  </si>
  <si>
    <t>50mm thick P.C.C 1:2:4, using 3mm aggregate and finished smooth with steel float, covered with two coats, each of hot bitumen @ 0.75 kg per Sqm and blinded with 0.012 cum of sand per Sqm.</t>
  </si>
  <si>
    <t>FINISHES WORK</t>
  </si>
  <si>
    <t>Providing and laying of PCC Solid Blocks for non load bearing walls as specified in building blocks walls incl setting and jointing in CM 1:6.  Upto Roof Level.</t>
  </si>
  <si>
    <t>Ground Floor Block Masonary  6"</t>
  </si>
  <si>
    <t xml:space="preserve">Long Wall </t>
  </si>
  <si>
    <t xml:space="preserve">Short Wall </t>
  </si>
  <si>
    <t>Less Window &amp; Ventilator</t>
  </si>
  <si>
    <t>W1</t>
  </si>
  <si>
    <t>W2</t>
  </si>
  <si>
    <t>13mm thick Cement Plaster 1:4, finished as specified. (Internal plaster)</t>
  </si>
  <si>
    <t>Ground Floor  Internal Plaster</t>
  </si>
  <si>
    <t xml:space="preserve">Bed </t>
  </si>
  <si>
    <t xml:space="preserve">Ceiling </t>
  </si>
  <si>
    <t>19mm thick Cement Plaster 1:4, finished as  specified. (External plaster)</t>
  </si>
  <si>
    <t>External Plaster</t>
  </si>
  <si>
    <t>Three coat of painting using Distemper / semi plastic emulsion paint, finish paint on new work such as walls / celling including cost of oil based primer, filling, rubbing, putty, etc., complete as per instruction of the Engineer.</t>
  </si>
  <si>
    <t xml:space="preserve">First Floor  Internal Paint </t>
  </si>
  <si>
    <t>Three coat of painting using plastic emulsion/matt finish paint on plaster surface such as walls / celling including cost of oil based primer, filling, rubbing, putty, etc., complete as per instruction of the Engineer.</t>
  </si>
  <si>
    <t xml:space="preserve">Wall Texture paint (External surface with grooves or any other approved pattern) in required / approved shade including the cost of dragging the surface with wire brushes complete with curing, scaffolding, ladders &amp; wooden planks as directed by the Engineer. </t>
  </si>
  <si>
    <t>Providing &amp; laying Anti skid / Matt Porcelain / ceramics Tiles (Imported) of approved shade, color, pattern and design laid over Cement Sand mortar 1:4, 1-1/2" thick in floor &amp; 3/4" thick in skirting/dado with slurry of gray cement filing the joints with approved grout of matching color, curing, finishing and cleaning on completion at any height in any floor, all as per approval &amp; directions of the Engineer.</t>
  </si>
  <si>
    <t>Porcelain Tile in Skirting</t>
  </si>
  <si>
    <t>Rft</t>
  </si>
  <si>
    <t>No.</t>
  </si>
  <si>
    <t>Door &amp; WINDOWS</t>
  </si>
  <si>
    <t xml:space="preserve">Providing and fixing 1-1/2 inches (38 mm) thick solid core kale / golden teak wood flushed veneered door shutters, with and including the cost of commercial plywood facing 3mm thick (double ply) on both faces, fixed over best quality kale / golden teak wood frame 2 inches wide alround 6 inches wide lock rail and 2nd class kale / golden teak wood solid core, i/c 1/4 inch thick best quality kale / golden teak wood lipping on all sides as per approved drawing, manufactured under power driven hydraulic press, including the cost of approved iron fittings, Heavy duty S.S (4 Nos.) Hinge using brass screws, using required size of nails and including the cost of glue and heavy duty 1st class heavy duty imported quality Yale lock as per approved by the Engineer. Including the cost of handles and locking arrangement, the contractor should submit three samples of door lock, hinges &amp; handle for approval. </t>
  </si>
  <si>
    <t>Door Shutter</t>
  </si>
  <si>
    <t>Door Lock</t>
  </si>
  <si>
    <t>Door Stopper</t>
  </si>
  <si>
    <t>L Drop 4"</t>
  </si>
  <si>
    <t>Supply and fix, Steel Chowkat press-moulded 16 SWG, for 150 mm walls, single leaf, complete, including hold fast, ties for lateral movement, PCC 1:2:4 cavity filling etc, including cost of one coat of anti-Creosote paint (internal surface), Red oxide paint (external surface) &amp; 4 hinges</t>
  </si>
  <si>
    <t>Door Frame</t>
  </si>
  <si>
    <t>Providing and fixing 4" x 3/4" thick best quality imported well seasoned kale / golden teak wood beading / architrave of approved design and section including the cost of beading motive, S.S nails of required size, wood scraping and scaffolding etc.,  as required and as per the instruction of the Engineer. The cost includes cartage, all lead and lift at any height in any floor.</t>
  </si>
  <si>
    <t xml:space="preserve">Door Beading </t>
  </si>
  <si>
    <t>Providing &amp; fixing heavy duty Aluminum powder coated windows/ventilators using heavy duty extruded deluxe powder coated section  including all standard hardware imported glass, pvc gasket, imported handles, latches, stopper etc, complete in all respect, all required accessories for the fixing and operational system including the cost of windows/ventilators, as per instructions of the Engineer. Contractor to make detailed shop drawings for the approval of consultant before start of work.</t>
  </si>
  <si>
    <t>Windows</t>
  </si>
  <si>
    <t>Supplying and spreading of earth loam to loamy sand free from salinity, alkalinity &amp; pebbles etc. from approved sources i/c leveling, dressing, breaking clods, &amp; compaction etc. complete as per direction of the Engineer. (Loose thickness)</t>
  </si>
  <si>
    <t>Supplying, stacking and spreading cow dung manure / Slaughter House manure and mixing the same up to any depth in the already laid sweet earth including breaking clods, dressing fine for Trees in pits and sprinkling water, raking and rolling complete.</t>
  </si>
  <si>
    <t>Planting live Dacca grass of approved quality by dribbling grass 3 inch a part including watering weeding moving &amp; all cultural practices, complete till such time a fine lawn carpet is formed.</t>
  </si>
  <si>
    <t>Supply line (Dacca grass) in slabs.</t>
  </si>
  <si>
    <t xml:space="preserve">Providing &amp; laying floor of 3" thick 1:2:4 cement concrete using graded &amp; screend crush 3/4" thick &amp; down gauge including mixing pigment of approved dark color / shade for 1/8" thick topping as directed including form work consolidation, finishing &amp; curing, etc. Complete in all respect as per direction of the Engineer. </t>
  </si>
  <si>
    <t>Cft</t>
  </si>
  <si>
    <t>Sft</t>
  </si>
  <si>
    <t>Providing &amp; fixing 1-1/4" thick (30mm) One piece Marble of approved colour / texure / printed (Pre-polished) i/c bull-nozing, laid over Cement Sand mortar 1:4, 1-1/2" thick on steps, filling the joints with approved grout of matching colour, as per specifications, at any height in any floor, including the cost of cartage etc. complete in all respect  as per direction and approval of the Engineer. (Contractor should submit the sample of different color of Marble for approval before execution of work).</t>
  </si>
  <si>
    <t>Providing &amp; laying Heavy Duty Glazed / Matt finish Tiles of approved shade, color, pattern and design laid over Cement Sand mortar 1:4, 1-1/2" thick in floor &amp; 3/4" thick in skirting/dado, filing the joints with surly of white cement and approved grout of matching color, curing, finishing and cleaning on completion at any height in any floor, all as per approval &amp; directions of the Engineer.</t>
  </si>
  <si>
    <t>Heavy Duty Glazed / Matt finish Tiles in Floor (of approved size).</t>
  </si>
  <si>
    <t>Heavy Duty Glazed / Matt finish Tiles in Dado &amp; Skirting (of approved size).</t>
  </si>
  <si>
    <t xml:space="preserve">Providing &amp; laying floor of 2" thick 1:2:4 cement concrete using graded &amp; screend crush 3/4" thick &amp; down gauge including mixing pigment of approved dark color / shade for 1/8" thick topping as directed including form work consolidation, finishing &amp; curing, etc. Complete in all respect as per direction of the Engineer. </t>
  </si>
  <si>
    <t>Providing and laying 1st Class Gas Fired System burnt clay / Terracotta Interlock tiles of size: 11" x 7" and grouted with 1:4 Cement mortar over pre-layer screed finished to slope including flush pointing on tiles works with 1:4 cement mortar and curing complete in all respects as shown in the drawings and as per instructions of the Engineer.</t>
  </si>
  <si>
    <t>Providing and fixing in position Pre-cast spiral stair 5'-6" dia up to roof complete in all respect as per drawing and direction of the Engineer.</t>
  </si>
  <si>
    <t>Job</t>
  </si>
  <si>
    <t>Cft..</t>
  </si>
  <si>
    <t>Aluminum Powder Coated Openable Window Along With Flyproofing. Arch Shape Panel on Top. Glass Will Be Double Glazed Consisting of 60% Reflected Outer Glass 5mm + 9mm Air Space + 5mm Thick Clear Inner Glass As Per Elevation Surface. Refer Elevations &amp; Sections (Complete In All Respects, as specified in drawings &amp; as per approval of the Engineer)</t>
  </si>
  <si>
    <t>Aluminum Powder Coated Sliding Window Along With Flyproofing. Arch Shape Panel on Top. Glass Will Be Double Glazed Consisting of 60% Reflected Outer Glass 5mm + 9mm Air Space + 5mm Thick Clear Inner Glass As Per Elevation Surface. Refer Elevations &amp; Sections (Complete In All Respects, as specified in drawings &amp; as per approval of the Engineer)</t>
  </si>
  <si>
    <t>Aluminum Powder Coated Sliding Window Along With Flyproofing. Glass Will Be Double Glazed Consisting of 60% Reflected Outer Glass 5mm + 9mm Air Space + 5mm Thick Clear Inner Glass As Per Elevation Surface. Refer Elevations &amp; Sections (Complete In All Respects, as specified in drawings &amp; as per approval of the Engineer)</t>
  </si>
  <si>
    <t>Aluminum Powder Coated Openable Window Along With Flyproofing. Glass Will Be Double Glazed Consisting of 60% Reflected Outer Glass 5mm + 9mm Air Space + 5mm Thick Clear Inner Glass As Per Elevation Surface. Refer Elevations &amp; Sections (Complete In All Respects, as specified in drawings &amp; as per approval of the Engineer)</t>
  </si>
  <si>
    <t>Aluminium Powder Coated Top Hung Openable Ventilator and fixed bottom panel, with 6mm thick frosted glass. As Per Elevation Surface. Refer Elevations &amp; Sections (Complete In All Respects, as specified in drawings &amp; as per approval of the Engineer)</t>
  </si>
  <si>
    <t xml:space="preserve">Providing &amp; laying CC Screed on roof for water proofing comprising applying two coats of special industrial bitumen emulsion only on top surfaces of roof at the rate of 0.15 LBS/Sft.. per coat. 2" thick thermopore as per ASTM C578, D1621, C203, C518 over bitumen coating, including cost for providing and laying of (D5) welded wire mesh (as approved by the Engineer &amp; as shown in drawings), 1:2:4 cement concrete (4" thick) using graded &amp; screend crush 3/4" thick &amp; down gauge, mixing pigment of approved color / shade for 1/8" thick topping as directed including form work consolidation, finishing &amp; curing, etc. Complete in all respect as per drawing &amp; direction of the Engineer. </t>
  </si>
  <si>
    <t>Providing and fixing M.S hand rail at stairs all as per drawings and directions of the Engineer with &amp; i/c. flange and flange cover, cutting holes, welding and all required accessories for fixing and making good the damages &amp; painting with anti corrosive paint etc, complete (Contractor to submit shop drawing to Engineer for approval before execution.)</t>
  </si>
  <si>
    <t>Kg</t>
  </si>
  <si>
    <t>Wooden Single Panel One Way Swing Openable Door with Polish Finish, including Heavy Duty Locks, minimum 4 Hinges etc. (Refer elevations &amp; section) Complete in all respect as specified.</t>
  </si>
  <si>
    <t>Wooden Single Panel One Way Swing Flush Openable Door with Polish Finish, including Heavy Duty Locks, minimum 4 Hinges etc. (Refer elevations &amp; section) Complete in all respect as specified.</t>
  </si>
  <si>
    <t>SHADE STRUCTURE WITHOUT SOLAR</t>
  </si>
  <si>
    <t>CF-4</t>
  </si>
  <si>
    <t>F7</t>
  </si>
  <si>
    <t>FB</t>
  </si>
  <si>
    <t>Column</t>
  </si>
  <si>
    <t>Less Column</t>
  </si>
  <si>
    <t>Less Door, Window &amp; Ventilator</t>
  </si>
  <si>
    <t>False Celing</t>
  </si>
  <si>
    <t>Carpet</t>
  </si>
  <si>
    <t>GW1</t>
  </si>
  <si>
    <t>GW02</t>
  </si>
  <si>
    <t>D</t>
  </si>
  <si>
    <t>Screed / Water Proofing</t>
  </si>
  <si>
    <t>Sub Base Material</t>
  </si>
  <si>
    <t>80mm</t>
  </si>
  <si>
    <t>60mm</t>
  </si>
  <si>
    <t>Paver</t>
  </si>
  <si>
    <t>80mm Thick</t>
  </si>
  <si>
    <t>60mm Thick</t>
  </si>
  <si>
    <t>Granite</t>
  </si>
  <si>
    <t>Kerb Block</t>
  </si>
  <si>
    <t xml:space="preserve"> </t>
  </si>
  <si>
    <t xml:space="preserve">Storm Water Tank </t>
  </si>
  <si>
    <t xml:space="preserve">Less Area </t>
  </si>
  <si>
    <t>Polythene Sheet</t>
  </si>
  <si>
    <t>Strom Water  (Bed )</t>
  </si>
  <si>
    <t xml:space="preserve">Chamfer </t>
  </si>
  <si>
    <t>Storm Water  (Wall  )</t>
  </si>
  <si>
    <t>UG Tank (Top Slab  )</t>
  </si>
  <si>
    <t xml:space="preserve">Less MainHole Cover </t>
  </si>
  <si>
    <t xml:space="preserve">Pump Room  P-Beam </t>
  </si>
  <si>
    <t>B1</t>
  </si>
  <si>
    <t>B2</t>
  </si>
  <si>
    <t xml:space="preserve">Pump Room  R-Beam </t>
  </si>
  <si>
    <t>RB1</t>
  </si>
  <si>
    <t>RB2</t>
  </si>
  <si>
    <t>f)</t>
  </si>
  <si>
    <t xml:space="preserve">Column </t>
  </si>
  <si>
    <t>g)</t>
  </si>
  <si>
    <t xml:space="preserve">Pump Room  Top Slab </t>
  </si>
  <si>
    <t>UG Tank</t>
  </si>
  <si>
    <t>Bed (Outer Sides)</t>
  </si>
  <si>
    <t>Walls (Outer Sides)</t>
  </si>
  <si>
    <t xml:space="preserve">Pump Room </t>
  </si>
  <si>
    <t>Less Door  and Windows</t>
  </si>
  <si>
    <t xml:space="preserve">UG Tank </t>
  </si>
  <si>
    <t xml:space="preserve">Walls </t>
  </si>
  <si>
    <t xml:space="preserve">Ceilling </t>
  </si>
  <si>
    <t xml:space="preserve">Projection </t>
  </si>
  <si>
    <t xml:space="preserve">CC Floor </t>
  </si>
  <si>
    <t>Water Stoper</t>
  </si>
  <si>
    <t xml:space="preserve">Rft. </t>
  </si>
  <si>
    <t xml:space="preserve">CI Cover Frame </t>
  </si>
  <si>
    <t>Nos</t>
  </si>
  <si>
    <t xml:space="preserve">Door </t>
  </si>
  <si>
    <t xml:space="preserve">Tube Well Room </t>
  </si>
  <si>
    <t>Footing 1</t>
  </si>
  <si>
    <t xml:space="preserve">Situ Excavation </t>
  </si>
  <si>
    <t>Less Footing Concrete</t>
  </si>
  <si>
    <t xml:space="preserve">Less Column </t>
  </si>
  <si>
    <t xml:space="preserve">Footing Lean </t>
  </si>
  <si>
    <t xml:space="preserve">Situ Lean </t>
  </si>
  <si>
    <t xml:space="preserve">Polythene Sheet </t>
  </si>
  <si>
    <t xml:space="preserve">Same as Bitumen </t>
  </si>
  <si>
    <t>.</t>
  </si>
  <si>
    <t xml:space="preserve">Short Column </t>
  </si>
  <si>
    <t>C1</t>
  </si>
  <si>
    <t xml:space="preserve">Plinth Beam </t>
  </si>
  <si>
    <t xml:space="preserve">Super Column </t>
  </si>
  <si>
    <t>Roof Beam</t>
  </si>
  <si>
    <t xml:space="preserve">Slab </t>
  </si>
  <si>
    <t xml:space="preserve">Footing </t>
  </si>
  <si>
    <t xml:space="preserve">Top </t>
  </si>
  <si>
    <t xml:space="preserve">Sides </t>
  </si>
  <si>
    <t>Short Column</t>
  </si>
  <si>
    <t>Situ Wall Outer</t>
  </si>
  <si>
    <t xml:space="preserve">Tubewell </t>
  </si>
  <si>
    <t xml:space="preserve">Tube Well </t>
  </si>
  <si>
    <t xml:space="preserve">Less UG Tank Area </t>
  </si>
  <si>
    <t>U.G.tank</t>
  </si>
  <si>
    <t>Steps Lean (Both Sides)</t>
  </si>
  <si>
    <t xml:space="preserve">Water Prrofing Membrane </t>
  </si>
  <si>
    <t>Situ Steps (Both Sides)</t>
  </si>
  <si>
    <t>UG Tank (Bed )</t>
  </si>
  <si>
    <t>UG Tank (Wall  )</t>
  </si>
  <si>
    <t xml:space="preserve">Monkey Ladders </t>
  </si>
  <si>
    <t xml:space="preserve">Septic Tank </t>
  </si>
  <si>
    <t xml:space="preserve">Soak pit </t>
  </si>
  <si>
    <t xml:space="preserve">Area </t>
  </si>
  <si>
    <t xml:space="preserve">Less Septic  Tank Area </t>
  </si>
  <si>
    <t>Soak pit</t>
  </si>
  <si>
    <t>Septic tank</t>
  </si>
  <si>
    <t>1:3:6</t>
  </si>
  <si>
    <t xml:space="preserve">Soak Pit </t>
  </si>
  <si>
    <t>Septic Tank  (Bed )</t>
  </si>
  <si>
    <t>Soak Pit (Beam)</t>
  </si>
  <si>
    <t>Septic  Tank (Outer Wall)</t>
  </si>
  <si>
    <t>Septic  Tank (Inner  Wall)</t>
  </si>
  <si>
    <t>Septic  Tank (Top Slab  )</t>
  </si>
  <si>
    <t xml:space="preserve">Detail X </t>
  </si>
  <si>
    <t>Soak Pit (Slab)</t>
  </si>
  <si>
    <t>Septic Tank</t>
  </si>
  <si>
    <t xml:space="preserve">Block Masonary </t>
  </si>
  <si>
    <t>APPENDIX BUILDING</t>
  </si>
  <si>
    <t>Rate Breakup
NHA 2014 / MES / Market</t>
  </si>
  <si>
    <t>S. No</t>
  </si>
  <si>
    <t xml:space="preserve">Engineer’s Estimate </t>
  </si>
  <si>
    <t>Rate</t>
  </si>
  <si>
    <t>Amount</t>
  </si>
  <si>
    <t>Labour</t>
  </si>
  <si>
    <t>Equipment</t>
  </si>
  <si>
    <t>Material</t>
  </si>
  <si>
    <t>Tax</t>
  </si>
  <si>
    <t>Cement</t>
  </si>
  <si>
    <t>Stee</t>
  </si>
  <si>
    <t>Excavation for foundation, trenches, drains and other structure works in all kinds of soil (including but not limited to ordinary soil, gravel, morum, etc. but excluding rock) and backfilling the suitable excavated material in foundation, plinth,  under floor and for road embankment including breaking clods, watering, consolidation by ramming in layers not exceeding 9 inches (229mm) in depth to full compaction, dressing and disposal of unsuitable surplus excavated stuff to designated area with in DCK limits as directed by the Engineer, including all lead and lift.</t>
  </si>
  <si>
    <t>Excavation for foundation, trenches, drains and other structure works in all kinds of rocks including hard rocks by manual or any other mechanical means including, stacking of suitable and unsuitable materials separately, using excavated suitable materials for backfilling of trenches / road embankment / under floor, dressing, watering, consolidation by ramming  in layers not exceeding 9 inches (229mm) in depth to full compaction, and disposal of unsuitable / surplus excavated stuff to designated area with in DCK limits as directed by the Engineer, including all lead and lift.</t>
  </si>
  <si>
    <t>Supply, stacking and filling Granular material from outside sources  complete in all respect as shown in drawings, including dressing watering and consolidation by ramming in layers not exceeding 9" (229mm) in depth to full compaction i/c all lead &amp; lift and as per the approval of the Engineer.</t>
  </si>
  <si>
    <t>Providing and applying Termite proofing to bottom and sides of excavations for foundations and floors, applying with pressure spraying equipment using TENEKIL PLUS or  approved equivalent with a solution of one gallon of chemical to 80 gallons of water as per standard specifications of manufacturers and as per instructions of the Engineer.</t>
  </si>
  <si>
    <t>Providing and laying stone soling with stones of minimum 6 inches to 9 inches (152mm to 229mm) in size including packing with spawls and chips and consolidating etc, complete, as per instruction of the Engineer.</t>
  </si>
  <si>
    <t>Providing and laying of CC 1:4:8 using crushed or broken stone graded as specified. (having minimum cube crushing strength of 1500 psi) Mixed in Batching Plant.</t>
  </si>
  <si>
    <t>Providing and laying of Cement Concrete using crushed or broken stone as specified in walls, sills, copings, channels, drains, steps, string courses, corbels, pier caps, hinge stone, bed plates etc, including from work and fair faces to exposed surfaces. (minimum Compressive cylindrical strength 2000 Psi but not leaner than 1:3:6, Mixed in Batching Plant.)</t>
  </si>
  <si>
    <t>Providing and Laying Reinforced Cement Concrete, fair faced i/c erection and removal of form work as specified but excluding the cost of reinforcement which is to be paid separately, in beams of any section with and including proper vibrating and curing etc complete as per drawing &amp; specification. (Compressive cylindrical strength 2500 psi @ 28 days but not leaner than 1:2:4. Mixed in Batching Plant).</t>
  </si>
  <si>
    <t>Plinth Beams</t>
  </si>
  <si>
    <t>Providing and Laying reinforced cement concrete, fair faced i/c erection and removal of form work as specified but excluding the cost of reinforcement which is to be paid separately, in foundation, columns, slab and wall of any thickness and of any height with and including proper vibrating and curing etc complete as per drawing &amp; specification. (Compressive cylindrical strength 3000 psi @ 28 days  but not leaner than 1:2:4, Mixed in Batching Plant)</t>
  </si>
  <si>
    <t>Footings &amp; Slab</t>
  </si>
  <si>
    <t>Columns (Sub Structure)</t>
  </si>
  <si>
    <t>Lift Wall</t>
  </si>
  <si>
    <t>Under Ground Tank</t>
  </si>
  <si>
    <t>Supply and fix bars round, using deformed bars Grade-60, including cutting, bending, binding, wastage over laps not shown on drawings and placing reinforcement in position on M.S or CC Precast 1:2:4 chairs of required crushing strength. Cost of Chairs &amp; binding wire deemed to be included in the rates.</t>
  </si>
  <si>
    <t>50mm thick PCC 1:2:4 using 3mm aggregate and finished smooth with steel float, covered with two coats, hot bitumen each coat 0.75 kg per Sqm and blinded with 0.012 cum of sand per Sqm.  (DPC Below Block Masonry at Ground Floor only)</t>
  </si>
  <si>
    <t>Providing &amp; laying single layer of polythene sheet (0.13 mm thick) over lean concrete in foundation  for water proofing as per specifications and instruction of Engineer.</t>
  </si>
  <si>
    <t>Providing &amp; applying two coats of special industrial bitumen (60/70 grade) only on surfaces in contact with earth at the rate of 1.0 Kg/Sqm. per coat, complete as per drawings, specification &amp; direction of the Engineer.</t>
  </si>
  <si>
    <t>Providing &amp;fixing in proper position at construction joints 25mm x 19mm water stopper R-X conforming to NSF-61 made by "CETCO COLLOID Environmental Company ILLINOIS USA" or any other equivalent product of approved quality. All as per the specification of Manufacturer. For Under Ground Tank</t>
  </si>
  <si>
    <t>Supply &amp; fix, C.I Cover &amp; frame 2'-6" x 2'-6" x 3/8" rectangular with 2" x 2" x 1/4" C.I Angle iron frame complete as per drawings &amp; direction of the Engineer.</t>
  </si>
  <si>
    <t>Providing and Laying reinforced cement concrete fair faced i/c erection and removal of form work as specified but excluding the cost of reinforcement which is to be paid separately, using approved Mild Steel frame of any section for Arches, Shelves, Gola, Curve beams, beams, wall, slab Round beam &amp; columns in any height &amp; any floor etc where required, with proper vibrating and curing etc complete as per drawing &amp; specification. (Compressive cylindrical strength 2500 psi @ 28 days but not leaner than 1:2:4. Mixed in Batching Plant).</t>
  </si>
  <si>
    <t>1st Floor Beam</t>
  </si>
  <si>
    <t>2nd Floor Beam</t>
  </si>
  <si>
    <t>Roof Floor Beam</t>
  </si>
  <si>
    <t>Ground Floor Slab</t>
  </si>
  <si>
    <t>First Floor Slab</t>
  </si>
  <si>
    <t>Roof Floor Slab</t>
  </si>
  <si>
    <t xml:space="preserve">Stair Case </t>
  </si>
  <si>
    <t>h)</t>
  </si>
  <si>
    <t>Sill Lintel</t>
  </si>
  <si>
    <t>Providing and Laying Reinforced Cement Concrete, fair faced i/c erection and removal of form work as specified but excluding the cost of reinforcement which is to be paid separately, in slanting slab of any section with and including proper vibrating and curing etc complete as per drawing &amp; specification. (Compressive cylindrical strength 2500 psi @ 28 days but not leaner than 1:2:4. Mixed in Batching Plant).</t>
  </si>
  <si>
    <t>Providing and Laying reinforced cement concrete fair faced i/c erection and removal of form work as specified but excluding the cost of reinforcement which is to be paid separately, using approved Mild Steel frame of any section for Arches, Shelves, Gola, Curve beams, beams, wall, slab Round beam &amp; columns in any height &amp; any floor etc where required, with proper vibrating and curing etc complete as per drawing &amp; specification. (Compressive cylindrical strength 3000 psi @ 28 days  but not leaner than 1:2:4, Mixed in Batching Plant)</t>
  </si>
  <si>
    <t>Columns (Super Structure)</t>
  </si>
  <si>
    <t>RCC Parapet Wall</t>
  </si>
  <si>
    <t>OH Tank</t>
  </si>
  <si>
    <t>Providing and laying of PCC Solid Blocks for non load bearing walls (Cavity or Non Cavity) as specified in building blocks walls incl setting and jointing in CM 1:6. (From a reputable manufacture) having  minimum compressive cylindrical strength 1000 psi @ 28 days but not leaner than 1:3:6. at any floor &amp; any height.</t>
  </si>
  <si>
    <t>Providing and fixing stairs railing of stainless steel pipe horizontal pipe rail of 50mm dia on top including  25mm Tube in centre, bottom &amp; vertical post at each alternate step with flange and flange cover as shown on drawings and as directed by the Engineer, with &amp; Including the cost of erection in position &amp; cartage at any height in any floor. (Contractor to submit shop drawing to Engineer for approval before execution.)</t>
  </si>
  <si>
    <t>Providing and fixing 50mm dia stainless steel pipe rail fixed on Stair side wall as per drawings and directions of the Engineer with &amp; i/c. cutting holes in walls / RCC for fixing and making good the same. The cost includes erection in position &amp; cartage at any height in any floor. (Contractor to submit shop drawing to Engineer for approval before execution).</t>
  </si>
  <si>
    <t>Providing and fixing M.S Gate, Grill Gate &amp; grill, staircase, hand railing, comprising required section of iron as per approved design including welding all sides of the section at the junction and fixing with sunk iron screws, floor strip, wheels, drop bolts, applying two layers of epoxy paint to protect all structural steel sections over primer of approved quality. One coat should be factory applied and one coat of epoxy to be applied at site. complete as per drawings and direction of the Engineer. (Contractor to submit shop drawings to Engineer for approval before execution).</t>
  </si>
  <si>
    <t>Kg.</t>
  </si>
  <si>
    <t>Providing and fixing C.C / Wrought iron Jaliwith approved color and shade including the cost of cement concrete, curing and scaffolding etc, complete in all respect. including the cost of reinforcement of any section etc complete as per drawing &amp; specifications. (Compressive cylindrical strength 3000 psi @ 28 days.) Contractor shall be required to prepare special molds of the approved design and to provide detailed shop drawings for the approval of the Engineer. Works to be complete in all respects.</t>
  </si>
  <si>
    <t>PLASTER</t>
  </si>
  <si>
    <t xml:space="preserve">Providing and applying 13 mm (1/2") thick cement sand plaster 1:4 ratio on walls, slab &amp; columns, etc. in any floor,  including making proper edges, corners, making grooves &amp;   supply and fixing G.I (24 Gauge) Expanded metal lath 6" wide  fixed with steel nails at junctions of walls/beams/columns, with all required scaffolding &amp; curing, etc. complete in all respects  at any height as per drawings. All in accordance with the specifications &amp; as per the instructions of the Engineer. </t>
  </si>
  <si>
    <t xml:space="preserve">Providing and applying 19 mm (3/4") thick cement sand plaster 1:4 ratio on walls, slab &amp; columns, etc. in any floor,  including making proper edges, corners, making grooves &amp;   supply and fixing G.I (24 Gauge) Expanded metal lath 6" wide  fixed with steel nails at junctions of walls/beams/columns, with all required scaffolding &amp; curing, etc. complete in all respects  at any height as per drawings. All in accordance with the specifications &amp; as per the instructions of the Engineer. </t>
  </si>
  <si>
    <t>Providing and applying cement sand plaster on decorative works, arches, on window sill, on decorative golas, parapet wall, etc. in any floor, supply &amp; fixing G.I.  (24 gauge) Expanded metal lath 6" wide  fixed with concrete steel nails at junctions of walls /beams /columns, making edges, corners, bends with all required scaffolding &amp; curing, etc. complete in all respects  at any height as per drawings &amp;directed by the Engineer.
Nominal Ratio. 1:3</t>
  </si>
  <si>
    <t>Making Gola Decorative including cost of Cement sand mortar 1:2, cost of frame for gola design as per approved design in any floor with all required scaffolding &amp; curing, including the cost of pattern frames etc., complete in all respects  at any height as per drawings &amp; in accordance with the specifications &amp; instructions of the Engineer.</t>
  </si>
  <si>
    <t>2 inch to 4 inch Height</t>
  </si>
  <si>
    <t>Rft.</t>
  </si>
  <si>
    <t>6 inch to 12 inch Height</t>
  </si>
  <si>
    <t>PAINT</t>
  </si>
  <si>
    <t>Supply Plastic Emulsion Paint of approved manufacturer &amp; approved shades and applying plastered walls surface, 3 coats over &amp; including  primer coat with &amp; including filling putty of approved manufacture in voids &amp; rubbing the surface with sand paper / rubbing brick, complete in all respect, at any height in any floor, as directed by the Engineer. In specified area. Cost of scaffolding, ladders and wooden planks for working is deemed to be including in the rates.</t>
  </si>
  <si>
    <t>Supply Synthetic Enamel Paint of approved manufacturer &amp; approved shades and applying on plastered walls surface, 3 coats over &amp; including  primer coat with &amp; including filling putty of approved manufacture in voids &amp; rubbing the surface with sand paper / rubbing brick, complete in all respect, at any height in any floor, as directed by the Engineer. In specified area. Cost of scaffolding, ladders and wooden planks for working is deemed to be including in the rates.</t>
  </si>
  <si>
    <t>Supply and applying Weather Shield Paint of approved manufacturer &amp; approved shade and applying on exterior Plastered walls, ceiling and Tapered/Khaprail surface, 3 coats over &amp; including  primer coat, filling micro voids / un even surface with putty of same materials rubbing the surface by sand paper / rubbing brick, complete in all respect, at any height in any floor, as directed by the Engineer. Cost of scaffolding, ladders and wooden planks for working is deemed to be including in the rates.</t>
  </si>
  <si>
    <t xml:space="preserve">Colour-creting 1/4” (6.4 mm) thick 1:1:2 (1 white cement, 1 marble powder and 2 marble chips zero No.) in required shade including dragging the surface with wire brushes complete with curing etc. over a base of 3/4" (19 mm) thick cement plaster 1:3 in plinth, mezzanine and ground floor including the cost of scaffolding and base course as directed by the Engineer. the cost includes all grooves, or joint or any pattern if provided. </t>
  </si>
  <si>
    <t>TILE WORKS</t>
  </si>
  <si>
    <t>Providing &amp; laying Glazed / Matt finish Porcelain Tiles (Best quality) of approved shade, color, pattern and design laid over Cement Sand mortar 1:4, 1-1/2" thick in floor &amp; 3/4" thick in skirting/dado with slurry of gray cement filing the joints with surly of white cement and approved grout of matching color, curing, finishing and cleaning on completion at any height in any floor, all as per specifications, approval &amp; directions of the Engineer.</t>
  </si>
  <si>
    <t>Porcelain Tile in Floor ( 288 Sq inches to 576 Sq inches)</t>
  </si>
  <si>
    <t>Porcelain Tile in Skirting / Dado</t>
  </si>
  <si>
    <t>Decorative Porcelain Tiles / Borders</t>
  </si>
  <si>
    <t>Providing &amp; laying Glazed / Matt finish Ceramic Tiles (Imported) of approved shade, color, pattern and design laid over Cement Sand mortar 1:4, 1-1/2" thick in floor &amp; 3/4" thick in skirting/dado with slurry of gray cement filing the joints with surly of white cement and approved grout of matching color, curing, finishing and cleaning on completion at any height in any floor, all as per approval &amp; directions of the Engineer.</t>
  </si>
  <si>
    <t>Glazed / Matt finish Ceramic Tiles in Floor (288 Sq inches to 576 Sq inches)</t>
  </si>
  <si>
    <t>Glazed Ceramic Tile in Dado including providing 4" wide decorative mid border &amp; 2" wide decorative top border (324 Sq inches to 432 Sq inches)</t>
  </si>
  <si>
    <t>Providing &amp; fixing Granite best quality of approved size, shapes, color and types with Sheen tiles, mix color laid over 1-1/2" thick Cement Sand mortar 1:4 in floor &amp; 3/4" thick in skirting &amp; dado, setting of tiles with slurry of grey cement over mortar base i/c filling the joints with grout of matching color grinding, chemical polishing and curing etc. in any height in any floor complete as per drawing and instructions of  the  Engineer. (The Contractor should submit the sample of different color of Granite for approval before execution of Work).</t>
  </si>
  <si>
    <t xml:space="preserve"> 3/4" thick Granite in Floors (576 Sq. Inches to 1,296 Sq. Inches Size) </t>
  </si>
  <si>
    <t>3/8" thick Granite in Skirting / Dado</t>
  </si>
  <si>
    <t>Providing and fixing polished 3/4" thick Granite best quality Glazed of any approved shade and type, One Piece with 1/4" thick carborendum fill length wise on Tread with 1:4 Cement sand mortar base  1-1/2" thick, washing the tiles with cement slurry of matching color including cutting, chemical polishing etc. in any height at any floor, including the cost of cartage complete in all respect as per direction of the Engineer. (The Contractor should submit the sample of different color of Granite for approval before execution of Work).</t>
  </si>
  <si>
    <t>Providing and fixing 3/8" thick Granite best quality Glazed / Matt finish on Riser over 1/2" (13mm) thick base of cement sand mortar 1:3 setting of tiles in slurry of grey cement over mortar base including filling the joints and washing the tiles with grout of matching color, curing, finishing, cleaning and  chemical polishing  etc,  in any height in any floor, including the cost of cartage complete in all respect as per direction and approval of the Engineer. (The Contractor should submit the sample of different color of Granite for approval before execution of Work).</t>
  </si>
  <si>
    <t>Providing and fixing polished 3/4" thick Granite best quality Glazed / Matt finish of any approved shade and type, pre polished Threshold One Piece with 1/4" thick carborendum fill length wise on Threshold with 1:4 Cement sand mortar base  1-1/2" thick, washing the tiles with cement slurry of matching color including cutting, chemical polishing etc. in any height at any floor, including the cost of cartage complete in all respect as per direction of the Engineer. (The Contractor should submit the sample of different color of Granite for approval before execution of Work).</t>
  </si>
  <si>
    <t>Providing &amp; fixing 3/4" Thick Granite Border (in between Rooms, Passage and corridor) best quality of approved size, shapes, color and types with Sheen tiles, mix color laid over 1-1/2" thick Cement Sand mortar 1:4 in floor &amp; 3/4" thick in skirting &amp; dado, setting of tiles with slurry of grey cement over mortar base i/c filling the joints with grout of matching color grinding, chemical polishing and curing etc. in any height in any floor complete as per drawing and instructions of  the  Engineer. (The Contractor should submit the sample of different color of Granite for approval before execution of Work).</t>
  </si>
  <si>
    <t>Providing and fixing in position 3/4" thick Marble of any color, shape and shade including cutting, jointing, polishing, making corner &amp; edges in round shapes or in any shape etc. with all required accessories / material on Counter Top for Kitchen, Pantry &amp; Toilets etc. complete in all respects incl all lead and lift at any height in any floor, complete as per drawings and instruction of the Engineer. Contractor should submit shop drawing and sample of different colors for approval of the Engineer before execution of work.</t>
  </si>
  <si>
    <t>Providing &amp; laying Chequered Artificial Stone Pavers Tiles of approved shade, color, pattern and design laid over Cement Sand mortar 1:4, 1-1/2" thick in floor &amp; 3/4" thick in skirting/dado with slurry of gray cement filing the joints with surly of white cement and approved grout of matching color, curing, finishing and cleaning on completion at any height in any floor, all as per approval &amp; directions of the Engineer.</t>
  </si>
  <si>
    <t>Providing and laying Wooden parquet Tiles Flooring &amp; Skirting of approved color &amp; design as per approved Manufacture, Cost include all lead and lift, all required accessories to fixing in position complete in all respects, as per the approval of the Engineer. Work to be done by specialized sub - contractor.</t>
  </si>
  <si>
    <t>Wooden Tiles in Floor (Approved Size)</t>
  </si>
  <si>
    <t>Wooden Tiles in Dado &amp; Skirting (Approved Size).</t>
  </si>
  <si>
    <t>Providing and laying 1" thick A quality woolen carpet (Imported) of approved colors &amp; designs, over local made (Diamond / Master) under lay including stitching (where required), complete in all respects. All as per approval of the Engineer.</t>
  </si>
  <si>
    <t xml:space="preserve">Providing &amp; laying floor of 3" thick 1:2:4 cement concrete using graded &amp; screened crush 3/4" thick &amp; down gauge including mixing pigment of approved dark color / shade for 1/8" thick topping as directed including form work consolidation, finishing &amp; curing, etc. Complete in all respect as per direction of the Engineer. </t>
  </si>
  <si>
    <t>MISC</t>
  </si>
  <si>
    <t>Providing and fixing mirror on wall of best quality approved make in bath rooms including all fixing arrangements etc. complete as per drawings &amp; direction of the Engineer. (As per approved Manufacturer).</t>
  </si>
  <si>
    <t>Providing and fixing best quality deodar wood well seasoned clerestory, rafter, beam coping, pergola, glass frame and wall guard including the cost of wooden frame work etc. complete in all respect as per design and drawing and as per direction of the Engineer. The contractor should submit the different samples of design pattern before execution of work. The cost includes wastage, matt lacuare polish, cartage, nail, glue and all necessary mechanism for the completion of work and all lead and lift at any height in any floor. Work to be done by specialized sub - contractor.</t>
  </si>
  <si>
    <t>Providing &amp; applying hardener set on polished surface of approved make by using compressor gun at any height in any floor complete in all respect as per the directions of the Engineer. Wherever Specified.</t>
  </si>
  <si>
    <t>Providing &amp; applying Matt polishing three coats of approved color &amp; shade on wood work including cost of Chalk powder, Spirit methylated, Sand paper, Color Packet, Malmal, Cotton, French polish (Lak Dana), Matt Lacquer &amp; Ciller of approved quality, the contractor should prepare three different shades / pattern of polish for approval before execution of works, at any height in any floor complete in all respect as per the directions of the Engineer.</t>
  </si>
  <si>
    <t>Providing and fixing Artificial envi stone cladding of approved design, pattern, size &amp; quality on walls with 1:4 cement sand mortar base of 3/4" thickness setting the tiles with neat cement mortar, grouting the joints 1/4" with matching  grout of approved manufacturer / supplier, including mechanism of nails, grouting, inserting in walls, with proper fixing in place with and i/c required accessories etc, curing, finishing as per the instructions &amp; approval of the Engineer and as per design and drawings. The cost includes cartage, lead and lift at any height, complete in all respect as directed by the Engineer.</t>
  </si>
  <si>
    <t>Providing and laying 1st Class burnt clay tiles/ Terracotta Tiles of approved design &amp; size and painted in approved color grouted with 1:4 Cement mortar over pre-layer screed and roof insulation finished to slope including flush pointing on tiles works with 1:4 cement mortar and curing at any height in any floor, complete in all respects as shown in the drawings and as per instructions of the Engineer.</t>
  </si>
  <si>
    <t>Providing and fixing in proper position aluminum sky light using 64mm x 145mm x 3mm thick heavy duty section in RAL powder coating finish with 30mm thick double glazed laminated glass (6mm thick blue reflective tempered glass +1.52mm lamination +6mm clear tempered glass +12mm air spacer +6mm clear tempered glass) including  M.S brackets, Joiners, N.V. rubber gasket, Nickel plated screws, galvanized bolts &amp; nuts, structural silicone sealant, expansion anchor and all required accessories, cutting hole etc. and making good damages to wall / concrete etc. fixing by approved fabricator complete as per direction of the Engineer. (Contractor to prepare &amp; submit shop drawings &amp; structure design calculation complete in Soft &amp; Hard copy for the approval of the Engineer before start of Work), no extra payment will be charged in this regards.</t>
  </si>
  <si>
    <t>Providing &amp; fixing Stainless Steel 1mm thick internal room  signage, direction signage and all as required and as directed by the Engineer, complete in all respects.</t>
  </si>
  <si>
    <t>Door Name Plate  (4" x 10")</t>
  </si>
  <si>
    <t>Nos.</t>
  </si>
  <si>
    <t>Reception (3' x 4'-6")</t>
  </si>
  <si>
    <t>Fire Exist Plan Signage (20" x 30")</t>
  </si>
  <si>
    <t>Other miscellaneous Signage (6" x 6")</t>
  </si>
  <si>
    <t>Providing and fixing Stainless Steel finish letters (Grade 316) of 24"high of Arial or any other approved Fonts, Width of each letter in front around 6” and depth around 4” deep with 18 gauge sheet, etc complete in all respect. Contractor to make shop drawings of fixing and proof of fabrication before start of work for the approval of Engineer.</t>
  </si>
  <si>
    <t>Job.</t>
  </si>
  <si>
    <t>Providing &amp; fixing Acrylic Sheet on pergola including cost of cartage, labour, scaffolding all required accessories complete in all respect etc., as per drawings, specification &amp; direction of the Engineer. Contractor to make shop drawing for approval of the Engineer before execution of the work.</t>
  </si>
  <si>
    <t>Supply and apply in approved colors Anti Static Epoxy Flooring on ramps and other required areas, as per specifications and manufacturer's recommendations. Complete in all respect. Minimum 1000 microns to provide seamless finish.</t>
  </si>
  <si>
    <t>FALSE CEILINGS</t>
  </si>
  <si>
    <t>Providing &amp; fixing gypsum board false ceiling with approved texture paint and light pelmets system with 1/2" thick sheets including providing cornice, bulkheads and all required decorative work, with complete fixing suspension system including G.I. strips/wires, furring channels/angles, and with self adhesive fiberglass drywall tape of 2" width to be used on all joints prior to applying putty , filling and rubbing having provisions for lights, AC and all electro-mechanical items installed in false ceiling, painted with approved texture paint with one prime coat as per paint specifications, all as mentioned in drawings, with male female edges, v-joints, etc. All the edges to be properly sealed. Contractor to submit brochures &amp; detailed shop drawings for the approval of the Engineer prior to actual start of works. The reflective false ceiling plan should show all items to be installed on false ceiling including but not limited to lights, A/C diffusers, Fire or other required electro-mechanical Items  to be completed in all respects, as per the direction of the Engineer. Work to be done by specialized sub - contractor.</t>
  </si>
  <si>
    <t>Gypsum board bulkhead including cornice with plastic emulsion paint of approved shade.</t>
  </si>
  <si>
    <t>Plain Gypsum Board false ceiling with plastic emulsion paint of approved shade.</t>
  </si>
  <si>
    <t>Textured Gypsum board acoustical &amp; fire rated false ceiling with approved paint.</t>
  </si>
  <si>
    <t xml:space="preserve">Providing &amp; fixing Aluminum Panel Ceiling  size 24" x  24" with complete suspension system and  mechanism as required in suspension system and mechanism places, as mentioned in drawings, with male female edges, v-joints, etc. All the edges to be properly sealed and to foresee locations for water heaters &amp; A/C, where required. complete in all respects with shop drawings, etc.  </t>
  </si>
  <si>
    <t>Providing and fixing 1-1/2 inches (38 mm) thick solid core Golden Teak wood flushed veneered door shutters, with and including the cost of commercial plywood facing 3mm thick (double ply) on both faces, fixed over best quality Golden Teak wood frame 2 inches wide alround 6 inches wide lock rail and 2nd class Golden Teak wood solid core, i/c 1/4 inch thick best quality Golden Teak wood lipping on all sides as per approved drawing, manufactured under power driven hydraulic press, including the cost of approved iron fittings, Heavy duty S.S (4 Nos.) Hinge using brass screws, using required size of nails and including the cost of glue and heavy duty 1st class heavy duty imported quality Yale lock as per approved by the Engineer. Including the cost of handles and locking arrangement, the contractor should submit three samples of door lock, hinges &amp; handle for approval. (Door locks costing minimum Rs. 2500/- for each door to be included in cost, as per approval of the Engineer)</t>
  </si>
  <si>
    <t>Wooden Panel Double Shutter, Single Swing Flush Door Along With Top Hung Window on Top including wooden lipping all around (Both Sides with top hung Panel.</t>
  </si>
  <si>
    <t>Wooden Panel Single Shutter, Double Swing Flush Door Along With Top Hung Window on Top including wooden lipping all around (Both Sides with top hung Panel.</t>
  </si>
  <si>
    <t>Wooden Panel Single Shutter, Single Swing Flush Door Along With Top Hung Window on Top including wooden lipping all around (Both Sides with top hung Panel.</t>
  </si>
  <si>
    <t>Wooden  Single Shutter Solid Flush Door One Way Swing including wooden lipping all around and kick plate inside 12" high .</t>
  </si>
  <si>
    <t>Wooden  Access Panel Single Shutter Single Swing Door.</t>
  </si>
  <si>
    <t>Providing and fixing best quality imported well seasoned Golden Teak wood frames for door, windows, ventilators, making the required pattam for shutters, Making Pattam, using 6" long Iron holdfast, erecting into final position, including the cost of glue, wood scraping, S.S nails of required size etc.,  complete in all respect as per design and drawing and as per direction of the Engineer. The cost includes scaffolding, cartage, all lead and lift at any height in any floor.</t>
  </si>
  <si>
    <t>Providing and fixing 4" x 3/4" thick best quality imported well seasoned Golden Teak wood beading / architrave of approved design and section including the cost of beading motive, S.S nails of required size, wood scraping and scaffolding etc.,  as required and as per the instruction of the Engineer. The cost includes cartage, all lead and lift at any height in any floor.</t>
  </si>
  <si>
    <t>Providing and fixing best quality imported well seasoned Burma Teak wood frames, for door, windows, ventilators, making the required pattam for shutters, Making Pattam, using 6" long Iron holdfast, erecting into final position, including the cost of glue, wood scraping, scaffolding, S.S nails of required size etc.,  complete in all respect as per design and drawing and as per direction of the Engineer, all lead and lift at any height in any floor.</t>
  </si>
  <si>
    <t>Providing and fixing 4" x 3/4" thick best quality imported well seasoned Burma teak wood beading / architrave of approved design and section including the cost of S.S nails of required size, wood scraping and scaffolding, etc., as required and as per the instruction of the Engineer. The cost includes cartage, all lead and lift at any height in any floor.</t>
  </si>
  <si>
    <t>Providing and fixing 2 inch (50 mm) thick best quality  solid teak wood shutters fully paneled of approved shape &amp; design  with same wood, including the cost of approved Heavy duty S.S (as required) Hinge using brass screws, using required size of nails and including the cost of glue, wood scraping, scaffolding, etc., complete in all respect as per instruction of the Engineer.</t>
  </si>
  <si>
    <t>Providing &amp; fixing heavy duty uPVC doors using heavy duty section  including all standard hardware, 2mm thick Teak wooden grain aluminium imported glass, pvc gasket, imported heavy duty door closer, door stopper, imported heavy duty door lock, 4" wide decorative architrave (bidding) on both sides, door handles,  etc, complete in all respects as per instructions of the Engineer incharge. Contractor to make detailed shop drawings for the approval of consultant before start of work.</t>
  </si>
  <si>
    <t>UPVC single Shutter Door and frame with architrave on both sides.</t>
  </si>
  <si>
    <t>Providing &amp; fixing heavy duty uPVC windows/ ventilators using heavy duty section  including all standard hardware, 2mm thick Teak wooden grain aluminium imported glass, pvc gasket, including the cost of  4" wide decorative architrave (bidding) on both sides, door handles, etc, complete. in all respect as per instructions of the Engineer. Contractor to make detailed shop drawings for the approval of consultant before start of work.</t>
  </si>
  <si>
    <t>uPVC Double Glazed Openable Window With  Fly Proofing.</t>
  </si>
  <si>
    <t>uPVC Double Glazed Partily Fixed, Partily Openable Window.</t>
  </si>
  <si>
    <t>uPVC Double Glazed Arch Shape Fixed window.</t>
  </si>
  <si>
    <t>uPVC Double Glazed Dummy/ Fixed window.</t>
  </si>
  <si>
    <t>uPVC Single Glazed Fixed Ventilator (Single Fram 6mm Glass).</t>
  </si>
  <si>
    <t>Single Glazed tempered glass openable window complete in all respect as per drawing, specifications and approval of the Engineer.</t>
  </si>
  <si>
    <t>Single Glazed tempered glass openable window.</t>
  </si>
  <si>
    <t>Providing &amp; fixing 12mm thick Tempered glass of approved quality with aluminium frame on top &amp; bottom including all required accessories for fixing in proper position etc. complete in all respect as per drawings, specification and direction of the Engineer at any height in any floor. (Contractor to submit the shop drawing for approval of the Engineer before execution of work)</t>
  </si>
  <si>
    <t>Fixed Glass with Aluminium Frame on Top &amp; Bottom.</t>
  </si>
  <si>
    <t>Providing and fixing Aluminum Louver Doors width 56mm x 1.2mm in frame of box section 100mm x 50mm x 1.6mm of approved color shade as directed by the Engineer. the section of louver includes back supports of vertical and horizontal strips of approved size where required, including all Aluminum fittings with all accessories cuttting holes in columns, beams, slab, masonry etc and making good the damages to wall etc. complete as required in any floor as per the direction of the Engineer. Contractor to make shop drawings for approval before start of work.</t>
  </si>
  <si>
    <t>Providing &amp; fixing 8mm glass framless door including  imported door lock, handle, door motor, 6" S.S hinges, brass screws etc. complete in all respect including all required accessories. In case of omission of any necessary item above, shall be deemed to be included in the quoted rate. at any height in any floor. (Contractor to submit shop drawings to Engineer for approval before execution)</t>
  </si>
  <si>
    <t>Double Shutter Door</t>
  </si>
  <si>
    <t>Providing and fixing Aluminum fixed louvers width 56mm x 1.2mm in frame of box section 100mm x 50mm x 1.6mm of approved color shade as directed by the Engineer. the section of louver includes back supports of vertical and horizontal strips of approved size where required, including all Aluminum fittings with all accessories cuttting holes in columns, beams, slab, masonry etc and making good the damages to wall etc. complete as required in any floor as per the direction of the Engineer. Contractor to make shop drawings for approval before start of work.</t>
  </si>
  <si>
    <t>Providing &amp; fixing of uPVC fire resistance exit stair door (for three hrs. Fire rating protective chemical coat) with vision panel wired glass 1/2" thick including panic bar hand rail with electronic alarm door lock , handle, hinges, door frame, imported door closer etc. complete in all respect including all required accessories. In case of omission of any necessary item above, shall be deemed to be included in the quoted rate. at any height in any floor. (Contractor to submit shop drawings to Engineer for approval before execution)</t>
  </si>
  <si>
    <t>Providing and fixing heavy duty best quality imported Door Lock (Costing minimum Rs. 2500/- for each) as per approved manufacturer &amp; as per instruction of The Engineer.  (The contractor should submit three samples for approval)</t>
  </si>
  <si>
    <t>Providing and fixing heavy duty best quality Door closer as per approved manufacturer &amp; as per instruction of The Engineer. (The contractor should submit three samples for approval)</t>
  </si>
  <si>
    <t>Providing and fixing heavy duty best quality Brass Door Handel of approved size as per approved manufacturer &amp; as per instruction of the Engineer. (Main Door) 
The contractor should submit three samples for approval.</t>
  </si>
  <si>
    <t>Providing and fixing heavy duty best quality Door Stopper as per approved manufacturer &amp; as per instruction of the Engineer.  (The contractor should submit three samples for approval)</t>
  </si>
  <si>
    <t>Providing and fixing heavy duty best quality S.S push Plate (Size 6" x 1'-6" ) as per approved  &amp; instruction of the Engineer.</t>
  </si>
  <si>
    <t>Providing and fixing heavy duty best quality S.S Kick Plate (Size 12" x 36") as per approved manufacturer &amp; as per instruction of The Engineer.  (The contractor should submit three samples for approval)</t>
  </si>
  <si>
    <t>Providing and fixing heavy duty brass door latch of approved shape &amp; design where required for in shutter including fixing in position with brass screws, including the cost of fixing S.S Dust Proof Socket in floor, cutting C.C, R.C.C or Tile Work, making the good same etc., complete in all respect and as per directed by the Engineer. (The contractor should submit three samples for approval)</t>
  </si>
  <si>
    <t>4" Long</t>
  </si>
  <si>
    <t>6" Long</t>
  </si>
  <si>
    <t>12" Long</t>
  </si>
  <si>
    <t>Providing and fixing SS heavy duty imported Swing hinges of approved quality for swing door, complete in all respect and as per directed by the Engineer.  (The contractor should submit three samples for approval)</t>
  </si>
  <si>
    <t>Providing &amp; laying water proofing system including light weight Foam Concrete laid to slope at a density of 650 to 750 kg/m2, primer @ a rate of 250 to 300 gr/m2, 4mm thick APP modifies Bitumen Membrane polyester reinforced with 120 gr/m2 non woven polyester torch applied, One layer of polytheren sheets of 500 grm, C.C insulated tiles 12" x 12" x 2" size, Flood test of 24 hours. Guarantee of 10 years, etc complete in all respect as shown in drawings and per approval of the Engineer.</t>
  </si>
  <si>
    <t>Providing and laying built up roofing as follows:</t>
  </si>
  <si>
    <t>Bitumen primer coat to concrete slab after thoroughly cleaning of surfaces, applying 2 coats of oxidized bitumen 115/15 @ 2kg/m2 brush applied to cover all the surfaces.</t>
  </si>
  <si>
    <t>Thermal Insulation 2" thick by a layer of poly styrene 50mm thick and 32.35kg/m3 density boards fully bonded to primed surface of the concrete slab, bonding shall be done either by hot bitumen or any other approved bonding agent and over laying of 500 grad polythene sheet as sheeting membrane with necessary side &amp; laps.</t>
  </si>
  <si>
    <t>Cement Sand Screed 1:4 minimum 3" thick (Average) layer on the roof / thermal insulation in required slope, falls &amp; cross falls 1% or as specified on the drawings.</t>
  </si>
  <si>
    <t>Wiring for light / Fan.</t>
  </si>
  <si>
    <t>Providing, Wiring, connecting and testing of light circuits from DB to switch board and between switch board toswitch board with following sized  single core copper conductor cable in 20mm dia heavy gauge of PVC conduit, concealed including all accessories such as bends, junction boxes, pull box, supports etc. as required for proper installation as per specs and drawing and to entire satisfaction of Consultants / Client.</t>
  </si>
  <si>
    <t>a</t>
  </si>
  <si>
    <t>2x2.5 sqmm +1X 2.5 sqmm ECC</t>
  </si>
  <si>
    <t>Ckt</t>
  </si>
  <si>
    <t>Providing, Wiring, connecting and testing of switch to light / fan point with 2x1.5 sqmm +1X1.5sqmm ECC single core pvc copper conductors cable in 20mm dia heavy gauge of PVC conduit, concealed including all wiring accessories such as fan hook, ceiling rose, connectors, flexible wires, 10A light / fan switch fan dimmer 16SWG galvanized steel sheet back box or PVC box of good quality, complete in all respect and to the entire satisfaction of Consultants / Client</t>
  </si>
  <si>
    <t>Wiring with 10A one waySwitch Controlled</t>
  </si>
  <si>
    <t>Same as item 2 but Wiring of light point to light point with 2x1.5 sqmm+1x1.5 sqmm ECC single core pvc copper conductors cable in 20mm dia heavy gauge of PVC conduit.</t>
  </si>
  <si>
    <t>Same as item No. 2 but one light point controlled by two way switch wiring complete with Pvc single core cable 4x1.5mm² in concealed Pvc conduit and 2way switch supply and fixing.</t>
  </si>
  <si>
    <t>Wiring for Small power.</t>
  </si>
  <si>
    <t>Providing, Wiring,installing,connecting and testing of Circuit wiring from DB to 3 pin 10A/13A/15A, switch socket outlet, which is recessed in column or wall,  with 2x2.5 sqmm + 2.5 sqmmECC wires in 20mm diameter heavy gauge of PVC conduit, including 3 pin 13A, switch socket outlet, back box as per specification and to the entire satisfaction of Consultants / Client.</t>
  </si>
  <si>
    <t>Same as item 5 but wiring from switch socket outlet to switch socket outlet,including 3 pin 10A/13A/15A, switch socket outlet, back box as as approved complete in all respect .</t>
  </si>
  <si>
    <t>b</t>
  </si>
  <si>
    <t>Same as item 5 but wiring from DB to 20A A/C switch and outer to ineer unit as required, with 3x6 sqmm+4 sqmmECC wires,in 25mm diameter heavy gauge of PVC conduit including 20A,Nion switch , back box as as approved.</t>
  </si>
  <si>
    <t>c</t>
  </si>
  <si>
    <t>Same as item 5 but Wiring with 2x4mm²+1x2.5mm² ECC pvc cable laid in 25mm dia pvc conduit for 2x13A 4 way floor technalogy box .</t>
  </si>
  <si>
    <t>LED Light fixture</t>
  </si>
  <si>
    <t>Supply and installation,connecting and testing of LED light fixture Ceiling / Wall mounted or to be fixed in the false ceiling, complete with lamp holders, Light heat sink structure super bright , Low power consumtion (Save upto 80%) Earthing terminals and internal wiring, mounting   hardware such as screws, anchors, etc. flexible cord or flexible conduit complete in all respect as per drawing, approved type specification and to entire satisfaction of Consultants / Client.</t>
  </si>
  <si>
    <t>Recessed Downlight fixture Ceiling mounted (IP-20) 7W LED light fixture, 88% light efficacy Philips type, Lifetime 50000 hours , high purity aluminium reflector , LED flux @ 80°C 720m, complete with all accessories.</t>
  </si>
  <si>
    <t>Recessed Downlight fixture Ceiling mounted (IP-20) 12W LED light fixture, 88% light efficacy Philips type, Lifetime 50000 hours , high purity aluminium reflector , LED flux @ 80°C 1170lm, complete with all accessories.</t>
  </si>
  <si>
    <t>Recessed Down light fixture Ceiling mounted (IP-20) Compact -17W LED light fixture, 88% light efficacy Philips type , Lifetime 50000 hours , high purity aluminium reflector , LED flux @ 80°C 1770lm, complete with all accessories.</t>
  </si>
  <si>
    <t>d</t>
  </si>
  <si>
    <t>Recessed Down light fixture Ceiling mounted (IP-20) Compact power-23W LED light fixture, 88% light efficacy Philips type , Lifetime 50000 hours , high purity aluminium reflector , LED flux @ 80°C 2370lm, complete with all accessories.</t>
  </si>
  <si>
    <t>e</t>
  </si>
  <si>
    <t>Surface Downlight fixture Ceiling mounted (IP-20)cylinder type 23W LED light fixture, 88% light efficacy Philips type, Lifetime 50000 hours , high purity aluminium reflector , LED flux @ 80°C 1170lm, complete with all accessories.</t>
  </si>
  <si>
    <t>f</t>
  </si>
  <si>
    <t>Surface Down light fixture Ceiling mounted (IP-20) 14W LED bulb with light fixture, Philips type , Lifetime 15000 hours , high purity aluminium reflector , LED flux @ 1400lm, complete with all accessories.</t>
  </si>
  <si>
    <t>g</t>
  </si>
  <si>
    <t>Surface wall mounted water proof (IP-44) 14W LED bulb included , Die-cast aluminium housing,Heat resistant silicone rubber gaskit light fixture, philips type,high purity aluminium reflector, complete with all accessories.</t>
  </si>
  <si>
    <t>h</t>
  </si>
  <si>
    <t>Surface wall mounted 2-way cylinder type (IP-65) 2x5W LED included 2700k warm light, Die-cast aluminium housing,Heat resistant silicone rubber gaskit light fixture, philips type,high purity aluminium reflector, complete with all accessories.</t>
  </si>
  <si>
    <t>i</t>
  </si>
  <si>
    <t>Surface wall mounted (IP-44) highly efficient,low-power aquafit mirror light Philips type with 8W TLG5  lamp, housing ,water resistant steel with glass light fixture,complete with all accessories.</t>
  </si>
  <si>
    <t>j</t>
  </si>
  <si>
    <t>Surface mounted (IP-65) Tango G2 BVP281-40W LED flood light fixture Die-cast aluminium housing,Heat resistant silicone rubber gaskit,Tempered glass, Philips type, Lifetime 50,000 hours , high purity aluminium reflector ,8000 lumen output, complete with all accessories.</t>
  </si>
  <si>
    <t>Wall mounted Fans</t>
  </si>
  <si>
    <t>Supply and installation of wall mounted fan 2143-CFM approved type, complete with capacitor, hanging rod, canopy, blades, dimmers of quality,nuts, bolts and all necessary accessories complete in all respect and as specification to the entire satisfaction of Consultants /client</t>
  </si>
  <si>
    <t>False Ceiling Fans</t>
  </si>
  <si>
    <t>Supply and installation of False ceiling fan, complete with capacitor, hanging rod, canopy, blades, dimmers of quality,nuts, bolts and all necessary accessories complete in all respect and as specification to the entire satisfaction of Consultants /client approved type.</t>
  </si>
  <si>
    <t>2'x2' False Ceiling Mounted Fan with remote controller.</t>
  </si>
  <si>
    <t>Exhaust  Fan</t>
  </si>
  <si>
    <t xml:space="preserve">Supply and fixing copper winding Fan electric, AC, Exhaust, 220/230 V, single phase, 50 cycles, plastic frame, body and blades, complete with Making the hole wooden frame, cord operated switch, shutter and fixing screws, imported (National, Toshiba, Sanyo,Airflow,Voldam Fisher etc) 15cm. </t>
  </si>
  <si>
    <t>Same as item 9 but Centrifugal copper winding Fan and blowers electric, AC, Exhaust, 220/230 V, 350W, single phase, 50 cycles, matal frame, body and blades, complete with Making the hole fan frame as shown in the drawing approved type.</t>
  </si>
  <si>
    <t>Supply and installing of 8"X12"heave gage galvanaiesd MS sheet  approved type as shown in the drawing , fixing with screws,nut bolt washer, hanging rod etc complete wit all accessories.</t>
  </si>
  <si>
    <t>Supply and installing of 8" air defeuzer approved type as shown in the drawing complete wit all accessories.</t>
  </si>
  <si>
    <t>PVC Conduits</t>
  </si>
  <si>
    <t>Supply, installation of  heavy duty uPVC pipe ,for wiring recessed in walls, slabs, floors, columns,or as per site requirements ,including inspection boxes, pull boxes, hooks, cutting ,duging and repairing surface, etc,  including cost of all the  PVC conduiting accessories, complete in all respect, to the entire satisfaction of the Consultants / Client.</t>
  </si>
  <si>
    <t>i)    32 mm (1 1/4") Dia</t>
  </si>
  <si>
    <t>Mtr</t>
  </si>
  <si>
    <t>ii)    50 mm (2") Dia</t>
  </si>
  <si>
    <t>Feedar cable</t>
  </si>
  <si>
    <t xml:space="preserve">Supply, installation, connecting &amp; testing of following PVC insulated, PVC sheathed, copper conductor,  600/1000V grade cables,for man cable as per approval ,Lengths are estimated. Cable to be laid in PVC conduit or duct including cost of cable, pipe,both ends with necessary lugs, thimbles, brass nuts, bolts, washers, complete in all  respect, to the entire satisfaction of Consultants /  Resident Engineer. </t>
  </si>
  <si>
    <t>4-Core CU- PVC/PVC Cables</t>
  </si>
  <si>
    <t>4c-10 sqmm + 1x6 sqmm cu-pvc/pvc cable laid in 32mm dia pvc pipe.</t>
  </si>
  <si>
    <t>ii</t>
  </si>
  <si>
    <t>4c-16 sqmm + 1x10 sqmm cu-pvc/pvc cable laid in 32mm dia pvc pipe.</t>
  </si>
  <si>
    <t>iii</t>
  </si>
  <si>
    <t>4c-25 sqmm + 1x10 sqmm cu-pvc/pvc cable laid in 50mm dia pvc pipe.</t>
  </si>
  <si>
    <t>iv</t>
  </si>
  <si>
    <t>4c-35 sqmm + 1x10 sqmm cu-pvc/pvc cable laid in 50mm dia pvc pipe.</t>
  </si>
  <si>
    <t>v</t>
  </si>
  <si>
    <t>4c-120 sqmm + 1x50 sqmm cu-pvc/pvc cable laid in 50mm dia pvc pipe.</t>
  </si>
  <si>
    <t>vi</t>
  </si>
  <si>
    <t>4c-185 sqmm + 1x70 sqmm cu-pvc/pvc cable laid in 100mm dia pvc pipe.</t>
  </si>
  <si>
    <t>1-Core CU- PVC Cables</t>
  </si>
  <si>
    <t>vii</t>
  </si>
  <si>
    <t>1c-4x4 sqmm + 1x 2.5 sqmm cu-pvc cable laid in 25mm dia pvc pipe.</t>
  </si>
  <si>
    <t>viii</t>
  </si>
  <si>
    <t>1c-4x6 sqmm + 1x 4 sqmm cu-pvc cable laid in 25mm dia pvc pipe.</t>
  </si>
  <si>
    <t xml:space="preserve">Supply, installation ,connecting &amp; testing of following PVC insulated, PVC sheathed, copper conductor,  600/1000V grade cables,for man cable as per approval ,Lengths are estimated. Cable to be laid in PVC conduit or ground including cost of cable briks,warning tap,Excavation and back filling, both ends with necessary lugs, thimbles, brass nuts, bolts, washers, designation labels engraved on 6 mm plastic strips of suitable size to be tied on both ends with pvc adjustable straps, complete in all  respect, to the entire satisfaction of Consultants /  Resident Engineer. </t>
  </si>
  <si>
    <t>4c-300 sqmm cu-pvc/pvc/swa/pvc cable .</t>
  </si>
  <si>
    <t>Chamical Earthing</t>
  </si>
  <si>
    <t xml:space="preserve">Supply, installation, connection &amp; testing of chemical copper earth electrodes,  19mm dia, 3000mm in length, driven vertically in ground, Required to give result of earth resistance value less than or equal to 0.5Ω, and not deteriorates with time according to IEE regulation and latest B.S. standards, including cost of Test pit 300x300x300mm, internal plaster, 100mm thick R.C.C.cover with lifting hooks, all necessary accessories and material, complete in all respects as spacification. </t>
  </si>
  <si>
    <t>Providing , laying and connecting 2 x 3/0 SWG hard drawn bare copper leads from earthing plates to earth collector box and panels (MDB's) as as required The copper leads to be laid in suitable size of G. I. Pipe complete with all G.I pipe and other accessories.</t>
  </si>
  <si>
    <t>Distribution  Board</t>
  </si>
  <si>
    <t xml:space="preserve">Supply, installation, connection of wires &amp; cables including commissioning of distribution board Floor type,concealed type or to be mounted  on wall, made of 18 swg M.S. sheet with hinged door, handle, catcher, phase, neutral and earthing busbars with required holes nut bolts, washers internal wiring for MCCBs / MCBs terminating on terminating blocks installed at the top of wires/cables, two earthing terminals, designation labels engraved on plastic strips of appropriate size to be pasted on the front of DB, 3 phase indication lamps of colour Red, Yellow, Blue , 1-volt meter/Amps meter size 100x100mm square type with selector Switch of 4 positions, CTS and instrument fuses installed on inner side of DB, </t>
  </si>
  <si>
    <t>Molded case circuit  breakers (MCCB) with overload and short circuit protection, rupturing capacity ,Miniature circuit breakers (MCB) with RC of 6 KA,having overload and short circuit protection, including cost of all necessary fixing accessories, complete in all respects, and to the entire satisfaction of the Consultants / Client.</t>
  </si>
  <si>
    <t>MDB</t>
  </si>
  <si>
    <t>Incoming</t>
  </si>
  <si>
    <t>1-1000 A  TP Mccb adj 50KA</t>
  </si>
  <si>
    <t>3- 1000 A  TP Busbar</t>
  </si>
  <si>
    <t>2- 600 A  N+E Busbar</t>
  </si>
  <si>
    <t>3-Indication lamps</t>
  </si>
  <si>
    <t>1-Voltmeter scaled-0-500 V</t>
  </si>
  <si>
    <t>1-Volt selector switch</t>
  </si>
  <si>
    <t>1-Amp-meter scaled-0-1000A</t>
  </si>
  <si>
    <t>1-Amp selector switch</t>
  </si>
  <si>
    <t>3-CT scaled-1000/5A</t>
  </si>
  <si>
    <t>Outgoing</t>
  </si>
  <si>
    <t xml:space="preserve">1- 400 A TP Mccb 25 KA </t>
  </si>
  <si>
    <t xml:space="preserve">2- 250 A TP Mccb 25 KA </t>
  </si>
  <si>
    <t xml:space="preserve">2- 60 A TP Mccb 13 KA </t>
  </si>
  <si>
    <t xml:space="preserve">3- 30 A TP Mccb 13 KA </t>
  </si>
  <si>
    <t xml:space="preserve">1- 15 A TP Mccb 13 KA </t>
  </si>
  <si>
    <t>SMDB-1</t>
  </si>
  <si>
    <t>1-250 A  TP Mccb 25KA</t>
  </si>
  <si>
    <t>5- 250 A  TPN+E Busbar</t>
  </si>
  <si>
    <t>1-Amp-meter scaled-0-250A</t>
  </si>
  <si>
    <t>3-CT scaled-250/5A</t>
  </si>
  <si>
    <t xml:space="preserve">1-80 A TP Mccb 13 KA </t>
  </si>
  <si>
    <t xml:space="preserve">1- 75 A TP Mccb 13KA </t>
  </si>
  <si>
    <t xml:space="preserve">1- 60 A TP Mccb 13 KA </t>
  </si>
  <si>
    <t xml:space="preserve">4- 30 A TP Mcb 7.5 KA </t>
  </si>
  <si>
    <t>SMDB-2</t>
  </si>
  <si>
    <t xml:space="preserve">2-100 A TP Mccb 13 KA </t>
  </si>
  <si>
    <t xml:space="preserve">1- 80 A TP Mccb 13 KA </t>
  </si>
  <si>
    <t>SMDB-3</t>
  </si>
  <si>
    <t>1-400 A  TP Mccb 25KA</t>
  </si>
  <si>
    <t>5- 400 A  TPN+E Busbar</t>
  </si>
  <si>
    <t>1-Amp-meter scaled-0-400A</t>
  </si>
  <si>
    <t>3-CT scaled-400/5A</t>
  </si>
  <si>
    <t xml:space="preserve">1-150 A TP Mccb 19 KA </t>
  </si>
  <si>
    <t xml:space="preserve">1- 125 A TP Mccb 19KA </t>
  </si>
  <si>
    <t xml:space="preserve">1- 100 A TP Mccb 13KA </t>
  </si>
  <si>
    <t xml:space="preserve">2- 40 A TP Mcb 7.5KA </t>
  </si>
  <si>
    <t xml:space="preserve">3- 30 A TP Mcb 7.5 KA </t>
  </si>
  <si>
    <t>DB-L1 Ground floor Lighting</t>
  </si>
  <si>
    <t>1- 30 A  TP Mcb 7.5KA</t>
  </si>
  <si>
    <t>21- 10 A SP Mcb-6KA</t>
  </si>
  <si>
    <t>DB-L2,L4,L5,L7,L8 &amp; L9 For Ground,1st &amp; 2nd floor Lighting</t>
  </si>
  <si>
    <t>15- 10 A SP Mcb-6KA</t>
  </si>
  <si>
    <t>DB-L3 Ground floor Lighting</t>
  </si>
  <si>
    <t>1- 40 A  TP Mcb 7.5KA</t>
  </si>
  <si>
    <t>24- 10 A SP Mcb-6KA</t>
  </si>
  <si>
    <t>DB-L6 1st floor Lighting</t>
  </si>
  <si>
    <t>18- 10 A SP Mcb-6KA</t>
  </si>
  <si>
    <t xml:space="preserve">DBG-P1-Power Ground floor </t>
  </si>
  <si>
    <t>1-75 A  TP Mccb 13KA</t>
  </si>
  <si>
    <t>5- 75 A  TPN+E Busbar</t>
  </si>
  <si>
    <t>1-Amp-meter scaled-0-75A</t>
  </si>
  <si>
    <t>3-CT scaled-75/5A</t>
  </si>
  <si>
    <t>12-  10 A SP Mcb-6KA</t>
  </si>
  <si>
    <t>3-  16 A SP Mcb-6KA</t>
  </si>
  <si>
    <t>18- 20 A SP Mcb-6KA</t>
  </si>
  <si>
    <t xml:space="preserve">DBG-P2-Power Ground floor </t>
  </si>
  <si>
    <t>1-100 A  TP Mccb 13KA</t>
  </si>
  <si>
    <t>1-Amp-meter scaled-0-100A</t>
  </si>
  <si>
    <t>3-CT scaled-100/5A</t>
  </si>
  <si>
    <t>6-  10 A SP Mcb-6KA</t>
  </si>
  <si>
    <t>21- 20 A SP Mcb-6KA</t>
  </si>
  <si>
    <t xml:space="preserve">DBG-P3-Power Ground floor </t>
  </si>
  <si>
    <t>k</t>
  </si>
  <si>
    <t>1-150 A  TP Mccb 13KA</t>
  </si>
  <si>
    <t>5- 150 A  TPN+E Busbar</t>
  </si>
  <si>
    <t>1-Amp-meter scaled-0-150A</t>
  </si>
  <si>
    <t>3-CT scaled-150/5A</t>
  </si>
  <si>
    <t>21-  10 A SP Mcb-6KA</t>
  </si>
  <si>
    <t>10- 20 A SP Mcb-6KA</t>
  </si>
  <si>
    <t xml:space="preserve">DBF-P4-Power 1st floor </t>
  </si>
  <si>
    <t>l</t>
  </si>
  <si>
    <t>1-80 A  TP Mccb 13KA</t>
  </si>
  <si>
    <t>5- 100 A  TPN+E Busbar</t>
  </si>
  <si>
    <t>1-Amp-meter scaled-0-80A</t>
  </si>
  <si>
    <t>3-CT scaled-80/5A</t>
  </si>
  <si>
    <t xml:space="preserve">DBF-P5-Power 1st floor </t>
  </si>
  <si>
    <t>m</t>
  </si>
  <si>
    <t>6-  16 A SP Mcb-6KA</t>
  </si>
  <si>
    <t xml:space="preserve">DBF-P6-Power 1st floor </t>
  </si>
  <si>
    <t>n</t>
  </si>
  <si>
    <t>1-125 A  TP Mccb 13KA</t>
  </si>
  <si>
    <t>1-Amp-meter scaled-0-125A</t>
  </si>
  <si>
    <t>3-CT scaled-125/5A</t>
  </si>
  <si>
    <t>9-  10 A SP Mcb-6KA</t>
  </si>
  <si>
    <t>30- 20 A SP Mcb-6KA</t>
  </si>
  <si>
    <t xml:space="preserve">DBS-P7-Power 2nd floor </t>
  </si>
  <si>
    <t>o</t>
  </si>
  <si>
    <t>1-60 A  TP Mccb 13KA</t>
  </si>
  <si>
    <t>5- 60 A  TPN+E Busbar</t>
  </si>
  <si>
    <t>1-Amp-meter scaled-0-60A</t>
  </si>
  <si>
    <t>3-CT scaled-60/5A</t>
  </si>
  <si>
    <t>24- 20 A SP Mcb-6KA</t>
  </si>
  <si>
    <t xml:space="preserve">DBS-P8-Power 2nd floor </t>
  </si>
  <si>
    <t>p</t>
  </si>
  <si>
    <t>5- 80 A  TPN+E Busbar</t>
  </si>
  <si>
    <t xml:space="preserve">DBS-P9-Power 2nd floor </t>
  </si>
  <si>
    <t>q</t>
  </si>
  <si>
    <t xml:space="preserve">DB-ICT </t>
  </si>
  <si>
    <t>r</t>
  </si>
  <si>
    <t>1-30 A  TP Mcb 13KA</t>
  </si>
  <si>
    <t>5- 30 A  TPN+E Busbar</t>
  </si>
  <si>
    <t>1-Amp-meter scaled-0-30A</t>
  </si>
  <si>
    <t>3-CT scaled-30/5A</t>
  </si>
  <si>
    <t>3- 16 A SP Mcb-6KA</t>
  </si>
  <si>
    <t xml:space="preserve">DB-Ext </t>
  </si>
  <si>
    <t>s</t>
  </si>
  <si>
    <t>1-30 A  TP Mccb 13KA</t>
  </si>
  <si>
    <t>2- 16 A TP Mcb-7.5KA</t>
  </si>
  <si>
    <t>DB- Lift at Roof</t>
  </si>
  <si>
    <t>t</t>
  </si>
  <si>
    <t>1- 60 A  TP Mccb 13KA</t>
  </si>
  <si>
    <t>5-60 A  TPN+E Busbar</t>
  </si>
  <si>
    <t>3- 10 A SP Mcb-6KA</t>
  </si>
  <si>
    <t>1- 15 A TP Mcb-7.5KA</t>
  </si>
  <si>
    <t>2- 30 A TP Mccb-13KA</t>
  </si>
  <si>
    <t xml:space="preserve">SOUND SYSTEM </t>
  </si>
  <si>
    <t xml:space="preserve">Providing and wiring of  speaker wires from amplifier to speakers with 40/0.0076 mm 2 core flexible copper conductor cable in 20 mm dia Pvc conduit concealed in wall or RCC as may be required  as directed by the Engineer complete with all conduit and wiring accessories.  </t>
  </si>
  <si>
    <t>Providing, installing and connecting of as approved type wall mounting speakers with tapped line matching transformer rated 30w indoor, complete with accessories as per approval by the Engineer location as shown on the Drawing.</t>
  </si>
  <si>
    <t>Providing, installing and connecting of as approved type ceiling mounting speakers with tapped line matching transformer rated 10w indoor, complete with accessories as per approval by the Engineer location as shown on the Drawing.</t>
  </si>
  <si>
    <t xml:space="preserve">Providing, installing and connecting of DM-1300 Dynamic Gooseneck collar type micro phone and floor stand or as per approval by the Engineer </t>
  </si>
  <si>
    <t>Set</t>
  </si>
  <si>
    <t>Providing, installing and connecting of high impedance  power Amplifier 5zone of specified rated power 80 watt distribution line or as per approval by the Engineer complete with all accessories as shown on the Drawing.</t>
  </si>
  <si>
    <t>TOILET FITTINGS &amp; ACCESSORIES</t>
  </si>
  <si>
    <t>Providing, fixing European type water closet with coupled flushing cistern, including all accessories and fittings, CP. flexible pipe, including double seat and cover, tee stop cock with check nut, thimble, all joints to services and drains plugging and screwing as necessary to the structure. (P or S trap)</t>
  </si>
  <si>
    <t>Providing, fixing Asian type water closet with low down flushing cistern connecting pipe complete with all accessories and fittings waste and traps, CP. flexible pipe, including tee stop cock with check nuts, all joints plugging and screwing as necessary to the structure.</t>
  </si>
  <si>
    <t>Providing, fixing wash basin half pedistal  with all accessories such as basin hot/cold mixture, tee stop cocks with check nuts, CP. flexible pipe, uPVC waste pipe, CP waste coupling, bracket set, CP bottle trap and silicon sealant, all joint to service and drain, plugging and screwing as necessary to the structure etc. Complete in all respect.</t>
  </si>
  <si>
    <t>Providing, fixing wash basin (Vanity type) with all accessories such as basin hot / cold mixture, tee stop cocks with check nuts, CP. flexible pipe, uPVC waste pipe, CP waste coupling, bracket set, CP bottle trap and silicon sealant, all joint to service and drain, plugging and screwing as necessary to the structure etc. complete in all respect.</t>
  </si>
  <si>
    <t>Providing, fixing S.S. Kitchen sink including all accessories such as hot/cold mixture, wall type with check nuts, uPVC waste pipe, CP waste coupling, bracket set, CP. bottle trap and all joints to service and drains plugging and screwing as necessary to the structure complete in all respect etc.</t>
  </si>
  <si>
    <t>Double bowl double drain</t>
  </si>
  <si>
    <t>Providing and fixing bathroom accessories as per approved list of manufacturer including fixing with Rawal plug of approved quality complete in all respect.</t>
  </si>
  <si>
    <t>Soap Dish</t>
  </si>
  <si>
    <t>Toilet paper holder</t>
  </si>
  <si>
    <t>Bib cock with Muslim shower</t>
  </si>
  <si>
    <t>Coat Hook</t>
  </si>
  <si>
    <t>Hand dryer compact automatic surface mounted power 1750W / 220V / 50Hz</t>
  </si>
  <si>
    <t>WATER SUPPLY SYSTEM</t>
  </si>
  <si>
    <t>Providing &amp; fixing, jointing, testing of polypropylene pipe(PN-20) BS 5174 or DIN 8077 including specials fittings such as hanging system, sockets, tees, elbow, bends, reducers, plugs and union etc. MS.supported  walls or buried in walls / floor or suspended from roof slab as per specification &amp; detail drawing including color coding complete in all respect. (For cold &amp; hot water )</t>
  </si>
  <si>
    <t>1/2"         dia  (Internal Dia)</t>
  </si>
  <si>
    <t>3/4"         dia  (Internal Dia)</t>
  </si>
  <si>
    <t>1"            dia  (Internal Dia)</t>
  </si>
  <si>
    <t>1-1/4"     dia   (Internal Dia)</t>
  </si>
  <si>
    <t>2"           dia   (Internal Dia)</t>
  </si>
  <si>
    <t>Providing &amp; fixing, jointing, testing of G.I. pipes accordance with BS-21 medium quality pipe for exposed water supply piping system show on the drawing including specials fittings such as hanging system, sockets, tees, elbow, bends, reducers, plugs and union etc. MS.supported  walls or buried in walls / floor or suspended from roof slab as per specification &amp; detail drawing including color coding complete in all respect.</t>
  </si>
  <si>
    <t xml:space="preserve">1"           dia </t>
  </si>
  <si>
    <t xml:space="preserve">1-1/4"     dia </t>
  </si>
  <si>
    <t xml:space="preserve">1-1/2"     dia </t>
  </si>
  <si>
    <t xml:space="preserve">2"           dia </t>
  </si>
  <si>
    <t>Providing &amp; fixing, jointing, hot water solar heater  as per specification &amp; detail drawing complete in all respect.</t>
  </si>
  <si>
    <t>600 Ltr.   Capacity</t>
  </si>
  <si>
    <t>Providing, fixing, testing &amp; commissioning pressure booster pump set with electrical motor @ max flow 10gpm &amp; 10 to 30 PSI horizontal type s.s.pump, pressure gauge, pressure switches, brass body ball valve, check valve, G.I discharge inlet outlet connection &amp; cc paid complete in all respect.</t>
  </si>
  <si>
    <t xml:space="preserve">Providing, fixing, testing, and commissioning water centrifugal multistage pumps (1 No.working + 1 No. standby) &amp; same with electric motor complete in all respects including c.c. foundation, inlet-outlet connections, union / flange, joints discharge header, with all fixing accessories skid mounted, etc. as per specifications.  </t>
  </si>
  <si>
    <t>WP-01 50gpm 65ft. Head</t>
  </si>
  <si>
    <t>Providing and fixing of full way gate / ball valves of bronze trim up to 3"dia. With threaded ends and cast iron body bronze trim flanged ends for 4" dia. and above with all additional material required for a complete installation as described in the as shown on drawings and as approved by the Engineer.</t>
  </si>
  <si>
    <t>Providing and fixing of pressure reducing valve bronze body  with threaded ends and with all additional material unless otherwise required by BS standards and codes. Backflow preventers shall be for installation in horizontal position working pressure maximum 10 bars including 3 Nos bronze body gate/ball valve complete assembly as per detail drawing installation as described in the as shown on drawings, specification and as approved by the Engineer.</t>
  </si>
  <si>
    <t xml:space="preserve">1"          dia </t>
  </si>
  <si>
    <t>Providing and fixing of check valves of bronze trim up to 1" dia. with threaded ends and cast iron body bronze trim flanged ends for 2" dia and above with all additional material required for a complete installation as described in the as shown on drawings and as approved by the Engineer.</t>
  </si>
  <si>
    <t xml:space="preserve">2"          dia </t>
  </si>
  <si>
    <t>Goose neck.</t>
  </si>
  <si>
    <t xml:space="preserve">4"          dia </t>
  </si>
  <si>
    <t>Air vent</t>
  </si>
  <si>
    <t xml:space="preserve">Making / arrangement water supply connection with main water line complete in all respect as necessary for making the connection to building / toilet.   </t>
  </si>
  <si>
    <t>SOIL, WASTE &amp; VENT SYSTEM</t>
  </si>
  <si>
    <t>Providing and fixing in position uPVC pipes push fit type for soil, waste, water &amp; vent pipe as embedded in floor and wall or suspended from slab or clamped to wall including plugs, specials (bend, tees, Y-tee etc.) Making requisite number of holes with pvc sleeve pipe class "B" in walls and floors where required and making good the same as necessary to the structure labeling testing to 6.5 Ft. water height complete.</t>
  </si>
  <si>
    <t xml:space="preserve">2"     dia </t>
  </si>
  <si>
    <t xml:space="preserve">3"     dia </t>
  </si>
  <si>
    <t xml:space="preserve">4"     dia </t>
  </si>
  <si>
    <t>Providing and fixing uPVC cowl for vent pipe of the following dia. including all accessories complete.</t>
  </si>
  <si>
    <t>Providing and fixing uPVC floor drain / Floor Gully of approved design with S.S. (304)  grating with polish finish including requisite number of holes with pvc sleeve pipe in wall plinth or floor for pipe connection and making good the same as necessary to the structure complete including gasket and clamp complete.</t>
  </si>
  <si>
    <t>Providing and fixing uPVC floor clean out of approved design with S.S. (304) polish finish cap including requisite number of holes with pvc sleeve pipe in wall plinth or floor for pipe connection and making good the same as necessary to the structure complete including gasket and clamp complete.</t>
  </si>
  <si>
    <t>EXTERNAL SEWER &amp; MANHOLES</t>
  </si>
  <si>
    <t>Providing, fixing uPVC class 'B' pipe for sewer system including excavation prepration of compacted make smooth bed &amp; backfilling as per detail drawing complete in all respect.</t>
  </si>
  <si>
    <t xml:space="preserve">6"     dia </t>
  </si>
  <si>
    <t xml:space="preserve">Construction of manholes rectangular or circular as described, excavation 24" deep to 48" deep with materials iron steps (in angles 116" centers) 6" thick block masonry walls complete with CC, cover removing and backfilling. </t>
  </si>
  <si>
    <t>24" x 24" size</t>
  </si>
  <si>
    <t>Construction &amp; installation of gully trap including C.I covers, frames, excavation, CC wall internal plaster inlet outlet connection pipe.</t>
  </si>
  <si>
    <t>10" x 10" size</t>
  </si>
  <si>
    <t xml:space="preserve">Making / arrangement sewer pipe connection with main water line complete in all respect as necessary for making the connection to building.   </t>
  </si>
  <si>
    <t>RAIN WATER SYSTEM</t>
  </si>
  <si>
    <t>Providing and fixing in position uPVC pipes push fit type for rain water pipe in wall or suspended from slab or clamped to wall including plugs, specials (bend, tees, Y-tee etc.) Making requisite number of holes with pvc sleeve pipe class "B" in walls and floors where required and making good the same as necessary to the structure labeling testing to 6.5 Ft. water height complete.</t>
  </si>
  <si>
    <t>4"    dia</t>
  </si>
  <si>
    <t>Providing and fixing S.S type rain water grating of approved design  including requisite number of holes with pvc sleeve pipe in wall plinth for pipe connection and making good the same as necessary to the structure complete including gasket and clamp complete.</t>
  </si>
  <si>
    <t xml:space="preserve">4"      dia </t>
  </si>
  <si>
    <t>FIRE FIGHTING SYSTEM</t>
  </si>
  <si>
    <t>Providing, Installation, Testing &amp; Commissioning pressurized water booster pumping system for firefighting comprising of 1 no. Jockey Pump, vertical or centrifugal type pump having capacity 20 us gpm and head of 8 Bar and 1 no. main pump end suction centrifugal pump having capacity of 500 us gpm against head of 7 Bar same capacity diesel pump including, pressure gauges, pressure switches, flow switches, air release valves suction &amp; discharge header with non-return valves, gate valves, or butter fly valves, with all flanged or threaded including electrical control panel with starter for each pump suitable for auto off manual operation switching of pre-adjusted, cutie &amp; cutoff pressure complete in all respect with base skid for pumps 200 lit. pressure tank, 450 Ltrs. MS diesel storage tank and motor control panel and detail drawing according to Engineer instructions.</t>
  </si>
  <si>
    <t xml:space="preserve">Providing and fixing fire hose cabinet including fire hose reel of 1" dia. 100ft. long high pressure rubber hose, 180 deg. Rotation mounted with on/off control jet nozzle, as manufactured including stop valve PRV etc. As per specification and Engineer instruction. </t>
  </si>
  <si>
    <t>Providing and fixing dry chemical powder, fire extinguisher 6 Kg. Capacity, powder coated in red color, complete with pressure gauge &amp; wall bracketed</t>
  </si>
  <si>
    <t>Providing and fixing water type fire  extinguisher 9 liters capacity, powder coated in red color, complete with pressure gauge &amp; wall bracket etc.</t>
  </si>
  <si>
    <t>Providing, laying, jointing and testing black steel seamless piping schedule 40 for fire fighting as per ASTM-A53 grade "B" including welded fittings, hardware clamps, welding, jointing material, protective coating excavation, backfilling, compaction and bedding etc. complete in all respect as per specification and to the approved of the Engineer.</t>
  </si>
  <si>
    <t>i)</t>
  </si>
  <si>
    <t xml:space="preserve">1"   dia    </t>
  </si>
  <si>
    <t>ii)</t>
  </si>
  <si>
    <t xml:space="preserve">3"   dia     </t>
  </si>
  <si>
    <t>Providing &amp; fixing automatic pressure relief valve</t>
  </si>
  <si>
    <t xml:space="preserve">2"       dia     </t>
  </si>
  <si>
    <t>Providing and fixing Siamese twin connection as per specification, detail &amp; dwg .</t>
  </si>
  <si>
    <t xml:space="preserve">2-1/2"       dia     </t>
  </si>
  <si>
    <t>Wiring for Fire Alarm  system</t>
  </si>
  <si>
    <t xml:space="preserve">Supply, laying, connecting and testing of fire alarm system  wiring from  FACP to smoke detector and between smoke detector to smoke detector , heat detector, Break glass, Horns, concealed / surface  wire with Fire Resistant cable (Zero helogen) 2-core 1.5mm² PVC insulated sheeted copper conductor cable in 25mm dia of heavy gauge PVC / conduit including all accessories such as inspection boxes, pull boxes,bends,sockets, shadals supports, cutting jharries and repairing etc. as required and to entire satisfaction of Consultants / Client.  </t>
  </si>
  <si>
    <t>P/M</t>
  </si>
  <si>
    <t>Smoke Detector</t>
  </si>
  <si>
    <t xml:space="preserve">Supply, installation. Connection and testing of multi -mode intelligent photo-optical Smoke detector approved type including all accessories as required and to entire satisfaction of Consultants / Client.  </t>
  </si>
  <si>
    <t xml:space="preserve">Each </t>
  </si>
  <si>
    <t xml:space="preserve">Heat Detector </t>
  </si>
  <si>
    <t xml:space="preserve">Supply, installation. Connection and testing of heat detector with combined rate vof rise and fixed temperature sensor detector approved type including all accessories as required and to entire satisfaction of Consultants / Client.  </t>
  </si>
  <si>
    <t xml:space="preserve">Manual Break glass station </t>
  </si>
  <si>
    <t xml:space="preserve">Supply, installation. Connection and commissioning of Break glass manual Fire Alarm Station detector approved type including all accessories as required and to entire satisfaction of Consultants / Client.   
</t>
  </si>
  <si>
    <t>Alarm Bell</t>
  </si>
  <si>
    <t xml:space="preserve">Supply,installation.Connection and commissioning of audible Alarm Bell, 150mm dia going to be installed, recessed in walls, columns or as per site requirements with end of line diode where required, including all necessary accessories, complete in all respects. </t>
  </si>
  <si>
    <t>Horns</t>
  </si>
  <si>
    <t xml:space="preserve">Supply, installation. Connection and commissioning of external sounder, complete in all respects.  </t>
  </si>
  <si>
    <t xml:space="preserve">Fire Alarm Control Panel (FACP) </t>
  </si>
  <si>
    <t xml:space="preserve">Supply, installation, connection and testing of addressable Fire Alarm Control and indicating Panel, consisting of control trigger  zone module, simultaneous display of first and current fire, LCD display character internal thermal printer, controls enabled by key switch separate cancel / acknowledge fire, menu driven control and maintenance functions with password protection, including cost of all necessary accessories, integral power supply, suitable for 24 volt Audio alarm, self contained Battery, Battery Charger as per Consultant's approval complete in all respects. </t>
  </si>
  <si>
    <t xml:space="preserve">Job </t>
  </si>
  <si>
    <t>Providing &amp; fixing fire extinguisher including bracket and nozzle, etc. complete in all respects.</t>
  </si>
  <si>
    <t xml:space="preserve"> 6 KG Dry Powder Fire Extinguisher</t>
  </si>
  <si>
    <t>Each</t>
  </si>
  <si>
    <t xml:space="preserve"> 5 Lbs CO2 Fire Extinguisher </t>
  </si>
  <si>
    <t>Supply, Installation, Testing &amp; Commissioning of IP IR Bullet 1MP Camera, 2.8mm - 12mm Vari-focal, Supports H.264 video codec, D/N, PoE/24VAC/12VDC, ONVIF complete with Wall/Pole Mount Brackets, IP66 Outdoor Weatherproof, Cat-6 Cable with Connectors and all necessary accessories complete in all respect and as per specifications and to the entire satisfaction of Engineer.</t>
  </si>
  <si>
    <t>Supply, Installation, Testing &amp; Commissioning of 16 Channel Network Video Recorder of 8 TB Upgradeable, storage system for 30 days of storage, including Video Management Software,  required Licenses to support all cameras, 19" Rack-mounted and all necessary accessories complete in all respect and as per specification and to the entire satisfaction of Engineer.</t>
  </si>
  <si>
    <t>Supply, Installation, Testing &amp; Commissioning of 24-port Gigabit Ethernet PoE Layer 2 Switch with 2 Gigabit Ethernet Uplink ports, IEEE 802.1 &amp; 802.3 all applicable standards of Layer 2 switch, 19" Rack mounted and all necessary accessories complete in all respect and as per specification and to the entire satisfaction of Engineer.</t>
  </si>
  <si>
    <t>Supply &amp; Installation of 6U 19'' Cabinet/Wall mounted Cabinet for Equipment and Cable management. The Cabinet is three side openable with front door with front glass (for CCTV Equipment, Imported), 2 full width PDU, lockable, wall mount, cable In/out points, etc. with Locking, sliding and fix trays,1U Fan Unit with 1 cooling fan and with all necessary accessories complete in all respect and to the entire satisfaction of Engineer.</t>
  </si>
  <si>
    <t>Supply &amp; Installation of 32" LED Screen with Stand,can be connected with PC for display,with wall mount brackets, Cabling  and all necessary accessories complete in all respect and to the entire satisfaction of Engineer.</t>
  </si>
  <si>
    <t>Supply, Installation, Testing &amp; Commissioning of 1kVA online UPS, pure Sinusoidal wave for CCTV Equipments etc.  including its power wiring and all necessary accessories complete in all respect and to the entire satisfaction of Engineer.</t>
  </si>
  <si>
    <t>Supply, Installation, Testing &amp; Commissioning of Optical 2-Core Roset with Back box (Wall/Floor) and all necessary accessories complete in all respect and to the entire satisfaction of Engineer.</t>
  </si>
  <si>
    <t>Supply of Hand-held metal detectors which detects all metals, both ferrous and non-ferrous all with three (3) level detection performance, having 3-way push-button operation, Audible and visual alarm indication, rechargeable battery or 9V alkaline battery and to the entire satisfaction of Engineer.</t>
  </si>
  <si>
    <t>Supply &amp; Installation of R.C.C Chamber 2' x 2' x 3' with all other accessories to the entire satisfaction of Engineer.</t>
  </si>
  <si>
    <t>Supply and erection of heavy gauge 25mm PVC / Flexible pipe for wiring  concealed / surface , in RCC or masonry including all accessories such as inspection/Pull/Junction/Back boxes with covers, bends, sockets , shadals supports, cutting jharries and repairing etc. as required for proper installation and to entire satisfaction of Consultants / Client.  . Sample should be approved and to the entire satisfaction of Engineer.</t>
  </si>
  <si>
    <t>Meter</t>
  </si>
  <si>
    <t>Supply and erection of heavy gauge 100 mm uPVC / Flexible pipe for wiring  concealed / surface , in RCC or masonry including all accessories such as inspection boxes, pull boxes, bends, sockets , shadals supports, cutting jharries and repairing etc. as required for proper installation and to entire satisfaction of Consultant / Engineer. Sample should be approved and to the entire satisfaction of Engineer.</t>
  </si>
  <si>
    <t xml:space="preserve">Trenching in all type of soil 40 x 90 cm (Average) </t>
  </si>
  <si>
    <t>a.</t>
  </si>
  <si>
    <t xml:space="preserve">Excavation </t>
  </si>
  <si>
    <t>b.</t>
  </si>
  <si>
    <t>Supply &amp; Filling of Soft soil</t>
  </si>
  <si>
    <t>c.</t>
  </si>
  <si>
    <t>Supplying &amp; laying of Brick</t>
  </si>
  <si>
    <t>d.</t>
  </si>
  <si>
    <t>Backfilling with 90% compaction</t>
  </si>
  <si>
    <t>e.</t>
  </si>
  <si>
    <t>Supplying &amp; laying of Warning Tape</t>
  </si>
  <si>
    <t>f.</t>
  </si>
  <si>
    <t>Site cleaning</t>
  </si>
  <si>
    <t>Diesel Generator set</t>
  </si>
  <si>
    <t>Supply, installation, connecting and testing of 150 KVA,120 KW prime power 1500 RPM at 0.80 PF 415/220 volts, 3 phase 50 Hz output stand by Diesel Generator set directly coupled with Alternator, sound proof canopy complete in all respect, including controlled wiring from ATS to genset as required, FG WILLSON, CATERPILLAR, ORIENT or as approved .(Contractor has to submit warranty and maintenance of Gen set along with the ipc failing which payment against the item will not be entertained)</t>
  </si>
  <si>
    <t>AMF/ ATS panel</t>
  </si>
  <si>
    <t>Supply, installation, testing &amp; commissioning of Automatic transfer switch panel for 150 KVA, 120 KW DG set and 1no. K.E supply complete with all installation accessories as required and to entire satisfaction of Consultants / Client.</t>
  </si>
  <si>
    <t>Elevator</t>
  </si>
  <si>
    <t xml:space="preserve">Supply, installing, connecting and testing of 800-KG capacity lift Passenger from Ground floor to 2nd floor (3 stops), imported Origin &amp; shipment from UK / European , USA or JAPAN approved type, automatic doors opining, stainless steel cabin with mirror of size 1.2m high on back &amp; rail, control panels, black granite (imported) tile, flooring of 30cm x 30cm, contractor and relays, approved type, imported machine and motor ,speed 1.0 m/s with auxiliary fan, lights, accessories etc all as directed by the Engineer . The lift must have mechanism of going to the ground level and opening of doors in case of power failure and must have door sensors. Shop drawings are to be submitted for approval prior to start of work to ensure that the pit and overhead / machine room of the sizes are as per manufacturer's requirements. Incas any modification required in the structure design, contractor has to do the same accordingly for which no extra payment will be made. </t>
  </si>
  <si>
    <t xml:space="preserve">Contractor to ensure to provide all provisions / openings in the structure as per requirements of the lift manufacturers. </t>
  </si>
  <si>
    <t>All expenses of the above deemed to be included in the item. Contractor is required to submit the samples for all finishing item prior to ordering for the approval of the consultant.</t>
  </si>
  <si>
    <t>Per No.</t>
  </si>
  <si>
    <t>WALL MOUNTED AIR-CONDITIONS</t>
  </si>
  <si>
    <t>Providing, installation, connecting and testing of cooling wall mounted wireless remote controlled type Air conditioner (with green gas-R410A) as approved type complete in all respect with controlled wiring,inlet/ outlet copper tubes / insulation recessed in the wall, ceiling from condensing unit to air handling unit condensing unit should be installed on CC pad at roof complete with CC pad,insulation,water proofing, drain piping and including the 10'Rft copper pipe gas charging accessories Supply and fixing as per approval by the Engineer</t>
  </si>
  <si>
    <t xml:space="preserve">1.5 ton </t>
  </si>
  <si>
    <t xml:space="preserve">2.0 ton </t>
  </si>
  <si>
    <t>Providing of extra refrigeration inlet and outlet copper piping 3/8" and 5/8" with insulated for the above Air-condition as required complete with welding  joints and installation all accessories.</t>
  </si>
  <si>
    <t>NOTE.</t>
  </si>
  <si>
    <t>Supplying, installation at any height, testing and commissioning of the following items of work (unless specifically stated otherwise) including all materials, labor, tools, plants, accessories, as required for proper completion of each item in all respect  , as per approved drawings, specification, miscellaneous details and instructions of Engineer . Including 12 months operation and maintenance with material after successful commissioning.
All related Civil and Electrical/Mechanical works which are required but not mentioned in any items of BOQ mentioned below, or in drawings, but are required for the completion of works are deemed to be included in the items. No extra amount shall be paid in this regard.</t>
  </si>
  <si>
    <t xml:space="preserve">Solar PV Modules </t>
  </si>
  <si>
    <t>Providing, Installing, connecting, testing and commissioning of 44kWp solar PV modules, cell type Mono/Polycrystalline, PV module efficiency 15% or higher. PV modules cells must be protected with IP65 compliance and  must conform to the latest edition of IEC and other International Standards, and all other accessories required for proper completion of work as per attached Specification &amp; approval of Engineer. Contractor to provide drawings, technical brochures, calculations &amp; samples for the approval of the Engineer.</t>
  </si>
  <si>
    <t>Mounting Structure</t>
  </si>
  <si>
    <t>Providing, Installing, connecting, and commissioning of  mounting structure for 44 kWp Solar PV Arrays. The structure shall  be designed to sustain the load of  PV modules and  sustain worst weather conditions as shown on the concept drawing complete with all material, accessories and civil works as required upto the satisfaction of Engineer. Contractor to provide shop drawings, technical brochure, calculations &amp; samples for the approval of the Engineer.</t>
  </si>
  <si>
    <t>DC Combiner Box</t>
  </si>
  <si>
    <t>Providing, Installing, testing and commissioning of DC combiner box for  Solar PV arrays, with protection rating IP-55,  housed in  sheet housing, hinged door/ lock, including negative &amp; positive bus bars and incoming and outgoing circuit breakers complete with material and installation accessories. Contractor to provide drawings, technical brochures &amp; samples for the approval of the Engineer.</t>
  </si>
  <si>
    <t>DC Disconnector</t>
  </si>
  <si>
    <t>Providing, Installing, testing and commissioning of DC disconnector box for Solar PV arrays,with protection rating IP-55 complete with material and installation accessories. Contractor to provide  drawings, technical brochures &amp; samples for the approval of the Engineer.</t>
  </si>
  <si>
    <t>On Grid PV Inverter</t>
  </si>
  <si>
    <t>Providing, Installing, testing and commissioning of 20kW MPPT Inverter in steel sheet housing, 20years operational warranty, 3 Phase AC output voltage 230/400V, 50Hz, efficiency 97% or higher, with islanding protection/reverse current protection, DC overvoltage protection, grid monitoring and AC/DC connectors for input/output voltages, input DC voltage ranging upto maximum DC volts from PV Array complete and all other accessories required for proper completion of work as per attached Specification &amp; approval of Engineer. Contractor to provide warranty certificates,  drawings, technical brochures, calculations &amp; samples for the approval of the Engineer.</t>
  </si>
  <si>
    <t>Distribution Board</t>
  </si>
  <si>
    <t>Providing, installing, testing and commissioning of distribution board  in steel sheet housing, dust proof, hinged door/lock, suitable system volt/amperes 3phase 4wire and TPN+E busbar terminal AC systems with incoming, outgoing AC circuit breakers, indication lamps(each phase), voltmeters, ammeters, CTs, fuses and Volt/Ampere selectors, foundation and all other accessories as required up to satisfaction of the Engineer. Contractor to provide warranty certificates,  drawings, technical brochures &amp; samples for the approval of the Engineer.</t>
  </si>
  <si>
    <t>Distribution Cables</t>
  </si>
  <si>
    <t>Providing, laying, termination, testing and commissioning of distribution cable from inverter to distribution boards and then toward buildings main DB at ground floor 4Core PVC LT with rated system volts/amperes unarmed copper grid cable  to be laid in PVC/uPVC conduit across the route with all accessories and materials required for completion of job, as directed by Engineer.</t>
  </si>
  <si>
    <t>Meters</t>
  </si>
  <si>
    <t>uPVC/PVC conduit</t>
  </si>
  <si>
    <t>Providing and laying of 2'' Dia uPVC/PVC conduit for cable protection of DC cables and distribution cable from inverter to distribution boards and then toward buildings main DB at ground floor with all accessories and materials required for completion of job, as directed by Engineer.</t>
  </si>
  <si>
    <t>DC Cables</t>
  </si>
  <si>
    <t>Providing, connecting and termination of DC cables from PV modules to DC combiner box, box to inverter as per system ratings volts/amperes to be laid in conduct with all accessories and materials required for completion of job, as directed by Engineer.</t>
  </si>
  <si>
    <t>Earthing Electrodes</t>
  </si>
  <si>
    <t>Providing, installing, connecting, testing and commissioning of copper earth electrodes, 200mm dia, 3000 mm in length, driven vertically in ground, including cost of test pits 300x300x300mm, internal plaster, 100mm thick RCC covered with lifting hooks complete with all accessories and materials required for completion of job as directed by Engineer.</t>
  </si>
  <si>
    <t>Providing, laying and connecting of  ECC hard drawing bare copper conductor leads (as per system requirement) and PVC/uPVC conduit with appropriate size from earth pits to inverter DB/Mounting Arrays  complete with all accessories and materials required for completion of job  as directed by Engineer.</t>
  </si>
  <si>
    <t>Cleaning Equipment</t>
  </si>
  <si>
    <t>Providing, Installing and connecting of 1HP water pump and flexible pipe with ability to draft water at minimum 10 vertical feet. General accessories include low/mid pressure hose nozzles to splash water on PV Panels without damage (Max 350Kpa water pressure)</t>
  </si>
  <si>
    <t>Provide 2 nos. of each min. 6 feet long retractable brush &amp; viper. Brush fiber shall be made of polystyrene, soft enough to protect the photovoltaic cells, yet enough to remove debris.</t>
  </si>
  <si>
    <t>A - External Works</t>
  </si>
  <si>
    <t>Foundation</t>
  </si>
  <si>
    <t>Providing and laying of PCC Solid Blocks for non load bearing walls (Cavity or Non Cavity) as specified in building blocks walls incl setting and jointing in CM 1:6. (From a reputable manufacture, such as Envicrete , Megnacrete etc.) having  minimum compressive cylindrical strength 1000 psi @ 28 days but not leaner than 1:3:6. at any floor &amp; any height.</t>
  </si>
  <si>
    <t>Providing and applying 13 mm (1/2") thick cement sand plaster on walls, slab &amp; columns, etc. in any floor,  including making proper edges &amp; corners, supply &amp; fixing G.I (24 Gauge) Expanded metal lath 6" wide  fixed with steel nails at junctions of walls/beams/columns, with all required scaffolding &amp; curing, etc. complete in all respects  at any height as per drawings. All in accordance with the specifications &amp; as per the instructions of the Engineer. (Nominal Ratio. 1:4)</t>
  </si>
  <si>
    <t xml:space="preserve">Colour-creting 1/4” (6.4 mm) thick 1:1:2 (1 white cement, 1 marble powder and 2 marble chips zero No.) in required shade including dragging the surface with wire brushes complete with curing etc. over a base of 3/4" (19 mm) thick cement plaster 1:3 in plinth, mezzanine and ground floor including the cost of base course as directed complete but excluding the cost of grooves or joint if provided. </t>
  </si>
  <si>
    <t>Providing and fixing M.S Gate &amp; grill comprising required section of iron as per approved design including welding all sides of the section at the junction and fixing with sunk iron screws, floor strip, wheels, drop bolts, applying two layers of epoxy paint to protect all structural steel sections over primer of approved quality. One coat should be factory applied and one coat of epoxy to be applied at site. complete as per drawings and direction of the Engineer. (Contractor to submit shop drawings to Engineer for approval before execution).</t>
  </si>
  <si>
    <t xml:space="preserve">Providing and installing for complete steel structural works complete in all respects with , columns, beams, girders, joists, cleats, angles, bolts, base plates etc,.  two layers of epoxy paint should protect all structural steel sections over primer of approved quality. One coat should be factory applied and one coat of epoxy to be site applied. Complete with all required accessories, etc. as specified and as shown in the drawings, complete in all respects and as required by the consultant. </t>
  </si>
  <si>
    <t xml:space="preserve">Providing &amp; fixing in position to proper camber and grade CC interlocking pavers having a SRI of atleast  29  of approved make, size, shape and colors over 60mm thick sand ( Pit/ river bed sand of approved quality) cushion, joints filled with sand as per specifications, including the cost of sand, cartage of paving block etc complete in all respects as per specifications, instructions and approval of the Engineer. Contractor to submit samples of different shapes, colors for the approval the Engineer. 
At least three colors (yellow, orange &amp; green) shall be used in design approved by Consultant. Contractor to provide at least three different designs for the approval of the Consultant. Cube crushing Strength of CC Pavers 6000 to 7000 Psi).
</t>
  </si>
  <si>
    <t>Precast kerb block in concrete class A-1 of size 300 x 300 x 150mm (12"x12"x6") including concrete bedding &amp; haunching. As per drawing and approval of the Engineer.</t>
  </si>
  <si>
    <t>Precast kerb block in concrete class A-1 of size 200 x 300 x 100mm (8"x12"x4") including concrete bedding &amp; haunching.</t>
  </si>
  <si>
    <t>Supply and apply in approved colors, non slip multilayered epoxy coating for flooring on ramps and other areas, as per specifications and manufacturer's recommendations. Complete in all respect. Minimum 1000 microns to provide seamless finish.</t>
  </si>
  <si>
    <t>Providing &amp; fixing galvanized Pipe 3" Dia (6 Gauge) for cycle stand with base plate (6" x 6" x 1/2") complete in all respect including fixing in proper position, with and including cost excavation , plain cement concrete of 2500 psi, making the finish floor surface upto yhe floor level with smooth surfacecomplete in all respect etc., as per drawings &amp; specifications. Contractor to make detailed shop drawings for the approval of consultant before start of work.</t>
  </si>
  <si>
    <t>Providing &amp; fixing Trush cane/Dust Bin (Fiber Make) of approved size &amp; shape complete as per drawings, specifications and direction of the Engineer.  (The contractor should submit three samples for approval)</t>
  </si>
  <si>
    <t>Providing &amp; planting saplings of trees, shrub and plants etc., complete in all respects &amp; i/c cartage up to propose location &amp; i/c cost of watering till trees grow up well and maintain of same till completion of contract.</t>
  </si>
  <si>
    <t>Plumera Obtusa</t>
  </si>
  <si>
    <t>Ceasalpina</t>
  </si>
  <si>
    <t>B - Miscellaneous/ Construction Facilities Provided One Time</t>
  </si>
  <si>
    <t>Vehicles (Detailed Specifications as per Specification - Special Provision)</t>
  </si>
  <si>
    <t>Truck Mounted Bowzer (Hino) with 2500 Gallons Capacity.
Including registration cost + comprehensive Insurance + Tax for Contract duration + All Aplicable Taxes.</t>
  </si>
  <si>
    <t>C - Miscellaneous/ Construction Facilities Provided Per Month</t>
  </si>
  <si>
    <t>Fuel / Diesel (to be paid by the Contractor on Monthly Basis)</t>
  </si>
  <si>
    <t>Fuel for Vehicles (1,000 Ltrs Per Month) to be paid by the Contractor on monthly basis.</t>
  </si>
  <si>
    <t>Ltrs</t>
  </si>
  <si>
    <t>Maintenance Charges (to be paid by the Contractor on Monthly Basis)</t>
  </si>
  <si>
    <t>For Vehicle Maintenance charges Rs. 5,000/- per month (Rs. 5,000/- per month for Vehicle).</t>
  </si>
  <si>
    <t>Month</t>
  </si>
  <si>
    <t>Other Facilities (to be paid by the Contractor on Monthly Basis)</t>
  </si>
  <si>
    <t>Drivers (01 No.)</t>
  </si>
  <si>
    <t>EDUCATION CITY KARACHI</t>
  </si>
  <si>
    <t>ADMINISTRATION ENCLAVE (OFFICE BUILDING, STAFF BUILDING 
&amp; EXTERNAL DEVELOPMENT)
Volume - II a BILL OF QUANTITIES
for
CIVIL &amp; ARCHITECTURAL WORKS</t>
  </si>
  <si>
    <t>EDUCATION CITY ADMINISTRATION ENCLAVE GRAND SUMMARY</t>
  </si>
  <si>
    <t>Sub-Head</t>
  </si>
  <si>
    <t>Name of Work</t>
  </si>
  <si>
    <t>Amount
(Rs.)</t>
  </si>
  <si>
    <t xml:space="preserve">                                                                              </t>
  </si>
  <si>
    <t>A.</t>
  </si>
  <si>
    <t>CIVIL &amp; ARCHITECTURAL WORKS</t>
  </si>
  <si>
    <t>OFFICE BUILDING (1 Block)</t>
  </si>
  <si>
    <t>STAFF BUILDING (1 Block)</t>
  </si>
  <si>
    <t xml:space="preserve"> iii)</t>
  </si>
  <si>
    <t>AUDOTORIUM (1 Block)</t>
  </si>
  <si>
    <t xml:space="preserve"> iv)</t>
  </si>
  <si>
    <t>EXTERNAL DEVELOPMENT</t>
  </si>
  <si>
    <t>Sub-Total (A)</t>
  </si>
  <si>
    <t>B.</t>
  </si>
  <si>
    <t>ELECTRICAL WORKS.</t>
  </si>
  <si>
    <t>Sub-Total (B)</t>
  </si>
  <si>
    <t>C.</t>
  </si>
  <si>
    <t>MECHANICAL WORKS.</t>
  </si>
  <si>
    <t>Sub-Total (C)</t>
  </si>
  <si>
    <t>Total (A+B+C+)</t>
  </si>
  <si>
    <t>COST DIIFERENCE</t>
  </si>
  <si>
    <t>Sr.
No.</t>
  </si>
  <si>
    <t>Qty.</t>
  </si>
  <si>
    <t>Steel
MS Deformed Bar</t>
  </si>
  <si>
    <t>Stone 
Ballast
1-1/2'' to 2''</t>
  </si>
  <si>
    <t>Hill Sand 
or 
Haro Sand</t>
  </si>
  <si>
    <t>Stone 
Crushed 
Graded 3/4''</t>
  </si>
  <si>
    <t>Total Qty.</t>
  </si>
  <si>
    <t>Bag</t>
  </si>
  <si>
    <t>Ton</t>
  </si>
  <si>
    <t>%Cft.</t>
  </si>
  <si>
    <t>Rate Differnce</t>
  </si>
  <si>
    <t>Total Amount Rs.</t>
  </si>
  <si>
    <t>Grand Total Amount Rs.</t>
  </si>
  <si>
    <t>BILL OF QUANTITIES</t>
  </si>
  <si>
    <t xml:space="preserve">Sr. 
No. </t>
  </si>
  <si>
    <t>Item Ref #</t>
  </si>
  <si>
    <t>Particulars</t>
  </si>
  <si>
    <t>Rate 
(Rs.)</t>
  </si>
  <si>
    <t>Amount 
(Rs.)</t>
  </si>
  <si>
    <t>Ai - OFFICE BUILDING (CIVIL)</t>
  </si>
  <si>
    <t>SCHEDULE ITEMS</t>
  </si>
  <si>
    <t xml:space="preserve">18-B/4 </t>
  </si>
  <si>
    <t>Excavation
(Refer Spec's  Section # 2300)
Excavation in foundation of Building Bridges and other structures including dagbelling dressing,refilling around structure with excavated earth Watering and ramming lead upto 5 ft.</t>
  </si>
  <si>
    <t>‰Cft.</t>
  </si>
  <si>
    <t>92 / 109</t>
  </si>
  <si>
    <t>Termite Proofing
(Refer Spec's Section # 2360)
Providing Anti-termmite by spraying/ sprinkling/ spreading Neptachlar 0.5% Emulsion as on overall pre-construction treatment in slab type construction under the slab and along attached perches or entrances etc, complete as per directions of Engineer Incharge.</t>
  </si>
  <si>
    <t>13-B / 3</t>
  </si>
  <si>
    <t>Earth Filling Compaction &amp; layers (Refer Spec's  Section # 2300)
Earth work compaction (Soft, ordinary or hard soil).
Laying earth in 6" layers levelling % 0Cft.dressing and watering for compactionb etc. complete.</t>
  </si>
  <si>
    <t>22 / 4</t>
  </si>
  <si>
    <t>Earth Filling 
(Refer Spec's  Section # 2300)
Filling,watering and ramming earth under floor with new earth (Excavated from outside) lead upto one chain and lift upto 5 feet.</t>
  </si>
  <si>
    <t>16 / 31</t>
  </si>
  <si>
    <t>Stone Soling
(Refer Spec's  Section # 2505)
Stone filling dry hand packed as filling behind retaining walls or in pitching and aprons.</t>
  </si>
  <si>
    <t>98 / 112</t>
  </si>
  <si>
    <t>1:4:8 in Foundation
(Refer Specs. Section # 3300)
Providing and laying lean concrete having 1450 PSI cylindrical strength (ready mixed concrete) including
placing compacting finishing, curing complete, screening and washing of crushed stone aggregate excluding the cost of shuttering.
Ratio. 1: 4 :8</t>
  </si>
  <si>
    <t>99 / 112</t>
  </si>
  <si>
    <t>1:3:6 Cast - in - Situ
(Refer Specs. Section # 3300)
Providing and laying lean concrete having 2250 PSI cylindrical strength (ready mixed concrete) including
placing compacting finishing, curing complete, screening and washing of crushed stone aggregate excluding the cost of shuttering.
Ratio. 1:3 :6</t>
  </si>
  <si>
    <t>19(b ii) / 18</t>
  </si>
  <si>
    <t>Erection and removal of centering for R.C.C or plain cement concrete works of Deodar wood (2nd-Class)</t>
  </si>
  <si>
    <t>%Sft.</t>
  </si>
  <si>
    <t>5(h) / 16</t>
  </si>
  <si>
    <t>1:9 Sub Floor.
(Refer Specs. Section # 3300)
Cement concrete plain including placing compacting, finishing and curing, complete (including screening and washing at stone aggregate without shuttering.
Ratio. 1:3 :6</t>
  </si>
  <si>
    <t>3"th</t>
  </si>
  <si>
    <t>2"th</t>
  </si>
  <si>
    <t>101/ 112</t>
  </si>
  <si>
    <t xml:space="preserve">Reinforced Cement Concrete  (f'c 3.0 ksi, Cylindrical  Strength) (Refer Specs. Section # 3300)
Providing and laying reinforced cement concrete having 3000 PSI cylindrical strength (ready mixed concrete) including all kinds of fromwork, hoisting, placing, placing compacting, finishing, curing complete in all repect as shown on the </t>
  </si>
  <si>
    <t>Footing</t>
  </si>
  <si>
    <t>Providing and laying reinforced cement concrete having 3000 PSI cylindrical strength (ready mixed concrete) including all kinds of formwork, hoisting, placing, placing compacting, finishing, curing complete in all respect as shown on the drawing.</t>
  </si>
  <si>
    <t>101 / 112</t>
  </si>
  <si>
    <t>Column  under Plinth</t>
  </si>
  <si>
    <t>SOG 6" Thick</t>
  </si>
  <si>
    <t>In Super Structure (Using O.P. Cement)</t>
  </si>
  <si>
    <t>Beams</t>
  </si>
  <si>
    <t>8"thick</t>
  </si>
  <si>
    <t>Staircase</t>
  </si>
  <si>
    <t>Lintle</t>
  </si>
  <si>
    <t>8-a / 17</t>
  </si>
  <si>
    <t>Reinforcement Bars
(Refer Specs. Section # 3300)
Fabrication of steel (defromed Bar) reinforcement for cement concrete including cutting,bending,laying in position, making joints and fastenings including cost of binding wire (also includes removeal of rast of bars.</t>
  </si>
  <si>
    <t>Ton.</t>
  </si>
  <si>
    <t xml:space="preserve">23 / 19 </t>
  </si>
  <si>
    <t>Block Masonry
(Refer Spec's Section # 4050 &amp; 4200)
Providing and laying 1 :3 : 6 cement concrete solid block masorany wall above 6" in thickness set in 1 :6 cement sand mortar in ground floor superstructure including raking out joints and curing etc. complete.</t>
  </si>
  <si>
    <t>6" thick</t>
  </si>
  <si>
    <t>4" thick</t>
  </si>
  <si>
    <t>Cement Concrete Plateform (Refer Specs. Section # 3300)
Providing and laying 1 :3 : 6 Cement concrete solid Block masorany wall above 6" in thickness set. In 1 : 6 cement mortar in G.F ground floor superstructure including raking out joints &amp; curing etc,</t>
  </si>
  <si>
    <t>,2 / 91</t>
  </si>
  <si>
    <t>Structural Steel Work
(Refer Spec's Section # 5120 &amp; 5500)
Fabrication of heavy steel work with angles, tees, flat iron, round iron and sheet iron for making trusses, girders, tands etc. including cutting, tanks etc. including cutting, drilling rivetting, handling assembling  and fixing but excluding erection in position. For Photo Volatile Solar System</t>
  </si>
  <si>
    <t>,3 / 91</t>
  </si>
  <si>
    <t>Erection and fitting in position of iron trusses staging of water tanks etc.</t>
  </si>
  <si>
    <t>,5di+ii+ii 
/ 91</t>
  </si>
  <si>
    <t>Preparing surface and painting gaurd bars gates, iron bars gratting, railings (including Priming Coat with two coat of Plastic Emulsion / anticorrosive paint)</t>
  </si>
  <si>
    <t>2-91
+3-91</t>
  </si>
  <si>
    <t>M.S. Railing for staircase
(Refer Spec's Section # 5120 &amp; 5500)
Providing, fabricating and fixing Mild Steel railing using 3/4" square bar (vertical) at 6" c/c bolted with  6"  x  6"  x  1/2"  thick  M.S.  plate  at  alternate steps  including  3/4"  square  bar  top  &amp;  bottom bracing and 2" dia M.S. pipe top hand rail, (All
M.S.  members  shall  have  sprayed  on  Enamel paint finished over a base coat of Zinc chromate including   all   necessary   hardware   and   fixing arrangements  as  shown  on  drawings  and  as directed by the Consultants.</t>
  </si>
  <si>
    <t>28b/19</t>
  </si>
  <si>
    <t>Damp Proof Course (Bitumen Coating). (Refer Spec's Section # 7100)
Providing and applying 1/8" thick damp proof course using  AHS  hycarb  bitumen  (60  lbs/100  Sft)  on  top  of interior  and  exterior  Plinth  beams,  complete  as  per drawing and as directed by the Consultants.</t>
  </si>
  <si>
    <t>9/71</t>
  </si>
  <si>
    <t>Bitumen Coating
(Refer Spec's Section # 7100)
Bitumen coating to plastered or cement concrete surface.</t>
  </si>
  <si>
    <t>38/38</t>
  </si>
  <si>
    <t>Water Proofing Under SOG (Refer Spec's Section # 7100)
Providing and laying single per layer of polythene sheet 0.13 mm thick for water proffing as per specification and instructions of Engineer incharge.</t>
  </si>
  <si>
    <t>5/34</t>
  </si>
  <si>
    <t>Roofing Treatment
(Refer Spec's Section #  7560)
Single layer of tiles 9" x4 1/2" x 2" laid over 4" earth 1" mud plaster without Bhoosa grouted with cement sand 1:3 on top of R.C.C slab provide with 34 Lbs. Bitumen coating sand blinded.</t>
  </si>
  <si>
    <t>16c/42</t>
  </si>
  <si>
    <t>Roofing Treatment
(Refer Spec's Section #  7560)
Providing and laying 1" thick topping cement concrete (1:2:4) including Surface finishing and dividing into panels:</t>
  </si>
  <si>
    <t>2" thick</t>
  </si>
  <si>
    <t>28/7x8
 / 93</t>
  </si>
  <si>
    <t>Metal Door Frames
(Refer Spec's Section # 8100)
Provinding and fixing G.I frames/Choukhats of size 8" x 2" or 4 1/2" x 3" for windows using 20 guage G.I sheet I/c welded hinges and fixing at site with necessary hold fasts, filling with cement sand slurry of ratio 1:6 and repairing the jambs. The cost also i/c all carriage, tools and plants used in making and fixing.</t>
  </si>
  <si>
    <t>Size: 8" x 2"</t>
  </si>
  <si>
    <t>57 / 65</t>
  </si>
  <si>
    <t>Solid Core Door
(Refer Spec's Section # 8200)
Providing and fixing in position doors, windows and ventilators of 1st. Class deodar wood frames and 1-1/2" thick Teak wood ply shutters of 2nd class deodar wood skeleton (solid) styles and rails core of partal wood and Teak ply wood  (3-ply) on both sides i/c hold fasts, hinges, iron tower bolts, handles and cleats with cord etc. complete.</t>
  </si>
  <si>
    <t>D1   = 3'-3" x 7'-0"</t>
  </si>
  <si>
    <t>D2   = 2'-9" x 7'-0"</t>
  </si>
  <si>
    <t>53/64</t>
  </si>
  <si>
    <t>Fixed Glazing (Internal) (Refer Spec's Section # 8800)
Providing and fixing in position fixing glass glazing in 1st class deodar wooden frame and patties frame section 7 1/2 sq inches, etc. complete size of glass 1/4" thick.</t>
  </si>
  <si>
    <t>84b/108</t>
  </si>
  <si>
    <t>Aluminum Windows / Ventilators (Refer Spec's Section # 8520)
Providing  and  fixing  aluminum  glazed  windows and ventilators using natural anodized aluminum (openable/fixed)  with  fly  proof  shutters  section as  approved  by  the  Architects  including  6mm thick   clear   glass   with   all   necessary   fixing arrangents      including      approved      quality hardwares,  handles,  latches  etc.  Complete  as per drawing and as directed by Consultants.</t>
  </si>
  <si>
    <t>12b/52</t>
  </si>
  <si>
    <t>Internal Plaster
(Refer Specs. Section #. 9200)
Cement Plaster 1:5 upto 12' height.</t>
  </si>
  <si>
    <t>1/2" thick.</t>
  </si>
  <si>
    <t>64b/66</t>
  </si>
  <si>
    <t>Aluminum wire guage 144 mesh P.Square fixed to chowkats</t>
  </si>
  <si>
    <t>11c/52</t>
  </si>
  <si>
    <t>External Plaster 
(Refer Specs. Section #. 9200)
Cement plaster 1:4 upto 12' height.</t>
  </si>
  <si>
    <t>3/4" thick.</t>
  </si>
  <si>
    <t>36A+B
+B/55</t>
  </si>
  <si>
    <t>Matt Enamel Paint on Walls (Refer Specs. Section # 9900)
Preparing the surface and painting with matt finish I/c rubbing the surface with Bathy (silicon carbide rubbing brick) filling the voids with zink/chalk/ plaster of paris mixture, applying first coat premix, making the surface smooth and then painting 3 coats  with matt finish of approved make etc: complete .(new surface). Three Coats</t>
  </si>
  <si>
    <t>40A+B
+B/56</t>
  </si>
  <si>
    <t>Plastic Emulsion Paint on Ceiling (Refer Specs. Section # 9900)
Preparing the surface and painting with plastic emulsion paint of approved make  I/c rubbing the surface with sand Paper,filling the voids with chalk/ plaster of paris and then painting etc complete.Three Coats</t>
  </si>
  <si>
    <t>38/45</t>
  </si>
  <si>
    <t>Glazed Porcelain Tiles Dado (Refer Specs. Section # 9300)
Glazed tile dado 1/4" thick laid in pigment over 1:2 cement sand mortar 3/4" thick including finishing.</t>
  </si>
  <si>
    <t>Kitchen(12"x12")</t>
  </si>
  <si>
    <t>%Sft</t>
  </si>
  <si>
    <t>Toilet Area(12"x12")</t>
  </si>
  <si>
    <t>Porcelain Tiles Skirting
(Refer Specs. Section # 9300)
Providing and laying Porcelain Tiles skirting using 24"x 4" high (colour and shade as approved by the Architect) to be laid over 1/2" thick cement sand  scratched  plaster   1:5  (1-cement,  5-fine sand) including setting the tiles with gray cement slurry   jointing,  cutting,  washing  the  tiles  with matching   colour   cement   slurry,   curing   and cleaning etc., complete as per drawing and as directed by the Consultants.</t>
  </si>
  <si>
    <t>Office Area</t>
  </si>
  <si>
    <t>38A+B
+B/56</t>
  </si>
  <si>
    <t>External Painting / Weather Shield  (Refer Specs. Section # 9900)
Preparing the surface and painting with weather coat I/c rubbing the surface with rubbing brick /sand Paper,filling the voids with chalk/ plaster of Paris and then painting with weather coat of approved make. Three Coats</t>
  </si>
  <si>
    <t>2b/2Sft.,
Page 7</t>
  </si>
  <si>
    <t>Vanity Mirror 
Providing  and  fixing  imported  Mirror  6mm  thick having 1" Dia. Stainless Steel Studd to be screwed on  Toilet  wall  complete  in  all  respects  as  per drawings and as directed by the Consultants.</t>
  </si>
  <si>
    <t>Matt Porcelain Tile Flooring.
(Refer Specs. Section #. 9300)</t>
  </si>
  <si>
    <t>25/43</t>
  </si>
  <si>
    <t>laying floors of approved coloured glazed tiles 1/4" thick laid in white cement and pigment on a bed of 3/4" thick cement mortar 1:2.</t>
  </si>
  <si>
    <t>Office Area (24"x24")</t>
  </si>
  <si>
    <t>Kitchen (12"x12")</t>
  </si>
  <si>
    <t>Toilet Area (12"x12")</t>
  </si>
  <si>
    <t>28/43</t>
  </si>
  <si>
    <t>Marble Steps for Staircase (Refer Specs. Section #. 9630)
Laying white marble flooring fine dressed on the surface without winding set in lime mortar 1:2 including rubbing and polishing of the joints.</t>
  </si>
  <si>
    <t>Tread / Landing</t>
  </si>
  <si>
    <t>6bi+c/16</t>
  </si>
  <si>
    <t>Concrete Window Sill 
(Refer Specs. Section # 3400)
Reinforced cement concrete work including all labour and material except the cost of steel reinforcement and its labour for bending and binding which will be paid separately. This rate also includes all kinds of forms moulds: lifting shuttering curing rendering and finishing the-exposed surface (including screening and washing of shingle.)
Precast reinforced cement concrete in columns, beams lintels stair cases, shelves, etc.
Erecting and fixing in position precast cement concrete or stone slab in roofs or Lintels, etc, lift upto 20 feet including all charges. Ratio 1 : 2: 4</t>
  </si>
  <si>
    <t>R.C.C. Vanity Slab
(Refer Specs. Section # 3300)
Reinforced cement concrete work including all labour and material except the cost of steel reinforcement and its labour for bending and binding which will be paid separately. This rate also includes all kinds of forms moulds: lifting shuttering curing rendering and finishing the-exposed surface (including screening and washing of shingle.)
Precast reinforced cement concrete in columns, beams lintels stair cases, shelves, etc.
Erecting and fixing in position precast cement concrete or stone slab in roofs or Lintels, etc, lift upto 20 feet including all charges. Ratio 1 : 2: 4</t>
  </si>
  <si>
    <t>NON-SCHEDULE ITEMS</t>
  </si>
  <si>
    <t>MR</t>
  </si>
  <si>
    <t>Ramed Earth Reinforced Wall / Column (Refer Spec's Section # 3330)
Providing  and  laying  12"  thick  Solid  Rammed  Earth Reinforced Wall to be made-up of a damp mixture of approved    soil,    cement,    pigment    (Bayer)    and admixtures blend to be consistant for all work and to be poured  into  an  external  supported  Torsion  box  that moulds the shape of a wall section creating a solid wall of earth. Wall to be reinforced horizontally and vertically with  steel  bars  as  shown  on  drawings.  The  wall  to  be built verticaly in layers not excceding 12" in height well rammed    /    compressed    (mechanically)    including consolidation,   curing,   removal   of   form   work   etc. Complete   as   per   Drawings,   Specifications   and   as directed by the Consultants.
(Including Steel bars)</t>
  </si>
  <si>
    <t xml:space="preserve">                                                                                                                     </t>
  </si>
  <si>
    <t>Above Grade</t>
  </si>
  <si>
    <t>Ramed Earth Wall Cladding
(Refer Specs. Section # 3330, 4050 &amp; 4200)
Providing and laying 5" thick Solid Rammed Earth Wall cladding  on  already  laid  block  walls  insulated  with  2 1/2"  thick  insulation  board  factory  applied  facing  of Aluminum  or  Kraft  paper  including  metal  lathing  to board to be made-up of a damp mixture of  approved soil, cement, pigment (Bayer) and admixtures blend to be  consistant  for  all  work  and  to  be  poured  into  an external supported Torsion box that moulds the shape of a wall section creating a solid wall of earth. The wall to be built verticaly in layers not excceding 12" in height well  rammed  /  compressed  (mechanically)  including consolidation,   curing,   removal   of   form   work   etc. complete   as   per   Drawings,   Specifications   and   as
directed by the Consultants. (Including Steel bars)</t>
  </si>
  <si>
    <t>Base Cabinet with Marble Top (Refer Spec's Section # 6400)
Providing,  making  and  fixing  wooden  base  cabinet using 3/4" thick Partex board top,  adjustable shelves, drawer   and   shutter   with   white    textured   formica topping  and  3/4"  x  3/8"  thick  Ash  wood  lipping  on edges, including  pre-polished half round edge sharah beige marble top. All Ash wood surface to be finished with    clear    lacquer    polish,    including    approved hardware,   hinges,   handles   etc.   complete   as   per drawings and as directed by the Consultants.</t>
  </si>
  <si>
    <t>Upper Cabinet
(Refer Spec's Section # 6400)
Providing,  making  and  fixing  wooden  upper  cabinet using   3/4"   thick   Partex   board   with   white   textured formica  topping  and  Ash  wood  lipping  to  exposed edges  including  adjustable  shelving.  All  Ash  wood surface   to   be   finished   with   clear   lacquer   polish, including  approved  hardware,  hinges,  handles  etc. complete  as  per  drawings  and  as  directed  by  the Consultants.</t>
  </si>
  <si>
    <t>Water Proofing for Wet Areas (Refer Spec's Section # 7100)
Providing and applying Acrylic based water Proofing, Brush   bond   of   FOSROC   or   Brushcrete   of   FEB   or approved  equivalent  in  two  coats  including  primer coat. Complete as per drawing and as directed by the Consultants</t>
  </si>
  <si>
    <t>Roofing Treatment
(Refer Spec's Section #  7560)
Providing  and  laying  2" thick heavy density polystyrene board ( 32 kg/cum)  insulation  over  bitumen,  hcomplete   as   per drawing and as directed by the Consultant.</t>
  </si>
  <si>
    <t>Sealant (Pointing Mastics) (Refer Spec's Section # 7900)
Providing    and    applying    sealant    of    approved manufacturer  to  provide  a  positive  barrier  against penetration   of   air   and   moisture   at   periphery   of Aluminum/Wooden  Doors,  Windows  and  Ventilators and wherever required as directed by the Consultant.</t>
  </si>
  <si>
    <t>Frame less Glass Door
(Refer Spec's Section # 8800)
Providing and fixing  frame less  glass door using 12mm   thick   imported   clear   Tempered   glass shutter  having   custom  made  S.S.  /  ash  wood handles   on   both   faces   including   imported concealed pivot hinges, imported door lock with all  necessary  fixing  arrangement,  all  wooden surface to be finished with clear lacquer polish, complete as per drawing and as directed by the Consultants.</t>
  </si>
  <si>
    <t>6'-0" x 8'-0"</t>
  </si>
  <si>
    <t>3'-0" x 8'-0"</t>
  </si>
  <si>
    <t>Fixed Glazing (External) (Refer Spec's Section # 8800)
Providing    and    fixing    8mm    thick    imported
tampered  clear  glass  to  be  fixed  with  4"  x  2" approved  natural  anodized   aluminium  frame including   hardware   and   all   necessary   fixing arrangements. Complete as per drawing and as
directed by the Consultant</t>
  </si>
  <si>
    <t>Marble Vanity Top with Apron (Refer Specs. Section # 9630 )
Providing   and   laying   Pre-polished   (Chemical polished)  3/4"  thick   Verona  Marble  vanity  top (Colour   and    shade   as    approved    by   the Architect) having bull nose to be laid over 3/4" thick  C.C.  bed  on  R.C.C.  vanity  slab  including 1/2"  thick  plaster  on  vanity  R.C.C.  slab  bottom side, complete as per drawing and as directed</t>
  </si>
  <si>
    <t>Plane Gypsum Board  Ceiling/Bulkhead (Refer Spec's Section # 9250)
Providing and fixing suspended ceiling using 1/2" thick   tapered   edge   gypsum   board   ceiling Bulkhead      including      suspension      systems, attachment  devices,  hangers,  edge  mouldings, trim clips and trimming and any  extra hangers as required,   including   making   provision   for   light fixtures  etc.,  complete  as  per  drawings  and  as directed by the Consultants.</t>
  </si>
  <si>
    <t>Stone Coping
(Refer Specs. Section # 9630 )
Providing and fixing  18" x  3" thick  Stone coping on  parapet  top   to  be  laid  on  cement  sand mortar  including  setting  with  maching  cement slurry  and  jointing/washing  the  ledges,  curing and  cleaning  etc.  Complete  as  per  Drawings, and as directed by the Consultants.</t>
  </si>
  <si>
    <t>Precast Water Spout
(Refer Specs. Section # 3400)
Providing and fixing rain water spout on top roof and making channel from roof to Ground Floor on   wall.Complete   as   per   drawings   and   as directed by the Consultants.</t>
  </si>
  <si>
    <t>Each.</t>
  </si>
  <si>
    <t>Aii - STAFF BUILDING (CIVIL)</t>
  </si>
  <si>
    <t>Termite Proofing
(Refer Spec's Section # 2360)
Providing Anti-termmite by spraying/sprinkling/spreading Neptachlar 0.5% Emulsion as on overall pre-construction treatment in slab type construction under the slab and along attached perches or entrances etc, complete as per directions of Engineer Incharge.</t>
  </si>
  <si>
    <t>Earth Filling
(Refer Spec's  Section # 2300)
Earth work compaction (Soft, ordinary or hard soil).
Laying earth in 6" layers levelling % 0Cft.dressing and watering for compactionb etc. complete.</t>
  </si>
  <si>
    <t>Earth Filling Brough from out Side
(Refer Spec's  Section # 2300)
Filling,watering and ramming earth under floor with new earth (Excavated from outside) lead upto one chain and lift upto 5 feet.</t>
  </si>
  <si>
    <t>1:9 Sub - Floor
(Refer Specs. Section # 3300)
Cement concrete plain including placing compacting, finishing and curing, complete (including screening and washing at stone aggregate without shuttering.
Ratio. 1:3 :6</t>
  </si>
  <si>
    <t>Reinforced Cement Concrete  (f'c 3.0 ksi, Cylindrical  Strength) (Refer Specs. Section # 3300)
Providing and laying reinforced cement concrete having 3000 PSI cylindrical strength (ready mixed concrete) including all kinds of fromwork, hoisting, placing, placing compacting, finishing, curing complete in all repect as shown on the Drawing</t>
  </si>
  <si>
    <t>Reinforced cement concrete work including all labour and material except the cost of steel reinforcement and its labour for bending and binding which will be paid separately. This rate also includes all kinds of forms moulds: lifting shuttering curing rendering and finishing the-exposed surface (including screening  and washing of shingle.)
R.C work in roof slab, beams columns rafts, lintels and other structural members laid in situ or precast laid in position complete in all respects.
Ratio (1: 2: 4) 90 Lbs.cement 2 Cft. Sand 4 Cft. Shingle 1/8" to 1/4" gauge.</t>
  </si>
  <si>
    <t>SOG</t>
  </si>
  <si>
    <t>Beam</t>
  </si>
  <si>
    <t>6"thick</t>
  </si>
  <si>
    <t>4"thick</t>
  </si>
  <si>
    <t>Reinforcement Bars
(Refer Specs. Section # 3300)
Fabrication of mild steel reinforcement for cement concrete including cutting,bending,laying in position, making joints and fastenings including cost of binding wire (also includes removeal of rast of bars.</t>
  </si>
  <si>
    <t>Block Masonry
(Refer Spec's Section # 4050 &amp; 4200)
Providing and laying solid concrete block wall (having strength  800  psi  minimum)  laid  in  1:4  cement  mortar including  curing,raking  out  of  joints  etc,  complete  as per drawings and as directed by the Consultants.</t>
  </si>
  <si>
    <t>8" thick</t>
  </si>
  <si>
    <t>Entrance Steps
(Refer Spec's Section # 4050 &amp; 4200)
Providing and laying  1:3:6 C.C solid blocks 6" x 8" x 12" for entrance steps laid in mortar  1:6 (1 - cement 6 - fine sand ) with levelling, curing etc. complete as per drawing and as directed by the Consultants.</t>
  </si>
  <si>
    <t>Damp Proof Course (Bitumen Coating). (Refer Spec's Section # 7100)
Providing  and  applying  1/8"  thick  damp  proof  course using  AHS  hycarb  bitumen  (60  lbs/100  Sft)  on  top  of interior   and   exterior   Plinth   beams,   complete   as   per
drawing and as directed by the Consultants.</t>
  </si>
  <si>
    <t>Bitumen Coating
(Refer Spec's Section # 7100)
Bitumen coating to plastered or cement concrete surface.</t>
  </si>
  <si>
    <t>Water Proofing Under SOG  (Refer Spec's Section # 7100)
Providing and laying single per layer of polythene sheet 0.13 mm thick for water proffing as per specification and instructions of Engineer incharge.</t>
  </si>
  <si>
    <t>Metal Door Frames 
(Refer Spec's Section # 8100)
Providing,  fabricating  and  fixing   hollow  metal frame  for  doors  using  16  gauge  pressed  sheet metal.  Frames  to  be  fabricated  by  continuous welding,   reinforcement   for   hinge,   lock   and closer,  frames  to  be  filled  with  cement  sand mortar  (1:6)  including  anchoring  as  per  details finish with zinc chromate at workshop and with approved    enamel    paint    after    installation. Provisions for installation of all hardware shall be made in the frame.</t>
  </si>
  <si>
    <t>Size: 10" x 2"</t>
  </si>
  <si>
    <t>D1   = 3'-3" x 7'-0" (Bed Rooms and Lounge)</t>
  </si>
  <si>
    <t>D2 = 2"-9" x 7'-0" (Kitchen and Toilet)</t>
  </si>
  <si>
    <t>84a/108</t>
  </si>
  <si>
    <t>Matt Porcelain Tile Flooring. (Refer Specs. Section #. 9300)
laying floors of approved coloured glazed tiles 1/4" thick laid in white cement and pigment on a bed of 3/4" thick cement mortar 1:2.</t>
  </si>
  <si>
    <t>12" x 12" Kitchen</t>
  </si>
  <si>
    <t>24" x 12" Toilet / Powder</t>
  </si>
  <si>
    <t>24"x 12" Toilet  (Matt Finish)</t>
  </si>
  <si>
    <t>4"x 4" Kitchen (Polished Finish)</t>
  </si>
  <si>
    <t>Porcelain Tiles Skirting
(Refer Specs. Section # 9300)
Providing  and  laying  Porcelain  tiles  Skirting  4"  High  over 1/2" thick cement sand scretched plaster 1:4   (1- cement, 4-fine sand) including setting the tiles with white  cement slurry  and  jointing/washing  the  tiles  with  white  cement slurry   in   required   shade,   curing   and   cleaning   etc. Complete in all respect as per drawings and as directed by the Consultants.</t>
  </si>
  <si>
    <t>Cement Concrete Floor (Refer Specs. Section # 9740)
Cement concrete plain including placing compacting, finishing and curing, complete (including screening and washing at stone aggregate without shuttering.
Ratio. 1:3 :6</t>
  </si>
  <si>
    <t>16(d/0.25) 
/ 42</t>
  </si>
  <si>
    <t>Cement Concrete finish for Staircase (Refer Specs. Section # 9740)
Providing and laying cement concrete 1:6 ( 1 - cement, 6 graded screened bajri 3/8" and down gauge) for cement concrete finish of staircase laid in level/slope as required including  consolidating,  curing   etc.  complete   as  per drawing and as directed by the Consultants.</t>
  </si>
  <si>
    <t>Vanity Mirror 
Providing and fixing imported Mirror 6mm thick having 1" Dia.  Stainless  Steel  Studd  to  be  screwed  on  Toilet  wall complete in all respects as per drawings and as directed by the Consultants.</t>
  </si>
  <si>
    <t>Concrete Window Sill
(Refer Specs. Section # 3400) 
Reinforced cement concrete work including all labour and material except the cost of steel reinforcement and its labour for bending and binding which will be paid separately. This rate also includes all kinds of forms moulds: lifting shuttering curing rendering and finishing the-exposed surface (including screening and washing of shingle.)
Precast reinforced cement concrete in columns, beams lintels stair cases, shelves, etc.
Erecting and fixing in position precast cement concrete or stone slab in roofs or Lintels, etc, lift upto 20 feet including all charges. Ratio 1 : 2: 4</t>
  </si>
  <si>
    <t>Ramed Earth Reinforced Wall / Column (Refer Spec's Section # 3330)
Providing and laying 12" thick Solid Rammed Earth Reinforced Wall to be made-up of a damp mixture of   approved  soil,  cement,  pigment  (Bayer)  and admixtures blend to be consistant for all work and to be poured into an external supported Torsion box that moulds the shape of a wall section creating a solid wall of earth. Wall to be reinforced horizontally and vertically with steel bars as shown on drawings. The wall to be built verticaly in layers not excceding 12"    in    height    well    rammed    /    compressed (mechanically)    including    consolidation,    curing, removal   of   form   work   etc.   Complete   as   per Drawings,  Specifications  and  as  directed  by  the Consultants.
(Including Steel bars)</t>
  </si>
  <si>
    <t>Ramed Earth Wall Cladding
(Refer Specs. Section # 3330, 4050 &amp; 4200)
Providing  and  laying  5"  thick  Solid  Rammed  Earth Wall cladding on already laid block walls insulated with  2  1/2"  thick  insulation  board  factory  applied facing of Aluminum or Kraft paper including metal lathing to board to be made-up of a damp mixture of   approved  soil,  cement,  pigment  (Bayer)  and admixtures blend to be consistant for all work and to be poured into an external supported Torsion box that moulds the shape of a wall section creating a solid wall of earth. The wall to be built verticaly in layers  not  excceding  12"  in  height  well  rammed  / compressed (mechanically) including consolidation,  curing,  removal  of  form  work  etc. complete  as  per  Drawings,  Specifications  and  as directed by the Consultants. (Including Steel bars)</t>
  </si>
  <si>
    <t>Base Cabinet with Marble Top for Kitchen (Refer Spec's Section # 6400)
Providing, making and fixing wooden base cabinet using 3/4"  thick  Partex  board  top,   adjustable  shelves,  drawer and shutter with white  textured formica topping and 3/4" x  3/8"  thick  Ash   wood  lipping  on  edges,  including   pre- polished   half   round   edge   marble   top.   All   Ash   wood surface to be finished with clear lacquer polish, including approved hardware, hinges, handles etc. complete as per drawings and as directed by the Consultants.</t>
  </si>
  <si>
    <t>Upper Cabinet for Kitchen (Refer Spec's Section # 6400)
Providing, making and fixing wooden upper cabinet using 3/4"   thick   Partex   board   with   white   textured   formica topping and Ash wood lipping to exposed edges including adjustable  shelving.  All  Ash  wood  surface  to  be  finished with  clear  lacquer  polish,  including  approved  hardware, hinges,  handles  etc.  complete  as  per  drawings  and  as directed by the Consultants.</t>
  </si>
  <si>
    <t>Water Proofing for Wet Areas (Refer Spec's Section # 7100)
Providing  and  applying  Acrylic  based  water  Proofing, Brush bond of FOSROC or Brushcrete of FEB or approved equivalent in two coats including primer coat. Complete as per drawing and as directed by the Consultants.</t>
  </si>
  <si>
    <t>Roofing Treatment
(Refer Spec's Section # 7560)
Providing  and  laying  roofing  treatment  over  flat  roof consisting of laying 2" thick (average) C.C. 1:2:4 screed laid in required slope, applying hot bitumen of grade 80- 100 having coverage of 60lbs/100 Sft over screed icluding 2"  thick  heavy  density  polystyrene  board  (  32  kg/cum) insulation  over  bitumen,  having  6  mill  thick  polythene sheet  over  polystyrene  board,  and  finally  laying  12"x12" Clay  Tile  finished,  complete  as  per  drawing  and  as directed by the Consultant.</t>
  </si>
  <si>
    <t>Sealant (Pointing Mastics) (Refer Spec's Section # 7900)
Providing     and     applying     sealant     of     approved manufacturer   to   provide   a   positive   barrier   against penetration   of   air   and   moisture   at   periphery   of Aluminum/Wooden Doors, Windows and Ventilators and wherever required as directed by the Consultant.</t>
  </si>
  <si>
    <t>Precast Water Spout
(Refer Specs. Section # 3400)
Providing  and  fixing  rain  water  spout  on  top  roof  and making    channel    from    roof    to    Ground    Floor    on wall.Complete  as  per  drawings  and  as  directed  by  the Consultants.</t>
  </si>
  <si>
    <t>Marble Vanity Top with Apron
.
Providing  and  laying  Pre-polished  (Chemical  polished) 3/4" thick  Verona Marble vanity top (Colour and shade as approved  by  the  Architect)  having  bull  nose  to  be  laid over 3/4" thick C.C. bed on R.C.C. vanity  slab including 1/2"  thick  plaster  on  vanity  R.C.C.  slab  bottom  side, complete   as   per   drawing   and   as   directed   by   the Consultants.</t>
  </si>
  <si>
    <t>Stone Coping
(Refer Specs. Section # 9630)
Providing and fixing 18" x 3" thick Stone coping on parapet top  to be laid on cement sand mortar including setting with  maching  cement  slurry  and  jointing/washing  the ledges,   curing   and   cleaning   etc.   Complete   as   per Drawings, and as directed by the Consultants.</t>
  </si>
  <si>
    <t>Aii - AUDOTORIUM (CIVIL)</t>
  </si>
  <si>
    <t>Earth Filling Compaction &amp; layers
(Refer Spec's  Section # 2300)
Earth work compaction (Soft, ordinary or hard soil).
Laying earth in 6" layers levelling % 0Cft.dressing and watering for compactionb etc. complete.</t>
  </si>
  <si>
    <t>102/ 112</t>
  </si>
  <si>
    <t xml:space="preserve">Reinforced Cement Concrete  (f'c 4.0 ksi, Cylindrical  Strength) 
Providing and laying reinforced cement concrete having 4000 PSI cylindrical strength (ready mixed concrete) including all kinds of fromwork, hoisting, placing, placing compacting, finishing, curing complete in all repect as shown on the </t>
  </si>
  <si>
    <t xml:space="preserve">Reinforced Cement Concrete  (f'c 3.0 ksi, Cylindrical  Strength) 
Providing and laying reinforced cement concrete having 3000 PSI cylindrical strength (ready mixed concrete) including all kinds of fromwork, hoisting, placing, placing compacting, finishing, curing complete in all repect as shown on the </t>
  </si>
  <si>
    <t>Providing &amp; fixing Louver gate complete n all respect or as per design approved by Engineer in charge.</t>
  </si>
  <si>
    <t>Providing &amp; fixing Louver ventilator complete in all respect or as per design approved by Engineer in charge.</t>
  </si>
  <si>
    <t>83/108</t>
  </si>
  <si>
    <t>Aluminum Doors
Providing  and  fixing inposition aluminum  channels framing for hinged doors or alcop made with 5mm thick tinted glass glazing (Belgium) and alpha (Japan) locks i.c handles , stopers etc. Deluxe model (Bronze)</t>
  </si>
  <si>
    <t>60/66</t>
  </si>
  <si>
    <t>Providing and fixing with sunk iron screws Wooden Architrave approved design/shape having width not less than 2-1/2 inchesas
directed by Engineer Incharge.</t>
  </si>
  <si>
    <t>7/71</t>
  </si>
  <si>
    <t>French polishing complete.</t>
  </si>
  <si>
    <t>61/66</t>
  </si>
  <si>
    <t>Providing and fixing Aluminum sheet on doors pasted with glue as per requirement</t>
  </si>
  <si>
    <t>Matt Enamel Paint (Refer Specs. Section # 9900)
Preparing the surface and painting with matt finish I/c rubbing the surface with Bathy (silicon carbide rubbing brick) filling the voids with zink/chalk/ plaster of paris mixture, applying first coat premix, making the surface smooth and then painting 3 coats  with matt finish of approved make etc: complete .(new surface). Three Coats</t>
  </si>
  <si>
    <t>Plastic Emulsion Paint(Refer Specs. Section # 9900)
Preparing the surface and painting with plastic emulsion paint of approved make  I/c rubbing the surface with sand Paper,filling the voids with chalk/ plaster of paris and then painting etc complete.Three Coats</t>
  </si>
  <si>
    <t>Porcelain /Ceramic Tiles Dado 
Glazed tile dado 1/4" thick laid in pigment over 1:2 cement sand mortar 3/4" thick including finishing.</t>
  </si>
  <si>
    <t>Porcelain / Ceramic Tile Flooring.</t>
  </si>
  <si>
    <t>59/47</t>
  </si>
  <si>
    <t>Coloured cement tiles (Pattern 12" x 12" x 1" of approved shade and pattern laid flat in 1:2 grey cement mortar over a bed of
3/4" thick grey cement mortar 1:2.</t>
  </si>
  <si>
    <t>16/42</t>
  </si>
  <si>
    <t>Providing and laying topping of cement concrete (1:2:4 ) including Surface finishing and dividiing into panels:</t>
  </si>
  <si>
    <t>30/43</t>
  </si>
  <si>
    <t>Deodar wood boarding of strips flooring 3/4" thick(flooring 3/4" thick (sawn to required sizes) tongued and groved or spalyed rebated fixed with brass screws on deodar wood battens 1 1/2" x 2" placed at 12" c/c inclding two coats of bitumen laid hot on the base.</t>
  </si>
  <si>
    <t>14/16</t>
  </si>
  <si>
    <t>Providing &amp; fixing Precast Kerb Block 3750 PSI Industrial Made Size 6 inches thick x 12 inches long x 18 inches high including the cost of Cartage, excavation, form Work for haunching, 1450 PSI lean concrete, 2250 PSI concrete for haunching, 1:4 cement sand mortor.</t>
  </si>
  <si>
    <t>40/38</t>
  </si>
  <si>
    <t>Khaprial (Manglore) Tiles 15" * 8" *1-1/2" of approved design/ shape laid flat in 1:2 grey cement mortar over a bed of 3/4"thick grey cement mortar 1:2.</t>
  </si>
  <si>
    <t>Providing and laying Copping of cement concrete (1:2:4 ) including Surface finishing and dividiing into panels:</t>
  </si>
  <si>
    <t>30b/62</t>
  </si>
  <si>
    <t>Hard wood railing of any shape and design including bends and corners fixed in position including polishing complete as directed by Engineer Incharge.  Teak Wood</t>
  </si>
  <si>
    <t>6c+6iib/17</t>
  </si>
  <si>
    <t>Reinforced cement concrete work including all labour and material except the cost of steel reinforcement and its labour for bending and binding which will be paid separately. This rate
also includes all kinds of forms moulds, lifting, centering, shuttering and curing. (including screening and washing of shingle.)</t>
  </si>
  <si>
    <t>R.C.C work in roof slab, beams, column, rafts, lintels and other structural members laid in situ or precast laid in position complete in all respects. Erecting and fixing in position precast cement concrete or stone charges. slab in roofs or lintels,
etc, lift upto 20 feet including all charges.</t>
  </si>
  <si>
    <t>Providing and laying topping of cement concrete (1:2:4 ) including Surface finishing and dividiing into panels: Roof Screed</t>
  </si>
  <si>
    <t>Insulation Supply and fix, Poly Extruded board (like Jumbolon etc or equivalent) 50 mm thick density 32-35 Kg /m3, fixed on as roof insulation with ship lap edges having size of sheet 600 x 1250 mm, all as specified</t>
  </si>
  <si>
    <t>Providing and laying, 20/22mm thick white / coloured marble slabs(except green and yellow) exc 900 sqcm each, but not exceeding 1.00 sqm each, on walls and floors, laid jointed and grouted with white / coloured cement ( 1:2 ), incl rubbing, chemical polishing, complete.</t>
  </si>
  <si>
    <t>Supply and fixing LGS framing .06 sheet with 12mm FCB and leather on wall complete in all respect as shown on the drawings / design or as per architect nstructions.</t>
  </si>
  <si>
    <t>Providing and laying, 20 mm thick Granite marble in Coloured/Pattern Imported, European-origin (Italy or equivalent) polished complete as in floors,steps, walls and kitchen tops etc, laid and jointed in white/coloured cement (1:2), complete</t>
  </si>
  <si>
    <t>Providing and laying Bisazza tiles ;25 mm x 25 mm : "Series Italy" or approved equivalent;; 75mm thick bedding in mortar (1:4) on render and cement toppings; pointed with coloured grout including all fixing accessories; to overall approved thickness to match floor finish level.</t>
  </si>
  <si>
    <t>Providing and installation of Pre-cast Architectural facing wall as per design using crushed stone 'B' type {3000 Psi) fairface concrete, using Polyurethylene rubberised mould lining / steel mould as per Engineer's approval including supply and fix XPM (expended metal) 38mm x 44 mm mesh (18 gauge) BRC fabric weld-mesh binding with 14 SWG wire, complete in all respect.</t>
  </si>
  <si>
    <t>Aiv - EXTERNAL DEVELOPMENT (CIVIL)</t>
  </si>
  <si>
    <t>SFT</t>
  </si>
  <si>
    <t>Stone Soling
(Refer Spec's  Section # 2505)
Providing  and  and  laying   stone  soling  with  broken stones  and  filling  the  voids  with  stone  metal  3/4"  to  1 1/2"   size   and   fine   sand,   well   rammed,   watered, consolidated    and    compacted    with    mechanical means. complete as per drawing and as directed by the Consultant</t>
  </si>
  <si>
    <t>Stone filling dry hand packed as filling behind retaining walls or in pitching and aprons.</t>
  </si>
  <si>
    <t>13A / 5</t>
  </si>
  <si>
    <t>Water Bound Maccadum (For Road)
Providing  &amp;  laying  Water  Bound  Maccadum  with  the following items:
Spread Stone Ballast (Avg. size 2"), the loose material to be 4" in thickness and roll with 3-passes of 10 ton roller.
Spread   excavated   clay   on   stone   ballast.   Keep spreading the clay untill the clay fills all voids.
Ensure that the earth does not cover the stone ballast, if it does - broom finish the surface. Stone ballast should remain visible all the time.
Sprinkle  water  in  small  quantity  so  that  clay  layer becomes damp. Start compaction with 10 ton roller.
Add more clay, Sprinkle water &amp; compact untill move of the roller squeezez water out of  WBM.
Repeat steps (i) to (v) to achieve total thickness.
All   above   to   be   taken   as   a   complete   job   in accordance with relevant drawings and as directed by
the Consultants.</t>
  </si>
  <si>
    <t>5(i) / 16</t>
  </si>
  <si>
    <t>Reinforced Cement Concrete (f'c 3.0 ksi, Cylindrical  Strength) (Refer Specs. Section # 3300)
Reinforced cement concrete work including all labour and material except the cost of steel reinforcement and its labour for bending and binding which will be paid separately. This rate also includes all kinds of forms moulds: lifting shuttering curing rendering and finishing the-exposed surface (including screening  and washing of shingle.)
R.C work in roof slab, beams columns rafts, lintels and other structural members laid in situ or precast laid in position complete in all respects.
Ratio (1: 2: 4) 90 Lbs.cement 2 Cft. Sand 4 Cft. Shingle 1/8" to 1/4" gauge.</t>
  </si>
  <si>
    <t>Upto Plinth Level (Using S.R. Cement)</t>
  </si>
  <si>
    <t>SOG 4" Thick</t>
  </si>
  <si>
    <t>Slab (6"thick)</t>
  </si>
  <si>
    <t>73 / 50</t>
  </si>
  <si>
    <t>Providing &amp; Fixing cement paving blocks flooring having size of 197 x 97 x 80 (mm) of City / Qudra / cobble shape with natural colours, having strength b/ w 5000 Psi to 8500 psi i/c filling the joints with hill sand and laying in specified manner / pattern and design etc: complete.</t>
  </si>
  <si>
    <t>Sqft</t>
  </si>
  <si>
    <t>Structural Steel Work
(Refer Spec's Section # 5120 &amp; 5500)
Providing,  fabricating and  fixing  Structural  Steel   using
M.S.  Girders/  Angles  /  Base  plates  /  Gusset  Plates  / Chequered   Plates   /   V-Plate   all   kind   of   Bolts   etc, welded properly with each other. (All welded joints to be  grinded  properly  to  have  smooth  finish:  All  M.S. members shall have sprayed-on Enamel paint finish over a base coat of Zinc chromate)  including all necessary hardware   and   fixing   arrangements   as   shown   on Drawings  /  Details,  Specifications  and  as  directed  by the Consultants.</t>
  </si>
  <si>
    <t>For Photo Volatile Solar System</t>
  </si>
  <si>
    <t>M.S. Gates 
(Refer Spec's Section # 5120 &amp; 5500)
Providing,  fabricating  and  fixing  Metal  gates  frame hollow tube vertical posts at each ends. The shutter to be  made  up   horizonital  M.S.  solid  bar  @  4"  equal distances, welded with vertical post. 1" x 1" vertical M.S. solid bars to be inserted &amp; welded in horizontal bar holes @ 4" c/c.  with all necessary fixing arrangements, wheel, stainless    steel    track,    Lock,    flanges    &amp;    anchor bolts.Including applying 2 coats of approved color zinc chromate. complete in all respect as per drawings &amp; as directed by the consultant.</t>
  </si>
  <si>
    <t>8/95</t>
  </si>
  <si>
    <t>Barbed wire
(Refer Spec's Section # 5120 &amp; 5500)
Providing , fabricating and fixing barbed wire on outer periphery,  using  2''  x  2''x  1/4"thick  M.S.  angle (vertical) @ 10'-0" c/c and barbed wire (horizontal) @ 9" c/c.    fixed  with  M.S.  angle  including  all  necessary hardware and fixing arrangemnts as per drawings and
as directed by the Consultants.</t>
  </si>
  <si>
    <t>Damp Proof Course (Bitumen Coating). (Refer Specs. Section # 7100)
Providing and applying 1/8" thick damp proof course using AHS hycarb bitumen (60 lbs/100 Sft) on top of interior  and  exterior  Plinth  beams,  complete  as  per drawing and as directed by the Consultants.</t>
  </si>
  <si>
    <t>Bitumen Coating 
(Refer Specs. Section # 7100)
Bitumen coating to plastered or cement concrete surface.</t>
  </si>
  <si>
    <t>Water Proofing Under SOG / Rip Rap Stone Floor (Refer Specs. Section # 7100)
Providing and applying hot bitumen of grade 80-100 having   coverage   of   60lbs/100   Sft   over   screed icluding  6  mill  thick  polythene  sheet  over  bitumen coating, complete as per drawing and as directed
by the Consultant</t>
  </si>
  <si>
    <t>Under SOG</t>
  </si>
  <si>
    <t>Under Stone Floor</t>
  </si>
  <si>
    <t>28 / 93</t>
  </si>
  <si>
    <t>Metal Door Frames 
(Refer Specs. Section # 8100)
Provinding and fixing G.I frames/Choukhats of size 7" x 2" or 4 1/2" x 3" for windows using 20 guage G.I sheet I/c welded hinges and fixing at site with necessary hold fasts, filling with cement sand slurry of ratio 1:6 and repairing the jambs. The cost also i/c all carriage, tools and plants used in making and fixing.</t>
  </si>
  <si>
    <t>Solid Core Door  
(Refer Specs. Section # 8200)
Providing and fixing in position doors, windows and ventilators of 1st. Class deodar wood frames and 1-1/2" thick Teak wood ply shutters of 2nd class deodar wood skeleton (solid) styles and rails core of partal wood and Teak ply wood  (3-ply) on both sides i/c hold fasts, hinges, iron tower bolts, handles and cleats with cord etc. complete.</t>
  </si>
  <si>
    <t>Glazed Porcelain Tiles Dado (Refer Specs. Section # 9300)
Providing  and  laying  Porcelain  Tiles  dado  using following  sizes  (colour  and  shade as  approved by the  Architect)  to  be  laid  over  1/2"  thick  cement sand scratched plaster  1:5 (1-cement, 5-fine sand) including  setting  the  tiles  with  grey  cement  slurry jointing,  cutting,  washing  the  tiles  with  matching colour  cement  slurry,  curing  and  cleaning  etc., complete  as  per  drawing  and  as  directed  by  the</t>
  </si>
  <si>
    <t>Matt Porcelain Tile Flooring. (Refer Specs. Section #. 9300)
Providing   and   laying   porcelain   tiles   floor  using following  sizes  Matt  finish  (Colour  and  shade  as approved  by  the  Architect)  to  be  laid  over  2 3/4"thick cement sand (1:5) mortar bed   including setting and  jointing and washing the tiles with white cement slurry etc. as per drawings and as directed
by the Consultants</t>
  </si>
  <si>
    <t>8" x 8" toilet</t>
  </si>
  <si>
    <t xml:space="preserve">22 / 19 </t>
  </si>
  <si>
    <t xml:space="preserve">65 / 48 </t>
  </si>
  <si>
    <t>Washed Terrazo in Situ Flooring (Refer Specs. Section # 9400) 
Providing   and   laying   3/4"   thick   grey   cement Washed  Terrazo  laid  over  2"  thick  cement  sand mortar, Complete as per drawing, and as directed
by the Consultants.</t>
  </si>
  <si>
    <t>24/32</t>
  </si>
  <si>
    <t>Rip Rap Stone 
Stone Pitching hand packed with surface levelled off to the Correct Section with hammer dressed Stone and voids filled in 1:8 Cement mortar in floors of bridges and along hands and in aprons etc. including all lead and lift.</t>
  </si>
  <si>
    <t>1/67</t>
  </si>
  <si>
    <t>Excavation
(Refer Spec's  Section # 2300)
Excavation in foundation of Building Bridges and other structures including dagbelling dressing,refilling around structure with excavated earth Watering and ramming lead upto 5 ft.
In ordinary soil.</t>
  </si>
  <si>
    <t>Termite Proofing
(Refer Spec's Section # 2360)
Providing Anti-termmite by spraying/sprinkling/spreading Neptachlar 0.5% Emulsion as on overall pre-construction treatment in slab type construction under the slab and along attached perches or entrances etc, complete as per directions of Engineer Incharge</t>
  </si>
  <si>
    <t>Filling,watering and ramming earth under floor with new earth (Excavated from outside) lead upto one chain and lift upto 5 feet. Brough from out Side</t>
  </si>
  <si>
    <t>1:4:8 in Foundation
(Refer Specs. Section # 3300)
Cement concrete plain including placing compacting, finishing and curing, complete (including screening and washing at stone aggregate without shuttering.
Ratio. 1: 4 :8</t>
  </si>
  <si>
    <t>Reinforced Cement Concrete  (f'c 3.0 ksi, Cylindrical  Strength) (Refer Specs. Section # 3300)
Reinforced cement concrete work including all labour and material except the cost of steel reinforcement and its labour for bending and binding which will be paid separately. This rate also includes all kinds of forms moulds: lifting shuttering curing rendering and finishing the-exposed surface (including screening  and washing of shingle.)
R.C work in roof slab, beams columns rafts, lintels and other structural members laid in situ or precast laid in position complete in all respects.
Ratio (1: 2: 4) 90 Lbs.cement 2 Cft. Sand 4 Cft. Shingle 1/8" to 1/4" gauge.</t>
  </si>
  <si>
    <t>Block Masonry
(Refer Spec's Section # 4050 &amp; 4200)
Providing and laying 1 :3 : 6 Cement concrete solid Block masorany wall above 6" in thickness set. In 1 : 6 cement mortar in G.F ground floor superstructure including raking out joints &amp; curing etc,</t>
  </si>
  <si>
    <t>Internal Plaster
(Refer Specs. Section #.
 Cement Plaster 1:5 upto 12' height.</t>
  </si>
  <si>
    <t>Providing and fixing of boundary walll fence as per drawing complete in all respect.</t>
  </si>
  <si>
    <t>Ramed Earth Reinforced Wall / Column (Refer Spec's Section # 3330)
Providing  and  laying  12"  thick  Solid  Rammed Earth Reinforced Wall to be made-up of a damp mixture   of    approved   soil,   cement,   pigment (Bayer) and admixtures blend to be consistant for all  work  and  to  be  poured  into  an  external supported Torsion box that moulds the shape of a wall section creating a solid wall of earth. Wall to be reinforced horizontally and vertically with steel bars as shown on drawings. The wall to be built verticaly in layers not excceding 12" in height well rammed / compressed (mechanically) including consolidation, curing, removal of form work etc. Complete as per Drawings, Specifications and as directed by the Consultants.
(Including Steel bars)</t>
  </si>
  <si>
    <t>Ramed Earth Wall Cladding
(Refer Specs. Section # 3330, 4050 &amp; 4200)
Providing and laying 5" thick Solid Rammed Earth Wall   cladding   on   already   laid   block   walls insulated with 2 1/2" thick insulation board factory applied   facing   of   Aluminum   or   Kraft   paper including metal lathing to board to be made-up of  a  damp  mixture  of   approved  soil,  cement, pigment  (Bayer)  and  admixtures  blend  to  be consistant for all work and to be poured into an external  supported  Torsion  box  that  moulds  the shape  of  a  wall  section  creating  a  solid  wall  of earth. The wall to be built verticaly in layers not excceding    12"    in    height    well    rammed    / compressed          (mechanically)          including consolidation, curing, removal of form work etc. complete as per Drawings, Specifications and as directed   by   the   Consultants.   (Including   Steel
bars)</t>
  </si>
  <si>
    <t>Water Proofing for Wet Areas  (Refer Specs. Section # 7100)
Providing    and    applying    Acrylic    based    water Proofing, Brush bond of FOSROC or Brushcrete of FEB or   approved   equivalent   in   two   coats   including primer   coat.   Complete   as   per   drawing   and   as
directed by the Consultants</t>
  </si>
  <si>
    <t>Roofing Treatment
(Refer Specs. Section # 7560)
Providing  and  laying  roofing  treatment  over  flat  roof consisting of laying 2" thick (average) C.C. 1:2:4 screed laid in required slope, applying hot bitumen of grade 80- 100 having coverage of 60lbs/100 Sft over screed icluding 2"  thick  heavy  density  polystyrene  board  (  32  kg/cum) insulation  over  bitumen,  having  6  mill  thick  polythene sheet  over  polystyrene  board,  and  finally  laying  12"x12" Clay  Tile  finished,  complete  as  per  drawing  and  as directed by the Consultant.</t>
  </si>
  <si>
    <t>Sealant (Pointing Mastics) (Refer Specs. Section # 7900)
Providing    and    applying    sealant    of    approved manufacturer  to  provide  a  positive  barrier  against penetration  of  air  and  moisture  at  periphery  of Aluminum/Wooden  Doors,  Windows  and  Ventilators and    wherever    required    as    directed    by    the
Consultant</t>
  </si>
  <si>
    <t>Loose Gravel Filling
Providing and spreading  Loose Gravel filling 1 1/2" and 2" down gauge in c.c. channel, complete as per drawing and as directed by the Consultants.
(4" Thick Layer)</t>
  </si>
  <si>
    <t>PLANTATION
Providing   and   Planting   following   Trees   with making Pits and filling  Sweet Earth as approved by the Architect or Consultant.</t>
  </si>
  <si>
    <t>Ficus  9'-0" to 10'-0" high</t>
  </si>
  <si>
    <t>No</t>
  </si>
  <si>
    <t>Grass
Providing  and  Planting  Grass  and  manure  as approved  by  the  Architect  including  making burm where ever required including sweet earth filling  up  to 1'-0"  depth and as directed  by the Consultants</t>
  </si>
  <si>
    <t>Ground Cover
Providing   and   Planting   Ground   covers   and manure as approved by the Architect including sweet earth filling up to 9"depth and as directed by the Consultants.</t>
  </si>
  <si>
    <t>Chlerodendron
Providing   and   Planting   Chlerodendron   and manure as approved by the Architect including sweet   earth   filling   up   to   24"depth   and   as directed by the Consultants.</t>
  </si>
  <si>
    <t>Stone Kerb
Providing and laying pre-cast concrete kerbs 12" wide   x   1'-6"   high   and    6"   thick   including excavation,    lean    concrete     with    leveling, finishing,    curing    etc.    as    directed    by    the Consultants</t>
  </si>
  <si>
    <t>Providing/ laying/ fixing complete DRIP Irrigation SYSTEM to provide on Area 1500-2000 sqyd, with Motor  Pump ( 3HP) approved brand with complete accessories and PE DRIPPING PIPES 2 inches dia minimum 20 lines about 300ft length each or more as suitable complete Network. wholeGarden area should be covered for watering, before laying design &amp; drawings pump/ motor and pipe 
Including RCC UGWTank 1500 gallons &amp; POND 500 gallons with Water fall Fountains as mentioned in drawings  complete in all respect or as Directed by Engineer. Submit detailed design &amp; drawings prior to work for approval.</t>
  </si>
  <si>
    <t>Lumsum</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</si>
</sst>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_(* \(#,##0.00\);_(* &quot;-&quot;??_);_(@_)"/>
    <numFmt numFmtId="164" formatCode="#,##0%\ &quot;Exc. Qty Used&quot;"/>
    <numFmt numFmtId="165" formatCode="#,##0\ &quot;x 123.62 Kg. Per Cum.&quot;"/>
    <numFmt numFmtId="166" formatCode="0.00\ &quot;Area Sft&quot;"/>
    <numFmt numFmtId="167" formatCode="&quot;BILL NO. &quot;0#\ &quot;- EARTH WORK&quot;"/>
    <numFmt numFmtId="168" formatCode="_(* #,##0_);_(* \(#,##0\);_(* &quot;-&quot;??_);_(@_)"/>
    <numFmt numFmtId="169" formatCode="#,##0;[Red]#,##0"/>
    <numFmt numFmtId="170" formatCode="&quot;16.&quot;0"/>
    <numFmt numFmtId="171" formatCode="#,##0\ &quot;Months&quot;"/>
    <numFmt numFmtId="172" formatCode="&quot;Total Amount of Bill No.&quot;0#"/>
    <numFmt numFmtId="173" formatCode="&quot;Rs. &quot;0,000"/>
    <numFmt numFmtId="174" formatCode="_-* #,##0.00_-;_-* #,##0.00\-;_-* &quot;-&quot;??_-;_-@_-"/>
    <numFmt numFmtId="175" formatCode="_-* #,##0_-;_-* #,##0\-;_-* &quot;-&quot;??_-;_-@_-"/>
    <numFmt numFmtId="176" formatCode="#,##0.00;[Red]#,##0.00"/>
  </numFmts>
  <fonts count="33" x14ac:knownFonts="1">
    <font>
      <sz val="11"/>
      <color theme="1"/>
      <name val="Calibri"/>
      <family val="2"/>
      <scheme val="minor"/>
    </font>
    <font>
      <sz val="10"/>
      <name val="Arial"/>
      <family val="2"/>
    </font>
    <font>
      <b/>
      <u/>
      <sz val="14"/>
      <name val="Arial Black"/>
      <family val="2"/>
    </font>
    <font>
      <sz val="11"/>
      <name val="Arial"/>
      <family val="2"/>
    </font>
    <font>
      <b/>
      <sz val="11"/>
      <name val="Arial Black"/>
      <family val="2"/>
    </font>
    <font>
      <b/>
      <sz val="11"/>
      <name val="Arial"/>
      <family val="2"/>
    </font>
    <font>
      <b/>
      <sz val="12"/>
      <name val="Arial Black"/>
      <family val="2"/>
    </font>
    <font>
      <sz val="11"/>
      <color indexed="8"/>
      <name val="Arial"/>
      <family val="2"/>
    </font>
    <font>
      <b/>
      <sz val="11"/>
      <color indexed="8"/>
      <name val="Arial"/>
      <family val="2"/>
    </font>
    <font>
      <sz val="12"/>
      <name val="Times New Roman"/>
      <family val="1"/>
    </font>
    <font>
      <sz val="11"/>
      <color theme="1"/>
      <name val="Calibri"/>
      <family val="2"/>
      <scheme val="minor"/>
    </font>
    <font>
      <b/>
      <i/>
      <sz val="11"/>
      <name val="Arial"/>
      <family val="2"/>
    </font>
    <font>
      <sz val="12"/>
      <name val="Arial"/>
      <family val="2"/>
    </font>
    <font>
      <b/>
      <u/>
      <sz val="11"/>
      <name val="Arial"/>
      <family val="2"/>
    </font>
    <font>
      <u/>
      <sz val="11"/>
      <name val="Arial"/>
      <family val="2"/>
    </font>
    <font>
      <b/>
      <sz val="12"/>
      <name val="Arial"/>
      <family val="2"/>
    </font>
    <font>
      <b/>
      <u/>
      <sz val="10"/>
      <name val="Arial"/>
      <family val="2"/>
    </font>
    <font>
      <sz val="11"/>
      <color indexed="8"/>
      <name val="Calibri"/>
      <family val="2"/>
    </font>
    <font>
      <sz val="11"/>
      <name val="Calibri"/>
      <family val="2"/>
    </font>
    <font>
      <b/>
      <i/>
      <sz val="10"/>
      <name val="Arial"/>
      <family val="2"/>
    </font>
    <font>
      <sz val="10"/>
      <name val="Times New Roman"/>
      <family val="1"/>
    </font>
    <font>
      <i/>
      <sz val="11"/>
      <name val="Arial"/>
      <family val="2"/>
    </font>
    <font>
      <b/>
      <u/>
      <sz val="14"/>
      <color indexed="8"/>
      <name val="Times New Roman"/>
      <family val="1"/>
    </font>
    <font>
      <sz val="12"/>
      <name val="Times New Roman"/>
    </font>
    <font>
      <b/>
      <u/>
      <sz val="14"/>
      <name val="Times New Roman"/>
      <family val="1"/>
    </font>
    <font>
      <b/>
      <sz val="14"/>
      <name val="Times New Roman"/>
      <family val="1"/>
    </font>
    <font>
      <b/>
      <sz val="11"/>
      <name val="Times New Roman"/>
      <family val="1"/>
    </font>
    <font>
      <b/>
      <sz val="12"/>
      <name val="Times New Roman"/>
      <family val="1"/>
    </font>
    <font>
      <sz val="11"/>
      <name val="Times New Roman"/>
      <family val="1"/>
    </font>
    <font>
      <b/>
      <sz val="18"/>
      <name val="Arial Black"/>
      <family val="2"/>
    </font>
    <font>
      <b/>
      <sz val="14"/>
      <name val="Arial Black"/>
      <family val="2"/>
    </font>
    <font>
      <b/>
      <sz val="11"/>
      <color indexed="9"/>
      <name val="Times New Roman"/>
      <family val="1"/>
    </font>
    <font>
      <b/>
      <sz val="11"/>
      <color theme="1"/>
      <name val="Times New Roman"/>
      <family val="1"/>
    </font>
  </fonts>
  <fills count="7">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indexed="55"/>
        <bgColor indexed="64"/>
      </patternFill>
    </fill>
    <fill>
      <patternFill patternType="solid">
        <fgColor indexed="8"/>
        <bgColor indexed="64"/>
      </patternFill>
    </fill>
  </fills>
  <borders count="5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style="thin">
        <color indexed="64"/>
      </right>
      <top style="thin">
        <color indexed="64"/>
      </top>
      <bottom style="thin">
        <color indexed="64"/>
      </bottom>
      <diagonal/>
    </border>
    <border>
      <left style="hair">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style="hair">
        <color indexed="64"/>
      </bottom>
      <diagonal/>
    </border>
    <border>
      <left/>
      <right/>
      <top/>
      <bottom style="hair">
        <color indexed="64"/>
      </bottom>
      <diagonal/>
    </border>
    <border>
      <left/>
      <right style="thin">
        <color indexed="64"/>
      </right>
      <top/>
      <bottom/>
      <diagonal/>
    </border>
    <border>
      <left style="hair">
        <color indexed="64"/>
      </left>
      <right/>
      <top style="hair">
        <color indexed="64"/>
      </top>
      <bottom/>
      <diagonal/>
    </border>
    <border>
      <left/>
      <right/>
      <top style="hair">
        <color indexed="64"/>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right style="thin">
        <color indexed="64"/>
      </right>
      <top style="hair">
        <color indexed="64"/>
      </top>
      <bottom/>
      <diagonal/>
    </border>
    <border>
      <left/>
      <right style="hair">
        <color indexed="64"/>
      </right>
      <top style="hair">
        <color indexed="64"/>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thin">
        <color indexed="64"/>
      </right>
      <top/>
      <bottom/>
      <diagonal/>
    </border>
    <border>
      <left style="hair">
        <color indexed="64"/>
      </left>
      <right style="thin">
        <color indexed="64"/>
      </right>
      <top style="thin">
        <color indexed="64"/>
      </top>
      <bottom/>
      <diagonal/>
    </border>
    <border>
      <left/>
      <right style="hair">
        <color indexed="64"/>
      </right>
      <top/>
      <bottom/>
      <diagonal/>
    </border>
    <border>
      <left style="hair">
        <color indexed="64"/>
      </left>
      <right style="thin">
        <color indexed="64"/>
      </right>
      <top/>
      <bottom style="thin">
        <color indexed="64"/>
      </bottom>
      <diagonal/>
    </border>
    <border>
      <left/>
      <right style="hair">
        <color indexed="64"/>
      </right>
      <top/>
      <bottom style="thin">
        <color indexed="64"/>
      </bottom>
      <diagonal/>
    </border>
    <border>
      <left/>
      <right style="hair">
        <color indexed="64"/>
      </right>
      <top style="thin">
        <color indexed="64"/>
      </top>
      <bottom/>
      <diagonal/>
    </border>
    <border>
      <left style="hair">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4">
    <xf numFmtId="0" fontId="0"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37" fontId="9" fillId="0" borderId="0"/>
    <xf numFmtId="165" fontId="1" fillId="0" borderId="0" applyFont="0" applyFill="0" applyBorder="0" applyAlignment="0" applyProtection="0"/>
    <xf numFmtId="37" fontId="9" fillId="0" borderId="0"/>
    <xf numFmtId="9" fontId="10" fillId="0" borderId="0" applyFont="0" applyFill="0" applyBorder="0" applyAlignment="0" applyProtection="0"/>
    <xf numFmtId="0" fontId="10" fillId="0" borderId="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0" fontId="12" fillId="0" borderId="0"/>
    <xf numFmtId="43" fontId="12" fillId="0" borderId="0" applyFont="0" applyFill="0" applyBorder="0" applyAlignment="0" applyProtection="0"/>
    <xf numFmtId="0" fontId="1" fillId="0" borderId="0"/>
    <xf numFmtId="37" fontId="9" fillId="0" borderId="0"/>
    <xf numFmtId="37" fontId="9" fillId="0" borderId="0"/>
    <xf numFmtId="37" fontId="9" fillId="0" borderId="0"/>
    <xf numFmtId="37" fontId="9" fillId="0" borderId="0"/>
    <xf numFmtId="37" fontId="9" fillId="0" borderId="2" applyBorder="0"/>
    <xf numFmtId="43" fontId="10" fillId="0" borderId="0" applyFont="0" applyFill="0" applyBorder="0" applyAlignment="0" applyProtection="0"/>
    <xf numFmtId="37" fontId="9" fillId="0" borderId="2" applyBorder="0"/>
    <xf numFmtId="0" fontId="10" fillId="0" borderId="0"/>
    <xf numFmtId="0" fontId="1" fillId="0" borderId="0" applyProtection="0"/>
    <xf numFmtId="37" fontId="9" fillId="0" borderId="0"/>
    <xf numFmtId="43" fontId="12" fillId="0" borderId="0" applyFont="0" applyFill="0" applyBorder="0" applyAlignment="0" applyProtection="0">
      <alignment vertical="center"/>
    </xf>
    <xf numFmtId="37" fontId="9" fillId="0" borderId="0" applyProtection="0"/>
    <xf numFmtId="43" fontId="1" fillId="0" borderId="0" applyFont="0" applyFill="0" applyBorder="0" applyAlignment="0" applyProtection="0"/>
    <xf numFmtId="0" fontId="17" fillId="0" borderId="0"/>
    <xf numFmtId="37" fontId="9" fillId="0" borderId="0" applyBorder="0"/>
    <xf numFmtId="0" fontId="20" fillId="0" borderId="0"/>
    <xf numFmtId="0" fontId="1" fillId="0" borderId="0"/>
    <xf numFmtId="37" fontId="9" fillId="0" borderId="0"/>
    <xf numFmtId="37" fontId="23" fillId="0" borderId="0"/>
    <xf numFmtId="0" fontId="1" fillId="0" borderId="0"/>
    <xf numFmtId="9" fontId="1" fillId="0" borderId="0" applyFont="0" applyFill="0" applyBorder="0" applyAlignment="0" applyProtection="0"/>
    <xf numFmtId="37" fontId="9" fillId="0" borderId="0"/>
    <xf numFmtId="174" fontId="1" fillId="0" borderId="0" applyFont="0" applyFill="0" applyBorder="0" applyAlignment="0" applyProtection="0"/>
    <xf numFmtId="37" fontId="9" fillId="0" borderId="0"/>
    <xf numFmtId="0" fontId="1" fillId="0" borderId="0"/>
  </cellStyleXfs>
  <cellXfs count="788">
    <xf numFmtId="0" fontId="0" fillId="0" borderId="0" xfId="0"/>
    <xf numFmtId="0" fontId="3" fillId="0" borderId="0" xfId="1" applyFont="1" applyBorder="1" applyAlignment="1">
      <alignment vertical="center"/>
    </xf>
    <xf numFmtId="0" fontId="4" fillId="0" borderId="1" xfId="1" applyFont="1" applyFill="1" applyBorder="1" applyAlignment="1">
      <alignment horizontal="center" vertical="center" wrapText="1"/>
    </xf>
    <xf numFmtId="0" fontId="3" fillId="0" borderId="0" xfId="1" applyFont="1" applyBorder="1" applyAlignment="1">
      <alignment horizontal="center" vertical="center"/>
    </xf>
    <xf numFmtId="4" fontId="3" fillId="0" borderId="4" xfId="1" applyNumberFormat="1" applyFont="1" applyBorder="1" applyAlignment="1">
      <alignment horizontal="justify" vertical="top" wrapText="1"/>
    </xf>
    <xf numFmtId="0" fontId="3" fillId="0" borderId="0" xfId="1" applyFont="1" applyBorder="1" applyAlignment="1">
      <alignment vertical="top"/>
    </xf>
    <xf numFmtId="4" fontId="7" fillId="0" borderId="4" xfId="1" applyNumberFormat="1" applyFont="1" applyBorder="1" applyAlignment="1">
      <alignment horizontal="justify" vertical="top" wrapText="1"/>
    </xf>
    <xf numFmtId="0" fontId="3" fillId="0" borderId="0" xfId="1" applyFont="1" applyBorder="1" applyAlignment="1">
      <alignment horizontal="left" vertical="top"/>
    </xf>
    <xf numFmtId="3" fontId="3" fillId="0" borderId="0" xfId="1" applyNumberFormat="1" applyFont="1" applyBorder="1" applyAlignment="1">
      <alignment horizontal="center" vertical="top"/>
    </xf>
    <xf numFmtId="4" fontId="5" fillId="0" borderId="4" xfId="1" applyNumberFormat="1" applyFont="1" applyBorder="1" applyAlignment="1">
      <alignment horizontal="justify" vertical="top" wrapText="1"/>
    </xf>
    <xf numFmtId="4" fontId="5" fillId="0" borderId="4" xfId="1" applyNumberFormat="1" applyFont="1" applyBorder="1" applyAlignment="1">
      <alignment horizontal="right" vertical="top" wrapText="1"/>
    </xf>
    <xf numFmtId="4" fontId="3" fillId="0" borderId="0" xfId="1" applyNumberFormat="1" applyFont="1" applyBorder="1" applyAlignment="1">
      <alignment vertical="top"/>
    </xf>
    <xf numFmtId="3" fontId="3" fillId="0" borderId="0" xfId="6" applyNumberFormat="1" applyFont="1" applyFill="1" applyBorder="1" applyAlignment="1">
      <alignment horizontal="left" vertical="center"/>
    </xf>
    <xf numFmtId="3" fontId="3" fillId="0" borderId="3" xfId="1" applyNumberFormat="1" applyFont="1" applyBorder="1" applyAlignment="1">
      <alignment horizontal="center" vertical="top" wrapText="1"/>
    </xf>
    <xf numFmtId="3" fontId="5" fillId="0" borderId="3" xfId="1" applyNumberFormat="1" applyFont="1" applyBorder="1" applyAlignment="1">
      <alignment horizontal="center" vertical="top" wrapText="1"/>
    </xf>
    <xf numFmtId="3" fontId="7" fillId="0" borderId="3" xfId="1" applyNumberFormat="1" applyFont="1" applyBorder="1" applyAlignment="1">
      <alignment horizontal="center" vertical="top"/>
    </xf>
    <xf numFmtId="4" fontId="3" fillId="0" borderId="4" xfId="1" applyNumberFormat="1" applyFont="1" applyBorder="1" applyAlignment="1">
      <alignment horizontal="right" vertical="top" wrapText="1"/>
    </xf>
    <xf numFmtId="3" fontId="5" fillId="0" borderId="2" xfId="1" applyNumberFormat="1" applyFont="1" applyBorder="1" applyAlignment="1">
      <alignment horizontal="center" vertical="center" wrapText="1"/>
    </xf>
    <xf numFmtId="0" fontId="5" fillId="0" borderId="2" xfId="1" applyFont="1" applyBorder="1" applyAlignment="1">
      <alignment horizontal="center" vertical="center" wrapText="1"/>
    </xf>
    <xf numFmtId="3" fontId="5" fillId="2" borderId="5" xfId="1" applyNumberFormat="1" applyFont="1" applyFill="1" applyBorder="1" applyAlignment="1">
      <alignment horizontal="center" vertical="center" wrapText="1"/>
    </xf>
    <xf numFmtId="0" fontId="6" fillId="2" borderId="6" xfId="1" applyFont="1" applyFill="1" applyBorder="1" applyAlignment="1">
      <alignment horizontal="left" vertical="center" wrapText="1"/>
    </xf>
    <xf numFmtId="0" fontId="5" fillId="2" borderId="12" xfId="1" applyFont="1" applyFill="1" applyBorder="1" applyAlignment="1">
      <alignment horizontal="center" vertical="center" wrapText="1"/>
    </xf>
    <xf numFmtId="0" fontId="5" fillId="0" borderId="0" xfId="1" applyFont="1" applyBorder="1" applyAlignment="1">
      <alignment horizontal="center" vertical="top" wrapText="1"/>
    </xf>
    <xf numFmtId="3" fontId="8" fillId="0" borderId="15" xfId="1" applyNumberFormat="1" applyFont="1" applyBorder="1" applyAlignment="1">
      <alignment horizontal="center" vertical="center"/>
    </xf>
    <xf numFmtId="3" fontId="8" fillId="0" borderId="18" xfId="1" applyNumberFormat="1" applyFont="1" applyBorder="1" applyAlignment="1">
      <alignment horizontal="center" vertical="center"/>
    </xf>
    <xf numFmtId="3" fontId="8" fillId="0" borderId="0" xfId="1" applyNumberFormat="1" applyFont="1" applyBorder="1" applyAlignment="1">
      <alignment horizontal="center" vertical="center"/>
    </xf>
    <xf numFmtId="3" fontId="8" fillId="0" borderId="23" xfId="1" applyNumberFormat="1" applyFont="1" applyBorder="1" applyAlignment="1">
      <alignment horizontal="center" vertical="center"/>
    </xf>
    <xf numFmtId="0" fontId="6" fillId="2" borderId="6" xfId="1" applyFont="1" applyFill="1" applyBorder="1" applyAlignment="1">
      <alignment horizontal="center" vertical="center" wrapText="1"/>
    </xf>
    <xf numFmtId="4" fontId="3" fillId="0" borderId="13" xfId="1" applyNumberFormat="1" applyFont="1" applyBorder="1" applyAlignment="1">
      <alignment horizontal="center" vertical="center" wrapText="1"/>
    </xf>
    <xf numFmtId="4" fontId="3" fillId="0" borderId="14" xfId="1" applyNumberFormat="1" applyFont="1" applyBorder="1" applyAlignment="1">
      <alignment horizontal="center" vertical="center" wrapText="1"/>
    </xf>
    <xf numFmtId="4" fontId="3" fillId="0" borderId="16" xfId="1" applyNumberFormat="1" applyFont="1" applyBorder="1" applyAlignment="1">
      <alignment horizontal="center" vertical="center" wrapText="1"/>
    </xf>
    <xf numFmtId="4" fontId="3" fillId="0" borderId="17" xfId="1" applyNumberFormat="1" applyFont="1" applyBorder="1" applyAlignment="1">
      <alignment horizontal="center" vertical="center" wrapText="1"/>
    </xf>
    <xf numFmtId="3" fontId="3" fillId="0" borderId="10" xfId="1" applyNumberFormat="1" applyFont="1" applyBorder="1" applyAlignment="1">
      <alignment horizontal="center" vertical="center" wrapText="1"/>
    </xf>
    <xf numFmtId="4" fontId="3" fillId="0" borderId="10" xfId="1" applyNumberFormat="1" applyFont="1" applyBorder="1" applyAlignment="1">
      <alignment horizontal="center" vertical="center" wrapText="1"/>
    </xf>
    <xf numFmtId="4" fontId="3" fillId="0" borderId="21" xfId="1" applyNumberFormat="1" applyFont="1" applyBorder="1" applyAlignment="1">
      <alignment horizontal="center" vertical="center" wrapText="1"/>
    </xf>
    <xf numFmtId="4" fontId="3" fillId="0" borderId="22" xfId="1" applyNumberFormat="1" applyFont="1" applyBorder="1" applyAlignment="1">
      <alignment horizontal="center" vertical="center" wrapText="1"/>
    </xf>
    <xf numFmtId="4" fontId="7" fillId="0" borderId="21" xfId="1" applyNumberFormat="1" applyFont="1" applyBorder="1" applyAlignment="1">
      <alignment horizontal="center" vertical="center" wrapText="1"/>
    </xf>
    <xf numFmtId="4" fontId="7" fillId="0" borderId="22" xfId="1" applyNumberFormat="1" applyFont="1" applyBorder="1" applyAlignment="1">
      <alignment horizontal="center" vertical="center" wrapText="1"/>
    </xf>
    <xf numFmtId="4" fontId="7" fillId="0" borderId="9" xfId="1" applyNumberFormat="1" applyFont="1" applyBorder="1" applyAlignment="1">
      <alignment horizontal="center" vertical="center" wrapText="1"/>
    </xf>
    <xf numFmtId="4" fontId="7" fillId="0" borderId="0" xfId="1" applyNumberFormat="1" applyFont="1" applyBorder="1" applyAlignment="1">
      <alignment horizontal="center" vertical="center" wrapText="1"/>
    </xf>
    <xf numFmtId="4" fontId="7" fillId="0" borderId="19" xfId="1" applyNumberFormat="1" applyFont="1" applyBorder="1" applyAlignment="1">
      <alignment horizontal="center" vertical="center" wrapText="1"/>
    </xf>
    <xf numFmtId="4" fontId="7" fillId="0" borderId="20" xfId="1" applyNumberFormat="1" applyFont="1" applyBorder="1" applyAlignment="1">
      <alignment horizontal="center" vertical="center" wrapText="1"/>
    </xf>
    <xf numFmtId="4" fontId="7" fillId="0" borderId="16" xfId="1" applyNumberFormat="1" applyFont="1" applyBorder="1" applyAlignment="1">
      <alignment horizontal="center" vertical="center" wrapText="1"/>
    </xf>
    <xf numFmtId="4" fontId="7" fillId="0" borderId="17" xfId="1" applyNumberFormat="1" applyFont="1" applyBorder="1" applyAlignment="1">
      <alignment horizontal="center" vertical="center" wrapText="1"/>
    </xf>
    <xf numFmtId="4" fontId="3" fillId="0" borderId="10" xfId="1" applyNumberFormat="1" applyFont="1" applyBorder="1" applyAlignment="1">
      <alignment horizontal="center" vertical="center" wrapText="1"/>
    </xf>
    <xf numFmtId="4" fontId="7" fillId="0" borderId="9" xfId="1" applyNumberFormat="1" applyFont="1" applyFill="1" applyBorder="1" applyAlignment="1">
      <alignment horizontal="center" vertical="center" wrapText="1"/>
    </xf>
    <xf numFmtId="4" fontId="7" fillId="0" borderId="0" xfId="1" applyNumberFormat="1" applyFont="1" applyFill="1" applyBorder="1" applyAlignment="1">
      <alignment horizontal="center" vertical="center" wrapText="1"/>
    </xf>
    <xf numFmtId="0" fontId="4" fillId="0" borderId="1" xfId="1" applyFont="1" applyFill="1" applyBorder="1" applyAlignment="1">
      <alignment horizontal="right" vertical="center" wrapText="1"/>
    </xf>
    <xf numFmtId="0" fontId="5" fillId="2" borderId="6" xfId="1" applyFont="1" applyFill="1" applyBorder="1" applyAlignment="1">
      <alignment horizontal="right" vertical="center" wrapText="1"/>
    </xf>
    <xf numFmtId="3" fontId="7" fillId="0" borderId="14" xfId="1" applyNumberFormat="1" applyFont="1" applyBorder="1" applyAlignment="1">
      <alignment horizontal="right" vertical="center"/>
    </xf>
    <xf numFmtId="3" fontId="7" fillId="0" borderId="17" xfId="1" applyNumberFormat="1" applyFont="1" applyBorder="1" applyAlignment="1">
      <alignment horizontal="right" vertical="center"/>
    </xf>
    <xf numFmtId="4" fontId="7" fillId="0" borderId="10" xfId="1" applyNumberFormat="1" applyFont="1" applyBorder="1" applyAlignment="1">
      <alignment horizontal="right" vertical="center"/>
    </xf>
    <xf numFmtId="3" fontId="7" fillId="0" borderId="22" xfId="1" applyNumberFormat="1" applyFont="1" applyBorder="1" applyAlignment="1">
      <alignment horizontal="right" vertical="center"/>
    </xf>
    <xf numFmtId="4" fontId="8" fillId="0" borderId="10" xfId="1" applyNumberFormat="1" applyFont="1" applyBorder="1" applyAlignment="1">
      <alignment horizontal="right" vertical="center"/>
    </xf>
    <xf numFmtId="3" fontId="7" fillId="0" borderId="0" xfId="1" applyNumberFormat="1" applyFont="1" applyBorder="1" applyAlignment="1">
      <alignment horizontal="right" vertical="center"/>
    </xf>
    <xf numFmtId="3" fontId="7" fillId="0" borderId="20" xfId="1" applyNumberFormat="1" applyFont="1" applyBorder="1" applyAlignment="1">
      <alignment horizontal="right" vertical="center"/>
    </xf>
    <xf numFmtId="0" fontId="3" fillId="0" borderId="0" xfId="1" applyFont="1" applyBorder="1" applyAlignment="1">
      <alignment horizontal="right" vertical="center" wrapText="1"/>
    </xf>
    <xf numFmtId="3" fontId="7" fillId="0" borderId="24" xfId="1" applyNumberFormat="1" applyFont="1" applyBorder="1" applyAlignment="1">
      <alignment horizontal="center" vertical="top"/>
    </xf>
    <xf numFmtId="4" fontId="7" fillId="0" borderId="11" xfId="1" applyNumberFormat="1" applyFont="1" applyBorder="1" applyAlignment="1">
      <alignment horizontal="justify" vertical="top" wrapText="1"/>
    </xf>
    <xf numFmtId="4" fontId="3" fillId="0" borderId="11" xfId="1" applyNumberFormat="1" applyFont="1" applyFill="1" applyBorder="1" applyAlignment="1">
      <alignment horizontal="justify" vertical="top" wrapText="1"/>
    </xf>
    <xf numFmtId="4" fontId="7" fillId="0" borderId="11" xfId="1" applyNumberFormat="1" applyFont="1" applyFill="1" applyBorder="1" applyAlignment="1">
      <alignment horizontal="justify" vertical="top" wrapText="1"/>
    </xf>
    <xf numFmtId="4" fontId="3" fillId="0" borderId="11" xfId="1" applyNumberFormat="1" applyFont="1" applyBorder="1" applyAlignment="1">
      <alignment horizontal="justify" vertical="top" wrapText="1"/>
    </xf>
    <xf numFmtId="3" fontId="4" fillId="0" borderId="1" xfId="1" applyNumberFormat="1" applyFont="1" applyFill="1" applyBorder="1" applyAlignment="1">
      <alignment horizontal="center" vertical="center" wrapText="1"/>
    </xf>
    <xf numFmtId="3" fontId="8" fillId="0" borderId="14" xfId="1" applyNumberFormat="1" applyFont="1" applyBorder="1" applyAlignment="1">
      <alignment horizontal="center" vertical="center"/>
    </xf>
    <xf numFmtId="3" fontId="8" fillId="0" borderId="9" xfId="1" applyNumberFormat="1" applyFont="1" applyBorder="1" applyAlignment="1">
      <alignment horizontal="center" vertical="center"/>
    </xf>
    <xf numFmtId="3" fontId="3" fillId="0" borderId="7" xfId="1" applyNumberFormat="1" applyFont="1" applyBorder="1" applyAlignment="1">
      <alignment horizontal="center" vertical="top" wrapText="1"/>
    </xf>
    <xf numFmtId="4" fontId="3" fillId="0" borderId="8" xfId="1" applyNumberFormat="1" applyFont="1" applyBorder="1" applyAlignment="1">
      <alignment horizontal="justify" vertical="top" wrapText="1"/>
    </xf>
    <xf numFmtId="3" fontId="8" fillId="0" borderId="10" xfId="1" applyNumberFormat="1" applyFont="1" applyBorder="1" applyAlignment="1">
      <alignment horizontal="right" vertical="center"/>
    </xf>
    <xf numFmtId="3" fontId="8" fillId="0" borderId="10" xfId="1" applyNumberFormat="1" applyFont="1" applyBorder="1" applyAlignment="1">
      <alignment horizontal="center" vertical="center"/>
    </xf>
    <xf numFmtId="3" fontId="5" fillId="2" borderId="6" xfId="1" applyNumberFormat="1" applyFont="1" applyFill="1" applyBorder="1" applyAlignment="1">
      <alignment horizontal="center" vertical="center" wrapText="1"/>
    </xf>
    <xf numFmtId="3" fontId="5" fillId="0" borderId="0" xfId="1" applyNumberFormat="1" applyFont="1" applyBorder="1" applyAlignment="1">
      <alignment horizontal="center" vertical="top" wrapText="1"/>
    </xf>
    <xf numFmtId="3" fontId="3" fillId="0" borderId="24" xfId="1" applyNumberFormat="1" applyFont="1" applyBorder="1" applyAlignment="1">
      <alignment horizontal="center" vertical="top" wrapText="1"/>
    </xf>
    <xf numFmtId="3" fontId="8" fillId="0" borderId="16" xfId="1" applyNumberFormat="1" applyFont="1" applyBorder="1" applyAlignment="1">
      <alignment horizontal="right" vertical="center"/>
    </xf>
    <xf numFmtId="3" fontId="8" fillId="0" borderId="25" xfId="1" applyNumberFormat="1" applyFont="1" applyBorder="1" applyAlignment="1">
      <alignment horizontal="center" vertical="center"/>
    </xf>
    <xf numFmtId="3" fontId="5" fillId="0" borderId="2" xfId="1" applyNumberFormat="1" applyFont="1" applyBorder="1" applyAlignment="1">
      <alignment horizontal="center" vertical="center" wrapText="1"/>
    </xf>
    <xf numFmtId="0" fontId="5" fillId="0" borderId="2" xfId="1" applyFont="1" applyBorder="1" applyAlignment="1">
      <alignment horizontal="center" vertical="center" wrapText="1"/>
    </xf>
    <xf numFmtId="4" fontId="3" fillId="0" borderId="10" xfId="1" applyNumberFormat="1" applyFont="1" applyBorder="1" applyAlignment="1">
      <alignment horizontal="center" vertical="center" wrapText="1"/>
    </xf>
    <xf numFmtId="3" fontId="8" fillId="0" borderId="9" xfId="1" applyNumberFormat="1" applyFont="1" applyBorder="1" applyAlignment="1">
      <alignment horizontal="right" vertical="center"/>
    </xf>
    <xf numFmtId="4" fontId="7" fillId="0" borderId="20" xfId="1" applyNumberFormat="1" applyFont="1" applyBorder="1" applyAlignment="1">
      <alignment horizontal="right" vertical="center"/>
    </xf>
    <xf numFmtId="3" fontId="8" fillId="0" borderId="24" xfId="1" applyNumberFormat="1" applyFont="1" applyBorder="1" applyAlignment="1">
      <alignment horizontal="center" vertical="top"/>
    </xf>
    <xf numFmtId="4" fontId="8" fillId="0" borderId="11" xfId="1" applyNumberFormat="1" applyFont="1" applyBorder="1" applyAlignment="1">
      <alignment horizontal="justify" vertical="top" wrapText="1"/>
    </xf>
    <xf numFmtId="4" fontId="8" fillId="0" borderId="4" xfId="1" applyNumberFormat="1" applyFont="1" applyBorder="1" applyAlignment="1">
      <alignment horizontal="justify" vertical="top" wrapText="1"/>
    </xf>
    <xf numFmtId="3" fontId="3" fillId="0" borderId="26" xfId="1" applyNumberFormat="1" applyFont="1" applyBorder="1" applyAlignment="1">
      <alignment horizontal="center" vertical="top" wrapText="1"/>
    </xf>
    <xf numFmtId="4" fontId="5" fillId="0" borderId="27" xfId="1" applyNumberFormat="1" applyFont="1" applyBorder="1" applyAlignment="1">
      <alignment horizontal="right" vertical="top" wrapText="1"/>
    </xf>
    <xf numFmtId="3" fontId="8" fillId="0" borderId="3" xfId="1" applyNumberFormat="1" applyFont="1" applyBorder="1" applyAlignment="1">
      <alignment horizontal="center" vertical="top"/>
    </xf>
    <xf numFmtId="3" fontId="8" fillId="3" borderId="24" xfId="1" applyNumberFormat="1" applyFont="1" applyFill="1" applyBorder="1" applyAlignment="1">
      <alignment horizontal="center" vertical="top"/>
    </xf>
    <xf numFmtId="4" fontId="8" fillId="3" borderId="11" xfId="1" applyNumberFormat="1" applyFont="1" applyFill="1" applyBorder="1" applyAlignment="1">
      <alignment horizontal="justify" vertical="top" wrapText="1"/>
    </xf>
    <xf numFmtId="4" fontId="8" fillId="3" borderId="19" xfId="1" applyNumberFormat="1" applyFont="1" applyFill="1" applyBorder="1" applyAlignment="1">
      <alignment horizontal="center" vertical="center" wrapText="1"/>
    </xf>
    <xf numFmtId="4" fontId="8" fillId="3" borderId="20" xfId="1" applyNumberFormat="1" applyFont="1" applyFill="1" applyBorder="1" applyAlignment="1">
      <alignment horizontal="center" vertical="center" wrapText="1"/>
    </xf>
    <xf numFmtId="3" fontId="8" fillId="3" borderId="20" xfId="1" applyNumberFormat="1" applyFont="1" applyFill="1" applyBorder="1" applyAlignment="1">
      <alignment horizontal="right" vertical="center"/>
    </xf>
    <xf numFmtId="3" fontId="8" fillId="3" borderId="0" xfId="1" applyNumberFormat="1" applyFont="1" applyFill="1" applyBorder="1" applyAlignment="1">
      <alignment horizontal="center" vertical="center"/>
    </xf>
    <xf numFmtId="3" fontId="8" fillId="3" borderId="18" xfId="1" applyNumberFormat="1" applyFont="1" applyFill="1" applyBorder="1" applyAlignment="1">
      <alignment horizontal="center" vertical="center"/>
    </xf>
    <xf numFmtId="4" fontId="8" fillId="0" borderId="3" xfId="1" applyNumberFormat="1" applyFont="1" applyBorder="1" applyAlignment="1">
      <alignment horizontal="center" vertical="top"/>
    </xf>
    <xf numFmtId="2" fontId="5" fillId="0" borderId="9" xfId="1" applyNumberFormat="1" applyFont="1" applyBorder="1" applyAlignment="1">
      <alignment horizontal="center" vertical="center"/>
    </xf>
    <xf numFmtId="2" fontId="5" fillId="0" borderId="0" xfId="1" applyNumberFormat="1" applyFont="1" applyBorder="1" applyAlignment="1">
      <alignment horizontal="center" vertical="center"/>
    </xf>
    <xf numFmtId="2" fontId="5" fillId="0" borderId="0" xfId="1" applyNumberFormat="1" applyFont="1" applyBorder="1" applyAlignment="1">
      <alignment horizontal="right" vertical="center"/>
    </xf>
    <xf numFmtId="3" fontId="5" fillId="0" borderId="0" xfId="1" applyNumberFormat="1" applyFont="1" applyBorder="1" applyAlignment="1">
      <alignment horizontal="center" vertical="top"/>
    </xf>
    <xf numFmtId="2" fontId="5" fillId="0" borderId="18" xfId="1" applyNumberFormat="1" applyFont="1" applyBorder="1" applyAlignment="1">
      <alignment horizontal="center" vertical="top"/>
    </xf>
    <xf numFmtId="4" fontId="7" fillId="0" borderId="3" xfId="1" applyNumberFormat="1" applyFont="1" applyBorder="1" applyAlignment="1">
      <alignment horizontal="center" vertical="top"/>
    </xf>
    <xf numFmtId="4" fontId="8" fillId="0" borderId="4" xfId="1" applyNumberFormat="1" applyFont="1" applyBorder="1" applyAlignment="1">
      <alignment horizontal="right" vertical="top" wrapText="1"/>
    </xf>
    <xf numFmtId="3" fontId="3" fillId="0" borderId="16" xfId="1" applyNumberFormat="1" applyFont="1" applyBorder="1" applyAlignment="1">
      <alignment horizontal="center" vertical="center"/>
    </xf>
    <xf numFmtId="2" fontId="3" fillId="0" borderId="17" xfId="1" applyNumberFormat="1" applyFont="1" applyBorder="1" applyAlignment="1">
      <alignment horizontal="center" vertical="center"/>
    </xf>
    <xf numFmtId="2" fontId="3" fillId="0" borderId="17" xfId="1" applyNumberFormat="1" applyFont="1" applyBorder="1" applyAlignment="1">
      <alignment horizontal="right" vertical="center"/>
    </xf>
    <xf numFmtId="3" fontId="5" fillId="0" borderId="0" xfId="1" applyNumberFormat="1" applyFont="1" applyBorder="1" applyAlignment="1">
      <alignment vertical="top"/>
    </xf>
    <xf numFmtId="2" fontId="5" fillId="0" borderId="18" xfId="1" applyNumberFormat="1" applyFont="1" applyBorder="1" applyAlignment="1">
      <alignment vertical="top"/>
    </xf>
    <xf numFmtId="4" fontId="7" fillId="0" borderId="4" xfId="1" applyNumberFormat="1" applyFont="1" applyBorder="1" applyAlignment="1">
      <alignment horizontal="right" vertical="top" wrapText="1"/>
    </xf>
    <xf numFmtId="3" fontId="3" fillId="0" borderId="10" xfId="1" applyNumberFormat="1" applyFont="1" applyBorder="1" applyAlignment="1">
      <alignment horizontal="center" vertical="center"/>
    </xf>
    <xf numFmtId="2" fontId="3" fillId="0" borderId="10" xfId="1" applyNumberFormat="1" applyFont="1" applyBorder="1" applyAlignment="1">
      <alignment horizontal="center" vertical="center"/>
    </xf>
    <xf numFmtId="3" fontId="5" fillId="0" borderId="9" xfId="1" applyNumberFormat="1" applyFont="1" applyBorder="1" applyAlignment="1">
      <alignment horizontal="center" vertical="center"/>
    </xf>
    <xf numFmtId="2" fontId="5" fillId="0" borderId="18" xfId="1" applyNumberFormat="1" applyFont="1" applyBorder="1" applyAlignment="1">
      <alignment horizontal="center" vertical="center"/>
    </xf>
    <xf numFmtId="3" fontId="3" fillId="0" borderId="19" xfId="1" applyNumberFormat="1" applyFont="1" applyBorder="1" applyAlignment="1">
      <alignment horizontal="center" vertical="center"/>
    </xf>
    <xf numFmtId="2" fontId="3" fillId="0" borderId="20" xfId="1" applyNumberFormat="1" applyFont="1" applyBorder="1" applyAlignment="1">
      <alignment horizontal="center" vertical="center"/>
    </xf>
    <xf numFmtId="3" fontId="5" fillId="0" borderId="0" xfId="1" applyNumberFormat="1" applyFont="1" applyBorder="1" applyAlignment="1">
      <alignment horizontal="center" vertical="center"/>
    </xf>
    <xf numFmtId="2" fontId="3" fillId="0" borderId="20" xfId="1" applyNumberFormat="1" applyFont="1" applyBorder="1" applyAlignment="1">
      <alignment horizontal="right" vertical="center"/>
    </xf>
    <xf numFmtId="2" fontId="3" fillId="0" borderId="10" xfId="1" applyNumberFormat="1" applyFont="1" applyBorder="1" applyAlignment="1">
      <alignment horizontal="right" vertical="center"/>
    </xf>
    <xf numFmtId="3" fontId="3" fillId="0" borderId="9" xfId="1" applyNumberFormat="1" applyFont="1" applyBorder="1" applyAlignment="1">
      <alignment horizontal="center" vertical="center"/>
    </xf>
    <xf numFmtId="2" fontId="3" fillId="0" borderId="0" xfId="1" applyNumberFormat="1" applyFont="1" applyBorder="1" applyAlignment="1">
      <alignment horizontal="center" vertical="center"/>
    </xf>
    <xf numFmtId="2" fontId="3" fillId="0" borderId="0" xfId="1" applyNumberFormat="1" applyFont="1" applyBorder="1" applyAlignment="1">
      <alignment horizontal="right" vertical="center"/>
    </xf>
    <xf numFmtId="2" fontId="3" fillId="0" borderId="22" xfId="1" applyNumberFormat="1" applyFont="1" applyBorder="1" applyAlignment="1">
      <alignment horizontal="center" vertical="center"/>
    </xf>
    <xf numFmtId="2" fontId="3" fillId="0" borderId="22" xfId="1" applyNumberFormat="1" applyFont="1" applyBorder="1" applyAlignment="1">
      <alignment horizontal="right" vertical="center"/>
    </xf>
    <xf numFmtId="3" fontId="3" fillId="0" borderId="0" xfId="1" applyNumberFormat="1" applyFont="1" applyBorder="1" applyAlignment="1">
      <alignment horizontal="right" vertical="center"/>
    </xf>
    <xf numFmtId="3" fontId="5" fillId="0" borderId="18" xfId="1" applyNumberFormat="1" applyFont="1" applyBorder="1" applyAlignment="1">
      <alignment horizontal="center" vertical="center"/>
    </xf>
    <xf numFmtId="3" fontId="5" fillId="0" borderId="20" xfId="1" applyNumberFormat="1" applyFont="1" applyBorder="1" applyAlignment="1">
      <alignment horizontal="center" vertical="center"/>
    </xf>
    <xf numFmtId="3" fontId="5" fillId="0" borderId="28" xfId="1" applyNumberFormat="1" applyFont="1" applyBorder="1" applyAlignment="1">
      <alignment horizontal="center" vertical="center"/>
    </xf>
    <xf numFmtId="3" fontId="3" fillId="0" borderId="20" xfId="1" applyNumberFormat="1" applyFont="1" applyBorder="1" applyAlignment="1">
      <alignment horizontal="right" vertical="center"/>
    </xf>
    <xf numFmtId="3" fontId="3" fillId="0" borderId="17" xfId="1" applyNumberFormat="1" applyFont="1" applyBorder="1" applyAlignment="1">
      <alignment horizontal="right" vertical="center"/>
    </xf>
    <xf numFmtId="3" fontId="7" fillId="3" borderId="24" xfId="1" applyNumberFormat="1" applyFont="1" applyFill="1" applyBorder="1" applyAlignment="1">
      <alignment horizontal="center" vertical="top"/>
    </xf>
    <xf numFmtId="3" fontId="3" fillId="3" borderId="20" xfId="1" applyNumberFormat="1" applyFont="1" applyFill="1" applyBorder="1" applyAlignment="1">
      <alignment horizontal="right" vertical="center"/>
    </xf>
    <xf numFmtId="3" fontId="5" fillId="3" borderId="20" xfId="1" applyNumberFormat="1" applyFont="1" applyFill="1" applyBorder="1" applyAlignment="1">
      <alignment horizontal="center" vertical="center"/>
    </xf>
    <xf numFmtId="3" fontId="5" fillId="3" borderId="28" xfId="1" applyNumberFormat="1" applyFont="1" applyFill="1" applyBorder="1" applyAlignment="1">
      <alignment horizontal="center" vertical="center"/>
    </xf>
    <xf numFmtId="4" fontId="8" fillId="0" borderId="4" xfId="1" applyNumberFormat="1" applyFont="1" applyBorder="1" applyAlignment="1">
      <alignment horizontal="left" vertical="top" wrapText="1"/>
    </xf>
    <xf numFmtId="9" fontId="3" fillId="0" borderId="10" xfId="9" applyFont="1" applyBorder="1" applyAlignment="1">
      <alignment horizontal="center" vertical="center"/>
    </xf>
    <xf numFmtId="3" fontId="3" fillId="0" borderId="21" xfId="1" applyNumberFormat="1" applyFont="1" applyBorder="1" applyAlignment="1">
      <alignment horizontal="center" vertical="center"/>
    </xf>
    <xf numFmtId="3" fontId="5" fillId="0" borderId="23" xfId="1" applyNumberFormat="1" applyFont="1" applyBorder="1" applyAlignment="1">
      <alignment horizontal="center" vertical="center"/>
    </xf>
    <xf numFmtId="3" fontId="7" fillId="0" borderId="30" xfId="1" applyNumberFormat="1" applyFont="1" applyBorder="1" applyAlignment="1">
      <alignment horizontal="center" vertical="top"/>
    </xf>
    <xf numFmtId="4" fontId="7" fillId="0" borderId="31" xfId="1" applyNumberFormat="1" applyFont="1" applyBorder="1" applyAlignment="1">
      <alignment horizontal="justify" vertical="top" wrapText="1"/>
    </xf>
    <xf numFmtId="4" fontId="3" fillId="0" borderId="4" xfId="1" applyNumberFormat="1" applyFont="1" applyFill="1" applyBorder="1" applyAlignment="1">
      <alignment horizontal="justify" vertical="top" wrapText="1"/>
    </xf>
    <xf numFmtId="3" fontId="8" fillId="0" borderId="0" xfId="1" applyNumberFormat="1" applyFont="1" applyBorder="1" applyAlignment="1">
      <alignment horizontal="right" vertical="center"/>
    </xf>
    <xf numFmtId="3" fontId="3" fillId="0" borderId="19" xfId="1" applyNumberFormat="1" applyFont="1" applyBorder="1" applyAlignment="1">
      <alignment horizontal="center" vertical="center" wrapText="1"/>
    </xf>
    <xf numFmtId="4" fontId="3" fillId="0" borderId="20" xfId="1" applyNumberFormat="1" applyFont="1" applyBorder="1" applyAlignment="1">
      <alignment horizontal="center" vertical="center" wrapText="1"/>
    </xf>
    <xf numFmtId="4" fontId="3" fillId="0" borderId="10" xfId="1" applyNumberFormat="1" applyFont="1" applyBorder="1" applyAlignment="1">
      <alignment horizontal="right" vertical="center"/>
    </xf>
    <xf numFmtId="4" fontId="8" fillId="0" borderId="4" xfId="1" applyNumberFormat="1" applyFont="1" applyFill="1" applyBorder="1" applyAlignment="1">
      <alignment horizontal="justify" vertical="top" wrapText="1"/>
    </xf>
    <xf numFmtId="4" fontId="7" fillId="0" borderId="16" xfId="1" applyNumberFormat="1" applyFont="1" applyFill="1" applyBorder="1" applyAlignment="1">
      <alignment horizontal="center" vertical="center" wrapText="1"/>
    </xf>
    <xf numFmtId="4" fontId="7" fillId="0" borderId="17" xfId="1" applyNumberFormat="1" applyFont="1" applyFill="1" applyBorder="1" applyAlignment="1">
      <alignment horizontal="center" vertical="center" wrapText="1"/>
    </xf>
    <xf numFmtId="166" fontId="3" fillId="0" borderId="21" xfId="1" applyNumberFormat="1" applyFont="1" applyBorder="1" applyAlignment="1">
      <alignment horizontal="center" vertical="center" wrapText="1"/>
    </xf>
    <xf numFmtId="166" fontId="3" fillId="0" borderId="29" xfId="1" applyNumberFormat="1" applyFont="1" applyBorder="1" applyAlignment="1">
      <alignment horizontal="center" vertical="center" wrapText="1"/>
    </xf>
    <xf numFmtId="4" fontId="5" fillId="0" borderId="4" xfId="1" quotePrefix="1" applyNumberFormat="1" applyFont="1" applyBorder="1" applyAlignment="1">
      <alignment horizontal="justify" vertical="top" wrapText="1"/>
    </xf>
    <xf numFmtId="4" fontId="3" fillId="0" borderId="4" xfId="1" applyNumberFormat="1" applyFont="1" applyBorder="1" applyAlignment="1">
      <alignment horizontal="left" vertical="top" wrapText="1"/>
    </xf>
    <xf numFmtId="4" fontId="5" fillId="0" borderId="21" xfId="1" applyNumberFormat="1" applyFont="1" applyBorder="1" applyAlignment="1">
      <alignment horizontal="center" vertical="center" wrapText="1"/>
    </xf>
    <xf numFmtId="4" fontId="5" fillId="0" borderId="22" xfId="1" applyNumberFormat="1" applyFont="1" applyBorder="1" applyAlignment="1">
      <alignment horizontal="center" vertical="center" wrapText="1"/>
    </xf>
    <xf numFmtId="4" fontId="8" fillId="0" borderId="22" xfId="1" applyNumberFormat="1" applyFont="1" applyBorder="1" applyAlignment="1">
      <alignment horizontal="right" vertical="center"/>
    </xf>
    <xf numFmtId="4" fontId="5" fillId="0" borderId="0" xfId="1" applyNumberFormat="1" applyFont="1" applyFill="1" applyBorder="1" applyAlignment="1">
      <alignment horizontal="center" vertical="center" wrapText="1"/>
    </xf>
    <xf numFmtId="167" fontId="5" fillId="0" borderId="0" xfId="1" applyNumberFormat="1" applyFont="1" applyFill="1" applyBorder="1" applyAlignment="1">
      <alignment horizontal="center" vertical="center" wrapText="1"/>
    </xf>
    <xf numFmtId="4" fontId="3" fillId="0" borderId="0" xfId="1" applyNumberFormat="1" applyFont="1" applyFill="1" applyBorder="1" applyAlignment="1">
      <alignment horizontal="center" vertical="center"/>
    </xf>
    <xf numFmtId="167" fontId="5" fillId="0" borderId="32" xfId="1" applyNumberFormat="1" applyFont="1" applyFill="1" applyBorder="1" applyAlignment="1">
      <alignment horizontal="center" vertical="center" wrapText="1"/>
    </xf>
    <xf numFmtId="167" fontId="5" fillId="0" borderId="14" xfId="1" applyNumberFormat="1" applyFont="1" applyFill="1" applyBorder="1" applyAlignment="1">
      <alignment horizontal="center" vertical="center" wrapText="1"/>
    </xf>
    <xf numFmtId="3" fontId="5" fillId="0" borderId="6" xfId="1" applyNumberFormat="1" applyFont="1" applyFill="1" applyBorder="1" applyAlignment="1">
      <alignment horizontal="center" vertical="center" wrapText="1"/>
    </xf>
    <xf numFmtId="167" fontId="5" fillId="0" borderId="6" xfId="1" applyNumberFormat="1" applyFont="1" applyFill="1" applyBorder="1" applyAlignment="1">
      <alignment horizontal="center" vertical="center" wrapText="1"/>
    </xf>
    <xf numFmtId="4" fontId="5" fillId="0" borderId="6" xfId="1" applyNumberFormat="1" applyFont="1" applyFill="1" applyBorder="1" applyAlignment="1">
      <alignment horizontal="center" vertical="center" wrapText="1"/>
    </xf>
    <xf numFmtId="3" fontId="5" fillId="0" borderId="2" xfId="1" applyNumberFormat="1" applyFont="1" applyFill="1" applyBorder="1" applyAlignment="1">
      <alignment horizontal="center" vertical="center" wrapText="1"/>
    </xf>
    <xf numFmtId="0" fontId="5" fillId="0" borderId="2" xfId="1" applyFont="1" applyFill="1" applyBorder="1" applyAlignment="1">
      <alignment horizontal="center" vertical="center" wrapText="1"/>
    </xf>
    <xf numFmtId="4" fontId="5" fillId="0" borderId="2" xfId="1" applyNumberFormat="1" applyFont="1" applyFill="1" applyBorder="1" applyAlignment="1">
      <alignment horizontal="center" vertical="center" wrapText="1"/>
    </xf>
    <xf numFmtId="4" fontId="3" fillId="0" borderId="3" xfId="1" applyNumberFormat="1" applyFont="1" applyFill="1" applyBorder="1" applyAlignment="1">
      <alignment horizontal="center" vertical="top" wrapText="1"/>
    </xf>
    <xf numFmtId="3" fontId="3" fillId="0" borderId="4" xfId="1" applyNumberFormat="1" applyFont="1" applyFill="1" applyBorder="1" applyAlignment="1">
      <alignment horizontal="center" vertical="center"/>
    </xf>
    <xf numFmtId="3" fontId="3" fillId="0" borderId="35" xfId="10" applyNumberFormat="1" applyFont="1" applyFill="1" applyBorder="1" applyAlignment="1">
      <alignment horizontal="right" vertical="center"/>
    </xf>
    <xf numFmtId="4" fontId="3" fillId="0" borderId="7" xfId="1" applyNumberFormat="1" applyFont="1" applyFill="1" applyBorder="1" applyAlignment="1">
      <alignment horizontal="center" vertical="center"/>
    </xf>
    <xf numFmtId="4" fontId="3" fillId="0" borderId="8" xfId="1" applyNumberFormat="1" applyFont="1" applyFill="1" applyBorder="1" applyAlignment="1">
      <alignment horizontal="center" vertical="center"/>
    </xf>
    <xf numFmtId="4" fontId="3" fillId="0" borderId="36" xfId="1" applyNumberFormat="1" applyFont="1" applyFill="1" applyBorder="1" applyAlignment="1">
      <alignment horizontal="center" vertical="center"/>
    </xf>
    <xf numFmtId="4" fontId="3" fillId="0" borderId="37" xfId="1" applyNumberFormat="1" applyFont="1" applyFill="1" applyBorder="1" applyAlignment="1">
      <alignment horizontal="center" vertical="center"/>
    </xf>
    <xf numFmtId="4" fontId="3" fillId="0" borderId="4" xfId="1" applyNumberFormat="1" applyFont="1" applyFill="1" applyBorder="1" applyAlignment="1">
      <alignment horizontal="center" vertical="center"/>
    </xf>
    <xf numFmtId="4" fontId="3" fillId="0" borderId="3" xfId="1" applyNumberFormat="1" applyFont="1" applyFill="1" applyBorder="1" applyAlignment="1">
      <alignment horizontal="center" vertical="top"/>
    </xf>
    <xf numFmtId="4" fontId="3" fillId="0" borderId="35" xfId="2" applyNumberFormat="1" applyFont="1" applyFill="1" applyBorder="1" applyAlignment="1">
      <alignment horizontal="right" vertical="center" wrapText="1"/>
    </xf>
    <xf numFmtId="4" fontId="3" fillId="0" borderId="3" xfId="1" applyNumberFormat="1" applyFont="1" applyFill="1" applyBorder="1" applyAlignment="1">
      <alignment horizontal="center" vertical="center"/>
    </xf>
    <xf numFmtId="4" fontId="3" fillId="0" borderId="35" xfId="1" applyNumberFormat="1" applyFont="1" applyFill="1" applyBorder="1" applyAlignment="1">
      <alignment horizontal="center" vertical="center"/>
    </xf>
    <xf numFmtId="3" fontId="3" fillId="0" borderId="37" xfId="1" applyNumberFormat="1" applyFont="1" applyFill="1" applyBorder="1" applyAlignment="1">
      <alignment horizontal="center" vertical="center"/>
    </xf>
    <xf numFmtId="4" fontId="3" fillId="0" borderId="30" xfId="1" applyNumberFormat="1" applyFont="1" applyFill="1" applyBorder="1" applyAlignment="1">
      <alignment horizontal="center" vertical="top"/>
    </xf>
    <xf numFmtId="4" fontId="3" fillId="0" borderId="31" xfId="1" applyNumberFormat="1" applyFont="1" applyFill="1" applyBorder="1" applyAlignment="1">
      <alignment horizontal="justify" vertical="top" wrapText="1"/>
    </xf>
    <xf numFmtId="3" fontId="3" fillId="0" borderId="31" xfId="1" applyNumberFormat="1" applyFont="1" applyFill="1" applyBorder="1" applyAlignment="1">
      <alignment horizontal="center" vertical="center"/>
    </xf>
    <xf numFmtId="4" fontId="3" fillId="0" borderId="38" xfId="2" applyNumberFormat="1" applyFont="1" applyFill="1" applyBorder="1" applyAlignment="1">
      <alignment horizontal="right" vertical="center" wrapText="1"/>
    </xf>
    <xf numFmtId="3" fontId="3" fillId="0" borderId="39" xfId="1" applyNumberFormat="1" applyFont="1" applyFill="1" applyBorder="1" applyAlignment="1">
      <alignment horizontal="center" vertical="center"/>
    </xf>
    <xf numFmtId="4" fontId="3" fillId="0" borderId="7" xfId="1" applyNumberFormat="1" applyFont="1" applyFill="1" applyBorder="1" applyAlignment="1">
      <alignment horizontal="center" vertical="top"/>
    </xf>
    <xf numFmtId="4" fontId="3" fillId="0" borderId="8" xfId="1" applyNumberFormat="1" applyFont="1" applyFill="1" applyBorder="1" applyAlignment="1">
      <alignment horizontal="justify" vertical="top" wrapText="1"/>
    </xf>
    <xf numFmtId="3" fontId="3" fillId="0" borderId="8" xfId="1" applyNumberFormat="1" applyFont="1" applyFill="1" applyBorder="1" applyAlignment="1">
      <alignment horizontal="center" vertical="center"/>
    </xf>
    <xf numFmtId="3" fontId="3" fillId="0" borderId="36" xfId="10" applyNumberFormat="1" applyFont="1" applyFill="1" applyBorder="1" applyAlignment="1">
      <alignment horizontal="right" vertical="center"/>
    </xf>
    <xf numFmtId="4" fontId="3" fillId="0" borderId="40" xfId="1" applyNumberFormat="1" applyFont="1" applyFill="1" applyBorder="1" applyAlignment="1">
      <alignment horizontal="center" vertical="center"/>
    </xf>
    <xf numFmtId="4" fontId="3" fillId="0" borderId="39" xfId="1" applyNumberFormat="1" applyFont="1" applyFill="1" applyBorder="1" applyAlignment="1">
      <alignment horizontal="center" vertical="center"/>
    </xf>
    <xf numFmtId="4" fontId="3" fillId="0" borderId="31" xfId="1" applyNumberFormat="1" applyFont="1" applyFill="1" applyBorder="1" applyAlignment="1">
      <alignment horizontal="center" vertical="center"/>
    </xf>
    <xf numFmtId="0" fontId="5" fillId="0" borderId="3" xfId="1" applyFont="1" applyFill="1" applyBorder="1" applyAlignment="1">
      <alignment horizontal="center" vertical="center" wrapText="1"/>
    </xf>
    <xf numFmtId="0" fontId="5" fillId="0" borderId="4" xfId="1" applyFont="1" applyFill="1" applyBorder="1" applyAlignment="1">
      <alignment horizontal="center" vertical="center" wrapText="1"/>
    </xf>
    <xf numFmtId="3" fontId="5" fillId="0" borderId="4" xfId="1" applyNumberFormat="1" applyFont="1" applyFill="1" applyBorder="1" applyAlignment="1">
      <alignment horizontal="center" vertical="center" wrapText="1"/>
    </xf>
    <xf numFmtId="0" fontId="5" fillId="0" borderId="35" xfId="1" applyFont="1" applyFill="1" applyBorder="1" applyAlignment="1">
      <alignment horizontal="center" vertical="center" wrapText="1"/>
    </xf>
    <xf numFmtId="4" fontId="5" fillId="0" borderId="3" xfId="1" applyNumberFormat="1" applyFont="1" applyFill="1" applyBorder="1" applyAlignment="1">
      <alignment horizontal="center" vertical="center" wrapText="1"/>
    </xf>
    <xf numFmtId="4" fontId="5" fillId="0" borderId="4" xfId="1" applyNumberFormat="1" applyFont="1" applyFill="1" applyBorder="1" applyAlignment="1">
      <alignment horizontal="center" vertical="center" wrapText="1"/>
    </xf>
    <xf numFmtId="4" fontId="5" fillId="0" borderId="35" xfId="1" applyNumberFormat="1" applyFont="1" applyFill="1" applyBorder="1" applyAlignment="1">
      <alignment horizontal="center" vertical="center" wrapText="1"/>
    </xf>
    <xf numFmtId="0" fontId="5" fillId="0" borderId="37" xfId="1" applyNumberFormat="1" applyFont="1" applyFill="1" applyBorder="1" applyAlignment="1">
      <alignment horizontal="center" vertical="center" wrapText="1"/>
    </xf>
    <xf numFmtId="0" fontId="5" fillId="0" borderId="4" xfId="1" applyNumberFormat="1" applyFont="1" applyFill="1" applyBorder="1" applyAlignment="1">
      <alignment horizontal="center" vertical="center" wrapText="1"/>
    </xf>
    <xf numFmtId="4" fontId="3" fillId="0" borderId="3" xfId="8" applyNumberFormat="1" applyFont="1" applyFill="1" applyBorder="1" applyAlignment="1">
      <alignment horizontal="center" vertical="center"/>
    </xf>
    <xf numFmtId="4" fontId="3" fillId="0" borderId="4" xfId="8" applyNumberFormat="1" applyFont="1" applyFill="1" applyBorder="1" applyAlignment="1">
      <alignment horizontal="center" vertical="center"/>
    </xf>
    <xf numFmtId="4" fontId="3" fillId="0" borderId="4" xfId="10" applyNumberFormat="1" applyFont="1" applyFill="1" applyBorder="1" applyAlignment="1">
      <alignment horizontal="center" vertical="center"/>
    </xf>
    <xf numFmtId="0" fontId="3" fillId="0" borderId="37" xfId="1" applyNumberFormat="1" applyFont="1" applyFill="1" applyBorder="1" applyAlignment="1">
      <alignment horizontal="center" vertical="center"/>
    </xf>
    <xf numFmtId="0" fontId="3" fillId="0" borderId="4" xfId="1" applyNumberFormat="1" applyFont="1" applyFill="1" applyBorder="1" applyAlignment="1">
      <alignment horizontal="center" vertical="center"/>
    </xf>
    <xf numFmtId="4" fontId="3" fillId="0" borderId="35" xfId="11" applyNumberFormat="1" applyFont="1" applyFill="1" applyBorder="1" applyAlignment="1">
      <alignment horizontal="right" vertical="center" wrapText="1"/>
    </xf>
    <xf numFmtId="4" fontId="3" fillId="0" borderId="38" xfId="11" applyNumberFormat="1" applyFont="1" applyFill="1" applyBorder="1" applyAlignment="1">
      <alignment horizontal="right" vertical="center" wrapText="1"/>
    </xf>
    <xf numFmtId="0" fontId="3" fillId="0" borderId="39" xfId="1" applyNumberFormat="1" applyFont="1" applyFill="1" applyBorder="1" applyAlignment="1">
      <alignment horizontal="center" vertical="center"/>
    </xf>
    <xf numFmtId="0" fontId="3" fillId="0" borderId="31" xfId="1" applyNumberFormat="1" applyFont="1" applyFill="1" applyBorder="1" applyAlignment="1">
      <alignment horizontal="center" vertical="center"/>
    </xf>
    <xf numFmtId="0" fontId="3" fillId="0" borderId="8" xfId="1" applyNumberFormat="1" applyFont="1" applyFill="1" applyBorder="1" applyAlignment="1">
      <alignment horizontal="center" vertical="center"/>
    </xf>
    <xf numFmtId="4" fontId="3" fillId="0" borderId="3" xfId="1" applyNumberFormat="1" applyFont="1" applyFill="1" applyBorder="1" applyAlignment="1">
      <alignment horizontal="right" vertical="top"/>
    </xf>
    <xf numFmtId="0" fontId="5" fillId="0" borderId="3" xfId="1" applyFont="1" applyFill="1" applyBorder="1" applyAlignment="1">
      <alignment horizontal="center" vertical="top" wrapText="1"/>
    </xf>
    <xf numFmtId="0" fontId="11" fillId="0" borderId="4" xfId="1" applyFont="1" applyFill="1" applyBorder="1" applyAlignment="1">
      <alignment horizontal="justify" vertical="top" wrapText="1"/>
    </xf>
    <xf numFmtId="4" fontId="5" fillId="0" borderId="37" xfId="1" applyNumberFormat="1" applyFont="1" applyFill="1" applyBorder="1" applyAlignment="1">
      <alignment horizontal="center" vertical="center" wrapText="1"/>
    </xf>
    <xf numFmtId="3" fontId="3" fillId="0" borderId="35" xfId="1" applyNumberFormat="1" applyFont="1" applyFill="1" applyBorder="1" applyAlignment="1">
      <alignment horizontal="right" vertical="center"/>
    </xf>
    <xf numFmtId="4" fontId="3" fillId="0" borderId="38" xfId="12" applyNumberFormat="1" applyFont="1" applyFill="1" applyBorder="1" applyAlignment="1">
      <alignment horizontal="right" vertical="center" wrapText="1"/>
    </xf>
    <xf numFmtId="0" fontId="5" fillId="0" borderId="37" xfId="1" applyFont="1" applyFill="1" applyBorder="1" applyAlignment="1">
      <alignment horizontal="center" vertical="center" wrapText="1"/>
    </xf>
    <xf numFmtId="0" fontId="5" fillId="0" borderId="7" xfId="1" applyFont="1" applyFill="1" applyBorder="1" applyAlignment="1">
      <alignment horizontal="center" vertical="center" wrapText="1"/>
    </xf>
    <xf numFmtId="0" fontId="11" fillId="0" borderId="8" xfId="1" applyFont="1" applyFill="1" applyBorder="1" applyAlignment="1">
      <alignment horizontal="justify" vertical="top" wrapText="1"/>
    </xf>
    <xf numFmtId="0" fontId="5" fillId="0" borderId="8" xfId="1" applyFont="1" applyFill="1" applyBorder="1" applyAlignment="1">
      <alignment horizontal="center" vertical="center" wrapText="1"/>
    </xf>
    <xf numFmtId="3" fontId="5" fillId="0" borderId="8" xfId="1" applyNumberFormat="1" applyFont="1" applyFill="1" applyBorder="1" applyAlignment="1">
      <alignment horizontal="center" vertical="center" wrapText="1"/>
    </xf>
    <xf numFmtId="0" fontId="5" fillId="0" borderId="36" xfId="1" applyFont="1" applyFill="1" applyBorder="1" applyAlignment="1">
      <alignment horizontal="center" vertical="center" wrapText="1"/>
    </xf>
    <xf numFmtId="0" fontId="5" fillId="0" borderId="40" xfId="1" applyFont="1" applyFill="1" applyBorder="1" applyAlignment="1">
      <alignment horizontal="center" vertical="center" wrapText="1"/>
    </xf>
    <xf numFmtId="0" fontId="5" fillId="0" borderId="30" xfId="1" applyFont="1" applyFill="1" applyBorder="1" applyAlignment="1">
      <alignment horizontal="center" vertical="center" wrapText="1"/>
    </xf>
    <xf numFmtId="0" fontId="11" fillId="0" borderId="31" xfId="1" applyFont="1" applyFill="1" applyBorder="1" applyAlignment="1">
      <alignment horizontal="justify" vertical="top" wrapText="1"/>
    </xf>
    <xf numFmtId="0" fontId="5" fillId="0" borderId="31" xfId="1" applyFont="1" applyFill="1" applyBorder="1" applyAlignment="1">
      <alignment horizontal="center" vertical="center" wrapText="1"/>
    </xf>
    <xf numFmtId="3" fontId="5" fillId="0" borderId="31" xfId="1" applyNumberFormat="1" applyFont="1" applyFill="1" applyBorder="1" applyAlignment="1">
      <alignment horizontal="center" vertical="center" wrapText="1"/>
    </xf>
    <xf numFmtId="0" fontId="5" fillId="0" borderId="38" xfId="1" applyFont="1" applyFill="1" applyBorder="1" applyAlignment="1">
      <alignment horizontal="center" vertical="center" wrapText="1"/>
    </xf>
    <xf numFmtId="0" fontId="5" fillId="0" borderId="39" xfId="1" applyFont="1" applyFill="1" applyBorder="1" applyAlignment="1">
      <alignment horizontal="center" vertical="center" wrapText="1"/>
    </xf>
    <xf numFmtId="4" fontId="3" fillId="0" borderId="7" xfId="1" applyNumberFormat="1" applyFont="1" applyFill="1" applyBorder="1" applyAlignment="1">
      <alignment horizontal="center" vertical="top" wrapText="1"/>
    </xf>
    <xf numFmtId="3" fontId="3" fillId="0" borderId="4" xfId="10" applyNumberFormat="1" applyFont="1" applyFill="1" applyBorder="1" applyAlignment="1">
      <alignment horizontal="right" vertical="center"/>
    </xf>
    <xf numFmtId="3" fontId="3" fillId="0" borderId="37" xfId="10" applyNumberFormat="1" applyFont="1" applyFill="1" applyBorder="1" applyAlignment="1">
      <alignment horizontal="right" vertical="center"/>
    </xf>
    <xf numFmtId="37" fontId="5" fillId="0" borderId="8" xfId="13" applyNumberFormat="1" applyFont="1" applyFill="1" applyBorder="1" applyAlignment="1">
      <alignment horizontal="justify" vertical="top" wrapText="1"/>
    </xf>
    <xf numFmtId="0" fontId="3" fillId="0" borderId="4" xfId="1" applyFont="1" applyFill="1" applyBorder="1" applyAlignment="1">
      <alignment horizontal="center" vertical="top"/>
    </xf>
    <xf numFmtId="0" fontId="3" fillId="0" borderId="31" xfId="1" applyFont="1" applyFill="1" applyBorder="1" applyAlignment="1">
      <alignment horizontal="center" vertical="top"/>
    </xf>
    <xf numFmtId="3" fontId="3" fillId="0" borderId="36" xfId="1" applyNumberFormat="1" applyFont="1" applyFill="1" applyBorder="1" applyAlignment="1">
      <alignment horizontal="right" vertical="center"/>
    </xf>
    <xf numFmtId="0" fontId="3" fillId="4" borderId="37" xfId="1" applyNumberFormat="1" applyFont="1" applyFill="1" applyBorder="1" applyAlignment="1">
      <alignment horizontal="center" vertical="center"/>
    </xf>
    <xf numFmtId="4" fontId="3" fillId="0" borderId="3" xfId="1" applyNumberFormat="1" applyFont="1" applyFill="1" applyBorder="1" applyAlignment="1">
      <alignment horizontal="right" vertical="top" wrapText="1"/>
    </xf>
    <xf numFmtId="0" fontId="3" fillId="0" borderId="3" xfId="1" applyFont="1" applyFill="1" applyBorder="1" applyAlignment="1">
      <alignment horizontal="right" vertical="center" wrapText="1"/>
    </xf>
    <xf numFmtId="37" fontId="3" fillId="0" borderId="4" xfId="1" applyNumberFormat="1" applyFont="1" applyFill="1" applyBorder="1" applyAlignment="1">
      <alignment horizontal="justify" vertical="top" wrapText="1"/>
    </xf>
    <xf numFmtId="3" fontId="3" fillId="0" borderId="4" xfId="1" applyNumberFormat="1" applyFont="1" applyFill="1" applyBorder="1" applyAlignment="1">
      <alignment horizontal="center" vertical="center" wrapText="1"/>
    </xf>
    <xf numFmtId="37" fontId="5" fillId="0" borderId="4" xfId="13" applyNumberFormat="1" applyFont="1" applyFill="1" applyBorder="1" applyAlignment="1">
      <alignment horizontal="justify" vertical="top" wrapText="1"/>
    </xf>
    <xf numFmtId="4" fontId="3" fillId="0" borderId="30" xfId="1" applyNumberFormat="1" applyFont="1" applyFill="1" applyBorder="1" applyAlignment="1">
      <alignment horizontal="center" vertical="top" wrapText="1"/>
    </xf>
    <xf numFmtId="3" fontId="3" fillId="0" borderId="38" xfId="1" applyNumberFormat="1" applyFont="1" applyFill="1" applyBorder="1" applyAlignment="1">
      <alignment horizontal="right" vertical="center"/>
    </xf>
    <xf numFmtId="4" fontId="3" fillId="0" borderId="30" xfId="1" applyNumberFormat="1" applyFont="1" applyFill="1" applyBorder="1" applyAlignment="1">
      <alignment horizontal="right" vertical="top" wrapText="1"/>
    </xf>
    <xf numFmtId="4" fontId="3" fillId="0" borderId="7" xfId="1" applyNumberFormat="1" applyFont="1" applyFill="1" applyBorder="1" applyAlignment="1">
      <alignment horizontal="right" vertical="top" wrapText="1"/>
    </xf>
    <xf numFmtId="4" fontId="3" fillId="0" borderId="3" xfId="1" applyNumberFormat="1" applyFont="1" applyFill="1" applyBorder="1" applyAlignment="1">
      <alignment horizontal="center" wrapText="1"/>
    </xf>
    <xf numFmtId="4" fontId="3" fillId="0" borderId="4" xfId="1" applyNumberFormat="1" applyFont="1" applyFill="1" applyBorder="1" applyAlignment="1">
      <alignment horizontal="justify" wrapText="1"/>
    </xf>
    <xf numFmtId="0" fontId="5" fillId="0" borderId="7" xfId="10" applyFont="1" applyFill="1" applyBorder="1" applyAlignment="1">
      <alignment horizontal="center" vertical="center" wrapText="1"/>
    </xf>
    <xf numFmtId="0" fontId="5" fillId="0" borderId="8" xfId="10" applyFont="1" applyFill="1" applyBorder="1" applyAlignment="1">
      <alignment horizontal="center" vertical="center" wrapText="1"/>
    </xf>
    <xf numFmtId="3" fontId="5" fillId="0" borderId="8" xfId="10" applyNumberFormat="1" applyFont="1" applyFill="1" applyBorder="1" applyAlignment="1">
      <alignment horizontal="center" vertical="center" wrapText="1"/>
    </xf>
    <xf numFmtId="0" fontId="5" fillId="0" borderId="36" xfId="10" applyFont="1" applyFill="1" applyBorder="1" applyAlignment="1">
      <alignment horizontal="center" vertical="center" wrapText="1"/>
    </xf>
    <xf numFmtId="0" fontId="5" fillId="0" borderId="40" xfId="10" applyFont="1" applyFill="1" applyBorder="1" applyAlignment="1">
      <alignment horizontal="center" vertical="center" wrapText="1"/>
    </xf>
    <xf numFmtId="4" fontId="3" fillId="0" borderId="0" xfId="10" applyNumberFormat="1" applyFont="1" applyFill="1" applyBorder="1" applyAlignment="1">
      <alignment horizontal="center" vertical="center"/>
    </xf>
    <xf numFmtId="3" fontId="3" fillId="0" borderId="38" xfId="10" applyNumberFormat="1" applyFont="1" applyFill="1" applyBorder="1" applyAlignment="1">
      <alignment horizontal="right" vertical="center"/>
    </xf>
    <xf numFmtId="3" fontId="3" fillId="0" borderId="40" xfId="1" applyNumberFormat="1" applyFont="1" applyFill="1" applyBorder="1" applyAlignment="1">
      <alignment horizontal="center" vertical="center"/>
    </xf>
    <xf numFmtId="3" fontId="3" fillId="0" borderId="4" xfId="14" applyNumberFormat="1" applyFont="1" applyFill="1" applyBorder="1" applyAlignment="1">
      <alignment horizontal="center" vertical="center"/>
    </xf>
    <xf numFmtId="3" fontId="3" fillId="0" borderId="37" xfId="14" applyNumberFormat="1" applyFont="1" applyFill="1" applyBorder="1" applyAlignment="1">
      <alignment horizontal="center" vertical="center"/>
    </xf>
    <xf numFmtId="3" fontId="3" fillId="0" borderId="4" xfId="1" applyNumberFormat="1" applyFont="1" applyFill="1" applyBorder="1" applyAlignment="1">
      <alignment horizontal="justify" vertical="top" wrapText="1"/>
    </xf>
    <xf numFmtId="2" fontId="3" fillId="0" borderId="3" xfId="1" applyNumberFormat="1" applyFont="1" applyFill="1" applyBorder="1" applyAlignment="1">
      <alignment horizontal="center" vertical="top" wrapText="1"/>
    </xf>
    <xf numFmtId="2" fontId="3" fillId="0" borderId="30" xfId="1" applyNumberFormat="1" applyFont="1" applyFill="1" applyBorder="1" applyAlignment="1">
      <alignment horizontal="right" vertical="top" wrapText="1"/>
    </xf>
    <xf numFmtId="2" fontId="3" fillId="0" borderId="7" xfId="1" applyNumberFormat="1" applyFont="1" applyFill="1" applyBorder="1" applyAlignment="1">
      <alignment horizontal="right" vertical="top" wrapText="1"/>
    </xf>
    <xf numFmtId="2" fontId="3" fillId="0" borderId="3" xfId="1" applyNumberFormat="1" applyFont="1" applyFill="1" applyBorder="1" applyAlignment="1">
      <alignment horizontal="right" vertical="top" wrapText="1"/>
    </xf>
    <xf numFmtId="2" fontId="5" fillId="0" borderId="3" xfId="1" applyNumberFormat="1" applyFont="1" applyFill="1" applyBorder="1" applyAlignment="1">
      <alignment horizontal="center" vertical="center" wrapText="1"/>
    </xf>
    <xf numFmtId="2" fontId="3" fillId="0" borderId="30" xfId="1" applyNumberFormat="1" applyFont="1" applyFill="1" applyBorder="1" applyAlignment="1">
      <alignment horizontal="center" vertical="top" wrapText="1"/>
    </xf>
    <xf numFmtId="2" fontId="3" fillId="0" borderId="7" xfId="1" applyNumberFormat="1" applyFont="1" applyFill="1" applyBorder="1" applyAlignment="1">
      <alignment horizontal="center" vertical="top" wrapText="1"/>
    </xf>
    <xf numFmtId="3" fontId="3" fillId="0" borderId="4" xfId="10" applyNumberFormat="1" applyFont="1" applyFill="1" applyBorder="1" applyAlignment="1">
      <alignment horizontal="center" vertical="center"/>
    </xf>
    <xf numFmtId="3" fontId="3" fillId="0" borderId="37" xfId="10" applyNumberFormat="1" applyFont="1" applyFill="1" applyBorder="1" applyAlignment="1">
      <alignment horizontal="center" vertical="center"/>
    </xf>
    <xf numFmtId="3" fontId="5" fillId="0" borderId="4" xfId="10" applyNumberFormat="1" applyFont="1" applyFill="1" applyBorder="1" applyAlignment="1">
      <alignment horizontal="center" vertical="center" wrapText="1"/>
    </xf>
    <xf numFmtId="0" fontId="5" fillId="0" borderId="37" xfId="10" applyFont="1" applyFill="1" applyBorder="1" applyAlignment="1">
      <alignment horizontal="center" vertical="center" wrapText="1"/>
    </xf>
    <xf numFmtId="0" fontId="5" fillId="0" borderId="4" xfId="10" applyFont="1" applyFill="1" applyBorder="1" applyAlignment="1">
      <alignment horizontal="center" vertical="center" wrapText="1"/>
    </xf>
    <xf numFmtId="3" fontId="3" fillId="0" borderId="31" xfId="10" applyNumberFormat="1" applyFont="1" applyFill="1" applyBorder="1" applyAlignment="1">
      <alignment horizontal="center" vertical="center"/>
    </xf>
    <xf numFmtId="3" fontId="3" fillId="0" borderId="39" xfId="10" applyNumberFormat="1" applyFont="1" applyFill="1" applyBorder="1" applyAlignment="1">
      <alignment horizontal="center" vertical="center"/>
    </xf>
    <xf numFmtId="3" fontId="3" fillId="0" borderId="8" xfId="10" applyNumberFormat="1" applyFont="1" applyFill="1" applyBorder="1" applyAlignment="1">
      <alignment horizontal="center" vertical="center"/>
    </xf>
    <xf numFmtId="3" fontId="3" fillId="0" borderId="40" xfId="10" applyNumberFormat="1" applyFont="1" applyFill="1" applyBorder="1" applyAlignment="1">
      <alignment horizontal="center" vertical="center"/>
    </xf>
    <xf numFmtId="2" fontId="3" fillId="0" borderId="7" xfId="15" applyNumberFormat="1" applyFont="1" applyFill="1" applyBorder="1" applyAlignment="1">
      <alignment horizontal="center" vertical="top" wrapText="1"/>
    </xf>
    <xf numFmtId="4" fontId="3" fillId="0" borderId="8" xfId="15" applyNumberFormat="1" applyFont="1" applyFill="1" applyBorder="1" applyAlignment="1">
      <alignment horizontal="justify" vertical="top" wrapText="1"/>
    </xf>
    <xf numFmtId="3" fontId="3" fillId="0" borderId="8" xfId="15" applyNumberFormat="1" applyFont="1" applyFill="1" applyBorder="1" applyAlignment="1">
      <alignment horizontal="center" vertical="center"/>
    </xf>
    <xf numFmtId="4" fontId="3" fillId="0" borderId="0" xfId="15" applyNumberFormat="1" applyFont="1" applyFill="1" applyBorder="1" applyAlignment="1">
      <alignment horizontal="center" vertical="center"/>
    </xf>
    <xf numFmtId="2" fontId="3" fillId="0" borderId="3" xfId="15" applyNumberFormat="1" applyFont="1" applyFill="1" applyBorder="1" applyAlignment="1">
      <alignment horizontal="center" vertical="top" wrapText="1"/>
    </xf>
    <xf numFmtId="4" fontId="3" fillId="0" borderId="4" xfId="15" applyNumberFormat="1" applyFont="1" applyFill="1" applyBorder="1" applyAlignment="1">
      <alignment horizontal="justify" vertical="top" wrapText="1"/>
    </xf>
    <xf numFmtId="3" fontId="3" fillId="0" borderId="4" xfId="15" applyNumberFormat="1" applyFont="1" applyFill="1" applyBorder="1" applyAlignment="1">
      <alignment horizontal="center" vertical="center"/>
    </xf>
    <xf numFmtId="3" fontId="3" fillId="0" borderId="35" xfId="15" applyNumberFormat="1" applyFont="1" applyFill="1" applyBorder="1" applyAlignment="1">
      <alignment horizontal="right" vertical="center"/>
    </xf>
    <xf numFmtId="3" fontId="3" fillId="0" borderId="37" xfId="15" applyNumberFormat="1" applyFont="1" applyFill="1" applyBorder="1" applyAlignment="1">
      <alignment horizontal="center" vertical="center"/>
    </xf>
    <xf numFmtId="4" fontId="3" fillId="0" borderId="3" xfId="15" applyNumberFormat="1" applyFont="1" applyFill="1" applyBorder="1" applyAlignment="1">
      <alignment horizontal="right" vertical="top" wrapText="1"/>
    </xf>
    <xf numFmtId="2" fontId="3" fillId="0" borderId="3" xfId="16" applyNumberFormat="1" applyFont="1" applyFill="1" applyBorder="1" applyAlignment="1">
      <alignment horizontal="center" vertical="top"/>
    </xf>
    <xf numFmtId="0" fontId="13" fillId="0" borderId="4" xfId="16" applyNumberFormat="1" applyFont="1" applyFill="1" applyBorder="1" applyAlignment="1">
      <alignment horizontal="left"/>
    </xf>
    <xf numFmtId="0" fontId="3" fillId="0" borderId="4" xfId="16" applyNumberFormat="1" applyFont="1" applyFill="1" applyBorder="1" applyAlignment="1">
      <alignment horizontal="center" vertical="center"/>
    </xf>
    <xf numFmtId="1" fontId="3" fillId="0" borderId="4" xfId="16" applyNumberFormat="1" applyFont="1" applyFill="1" applyBorder="1" applyAlignment="1">
      <alignment horizontal="center" vertical="center"/>
    </xf>
    <xf numFmtId="3" fontId="3" fillId="0" borderId="4" xfId="16" applyNumberFormat="1" applyFont="1" applyFill="1" applyBorder="1" applyAlignment="1">
      <alignment horizontal="center" vertical="center"/>
    </xf>
    <xf numFmtId="3" fontId="3" fillId="0" borderId="9" xfId="16" applyNumberFormat="1" applyFont="1" applyFill="1" applyBorder="1" applyAlignment="1">
      <alignment horizontal="right" vertical="center"/>
    </xf>
    <xf numFmtId="2" fontId="3" fillId="0" borderId="37" xfId="16" applyNumberFormat="1" applyFont="1" applyFill="1" applyBorder="1" applyAlignment="1">
      <alignment horizontal="center" vertical="center"/>
    </xf>
    <xf numFmtId="2" fontId="3" fillId="0" borderId="4" xfId="16" applyNumberFormat="1" applyFont="1" applyFill="1" applyBorder="1" applyAlignment="1">
      <alignment horizontal="center" vertical="center"/>
    </xf>
    <xf numFmtId="4" fontId="3" fillId="0" borderId="0" xfId="16" applyNumberFormat="1" applyFont="1" applyFill="1" applyAlignment="1">
      <alignment horizontal="center" vertical="center"/>
    </xf>
    <xf numFmtId="2" fontId="3" fillId="0" borderId="3" xfId="16" applyNumberFormat="1" applyFont="1" applyFill="1" applyBorder="1" applyAlignment="1">
      <alignment horizontal="center"/>
    </xf>
    <xf numFmtId="0" fontId="3" fillId="0" borderId="4" xfId="16" applyNumberFormat="1" applyFont="1" applyFill="1" applyBorder="1" applyAlignment="1">
      <alignment horizontal="justify" vertical="top"/>
    </xf>
    <xf numFmtId="3" fontId="3" fillId="0" borderId="37" xfId="16" applyNumberFormat="1" applyFont="1" applyFill="1" applyBorder="1" applyAlignment="1">
      <alignment horizontal="center" vertical="center"/>
    </xf>
    <xf numFmtId="0" fontId="3" fillId="0" borderId="4" xfId="16" applyNumberFormat="1" applyFont="1" applyFill="1" applyBorder="1" applyAlignment="1">
      <alignment horizontal="left"/>
    </xf>
    <xf numFmtId="3" fontId="3" fillId="0" borderId="4" xfId="17" applyNumberFormat="1" applyFont="1" applyFill="1" applyBorder="1" applyAlignment="1">
      <alignment horizontal="center" vertical="center"/>
    </xf>
    <xf numFmtId="3" fontId="3" fillId="0" borderId="9" xfId="17" applyNumberFormat="1" applyFont="1" applyFill="1" applyBorder="1" applyAlignment="1">
      <alignment horizontal="right" vertical="center"/>
    </xf>
    <xf numFmtId="3" fontId="3" fillId="0" borderId="37" xfId="17" applyNumberFormat="1" applyFont="1" applyFill="1" applyBorder="1" applyAlignment="1">
      <alignment horizontal="center" vertical="center"/>
    </xf>
    <xf numFmtId="3" fontId="3" fillId="0" borderId="9" xfId="10" applyNumberFormat="1" applyFont="1" applyFill="1" applyBorder="1" applyAlignment="1">
      <alignment horizontal="right" vertical="center"/>
    </xf>
    <xf numFmtId="0" fontId="3" fillId="0" borderId="4" xfId="16" applyNumberFormat="1" applyFont="1" applyFill="1" applyBorder="1" applyAlignment="1">
      <alignment vertical="center"/>
    </xf>
    <xf numFmtId="2" fontId="3" fillId="0" borderId="30" xfId="16" applyNumberFormat="1" applyFont="1" applyFill="1" applyBorder="1" applyAlignment="1">
      <alignment horizontal="center" vertical="top"/>
    </xf>
    <xf numFmtId="0" fontId="3" fillId="0" borderId="31" xfId="16" applyNumberFormat="1" applyFont="1" applyFill="1" applyBorder="1" applyAlignment="1">
      <alignment horizontal="justify" vertical="top"/>
    </xf>
    <xf numFmtId="0" fontId="3" fillId="0" borderId="31" xfId="16" applyNumberFormat="1" applyFont="1" applyFill="1" applyBorder="1" applyAlignment="1">
      <alignment horizontal="center" vertical="center"/>
    </xf>
    <xf numFmtId="3" fontId="3" fillId="0" borderId="31" xfId="17" applyNumberFormat="1" applyFont="1" applyFill="1" applyBorder="1" applyAlignment="1">
      <alignment horizontal="center" vertical="center"/>
    </xf>
    <xf numFmtId="3" fontId="3" fillId="0" borderId="41" xfId="17" applyNumberFormat="1" applyFont="1" applyFill="1" applyBorder="1" applyAlignment="1">
      <alignment horizontal="right" vertical="center"/>
    </xf>
    <xf numFmtId="3" fontId="3" fillId="0" borderId="39" xfId="17" applyNumberFormat="1" applyFont="1" applyFill="1" applyBorder="1" applyAlignment="1">
      <alignment horizontal="center" vertical="center"/>
    </xf>
    <xf numFmtId="2" fontId="3" fillId="0" borderId="7" xfId="16" applyNumberFormat="1" applyFont="1" applyFill="1" applyBorder="1" applyAlignment="1">
      <alignment horizontal="center" vertical="top"/>
    </xf>
    <xf numFmtId="0" fontId="3" fillId="0" borderId="8" xfId="16" applyNumberFormat="1" applyFont="1" applyFill="1" applyBorder="1" applyAlignment="1">
      <alignment horizontal="justify" vertical="top"/>
    </xf>
    <xf numFmtId="0" fontId="3" fillId="0" borderId="8" xfId="16" applyNumberFormat="1" applyFont="1" applyFill="1" applyBorder="1" applyAlignment="1">
      <alignment horizontal="center" vertical="center"/>
    </xf>
    <xf numFmtId="3" fontId="3" fillId="0" borderId="8" xfId="17" applyNumberFormat="1" applyFont="1" applyFill="1" applyBorder="1" applyAlignment="1">
      <alignment horizontal="center" vertical="center"/>
    </xf>
    <xf numFmtId="3" fontId="3" fillId="0" borderId="13" xfId="17" applyNumberFormat="1" applyFont="1" applyFill="1" applyBorder="1" applyAlignment="1">
      <alignment horizontal="right" vertical="center"/>
    </xf>
    <xf numFmtId="3" fontId="3" fillId="0" borderId="40" xfId="17" applyNumberFormat="1" applyFont="1" applyFill="1" applyBorder="1" applyAlignment="1">
      <alignment horizontal="center" vertical="center"/>
    </xf>
    <xf numFmtId="2" fontId="3" fillId="0" borderId="3" xfId="16" applyNumberFormat="1" applyFont="1" applyFill="1" applyBorder="1" applyAlignment="1">
      <alignment horizontal="center" vertical="center"/>
    </xf>
    <xf numFmtId="0" fontId="13" fillId="0" borderId="4" xfId="16" applyNumberFormat="1" applyFont="1" applyFill="1" applyBorder="1" applyAlignment="1">
      <alignment horizontal="left" vertical="center"/>
    </xf>
    <xf numFmtId="0" fontId="13" fillId="0" borderId="8" xfId="16" applyNumberFormat="1" applyFont="1" applyFill="1" applyBorder="1" applyAlignment="1">
      <alignment horizontal="left" vertical="center"/>
    </xf>
    <xf numFmtId="0" fontId="3" fillId="0" borderId="8" xfId="16" applyNumberFormat="1" applyFont="1" applyFill="1" applyBorder="1" applyAlignment="1">
      <alignment vertical="center"/>
    </xf>
    <xf numFmtId="0" fontId="3" fillId="0" borderId="4" xfId="16" applyNumberFormat="1" applyFont="1" applyFill="1" applyBorder="1" applyAlignment="1">
      <alignment horizontal="left" vertical="center"/>
    </xf>
    <xf numFmtId="3" fontId="3" fillId="0" borderId="4" xfId="10" applyNumberFormat="1" applyFont="1" applyFill="1" applyBorder="1" applyAlignment="1">
      <alignment vertical="center"/>
    </xf>
    <xf numFmtId="3" fontId="3" fillId="0" borderId="37" xfId="10" applyNumberFormat="1" applyFont="1" applyFill="1" applyBorder="1" applyAlignment="1">
      <alignment vertical="center"/>
    </xf>
    <xf numFmtId="2" fontId="3" fillId="0" borderId="30" xfId="16" applyNumberFormat="1" applyFont="1" applyFill="1" applyBorder="1" applyAlignment="1">
      <alignment horizontal="center"/>
    </xf>
    <xf numFmtId="0" fontId="3" fillId="0" borderId="31" xfId="16" applyNumberFormat="1" applyFont="1" applyFill="1" applyBorder="1" applyAlignment="1">
      <alignment horizontal="left"/>
    </xf>
    <xf numFmtId="3" fontId="3" fillId="0" borderId="31" xfId="10" applyNumberFormat="1" applyFont="1" applyFill="1" applyBorder="1" applyAlignment="1">
      <alignment vertical="center"/>
    </xf>
    <xf numFmtId="3" fontId="3" fillId="0" borderId="39" xfId="10" applyNumberFormat="1" applyFont="1" applyFill="1" applyBorder="1" applyAlignment="1">
      <alignment vertical="center"/>
    </xf>
    <xf numFmtId="2" fontId="3" fillId="0" borderId="7" xfId="16" applyNumberFormat="1" applyFont="1" applyFill="1" applyBorder="1" applyAlignment="1">
      <alignment horizontal="center"/>
    </xf>
    <xf numFmtId="0" fontId="13" fillId="0" borderId="8" xfId="16" applyNumberFormat="1" applyFont="1" applyFill="1" applyBorder="1" applyAlignment="1">
      <alignment horizontal="left"/>
    </xf>
    <xf numFmtId="3" fontId="3" fillId="0" borderId="8" xfId="10" applyNumberFormat="1" applyFont="1" applyFill="1" applyBorder="1" applyAlignment="1">
      <alignment vertical="center"/>
    </xf>
    <xf numFmtId="3" fontId="3" fillId="0" borderId="40" xfId="10" applyNumberFormat="1" applyFont="1" applyFill="1" applyBorder="1" applyAlignment="1">
      <alignment vertical="center"/>
    </xf>
    <xf numFmtId="3" fontId="3" fillId="0" borderId="4" xfId="17" applyNumberFormat="1" applyFont="1" applyFill="1" applyBorder="1" applyAlignment="1">
      <alignment vertical="center"/>
    </xf>
    <xf numFmtId="3" fontId="3" fillId="0" borderId="37" xfId="17" applyNumberFormat="1" applyFont="1" applyFill="1" applyBorder="1" applyAlignment="1">
      <alignment vertical="center"/>
    </xf>
    <xf numFmtId="2" fontId="3" fillId="0" borderId="3" xfId="16" applyNumberFormat="1" applyFont="1" applyFill="1" applyBorder="1" applyAlignment="1"/>
    <xf numFmtId="0" fontId="3" fillId="0" borderId="4" xfId="16" applyNumberFormat="1" applyFont="1" applyFill="1" applyBorder="1" applyAlignment="1"/>
    <xf numFmtId="2" fontId="3" fillId="0" borderId="3" xfId="16" applyNumberFormat="1" applyFont="1" applyFill="1" applyBorder="1" applyAlignment="1" applyProtection="1">
      <alignment horizontal="center"/>
      <protection locked="0"/>
    </xf>
    <xf numFmtId="0" fontId="14" fillId="0" borderId="4" xfId="16" applyNumberFormat="1" applyFont="1" applyFill="1" applyBorder="1" applyAlignment="1" applyProtection="1">
      <alignment horizontal="left"/>
      <protection locked="0"/>
    </xf>
    <xf numFmtId="0" fontId="3" fillId="0" borderId="4" xfId="16" applyNumberFormat="1" applyFont="1" applyFill="1" applyBorder="1" applyAlignment="1" applyProtection="1">
      <alignment horizontal="justify" vertical="top"/>
      <protection locked="0"/>
    </xf>
    <xf numFmtId="37" fontId="13" fillId="0" borderId="4" xfId="16" applyNumberFormat="1" applyFont="1" applyFill="1" applyBorder="1" applyAlignment="1">
      <alignment horizontal="justify" vertical="top" wrapText="1"/>
    </xf>
    <xf numFmtId="37" fontId="14" fillId="0" borderId="4" xfId="16" applyNumberFormat="1" applyFont="1" applyFill="1" applyBorder="1" applyAlignment="1">
      <alignment horizontal="justify" vertical="top" wrapText="1"/>
    </xf>
    <xf numFmtId="37" fontId="3" fillId="0" borderId="4" xfId="16" applyNumberFormat="1" applyFont="1" applyFill="1" applyBorder="1" applyAlignment="1">
      <alignment horizontal="justify" vertical="top" wrapText="1"/>
    </xf>
    <xf numFmtId="2" fontId="3" fillId="0" borderId="30" xfId="16" applyNumberFormat="1" applyFont="1" applyFill="1" applyBorder="1" applyAlignment="1" applyProtection="1">
      <alignment horizontal="center"/>
      <protection locked="0"/>
    </xf>
    <xf numFmtId="37" fontId="3" fillId="0" borderId="31" xfId="16" applyNumberFormat="1" applyFont="1" applyFill="1" applyBorder="1" applyAlignment="1">
      <alignment horizontal="justify" vertical="top" wrapText="1"/>
    </xf>
    <xf numFmtId="0" fontId="3" fillId="0" borderId="31" xfId="16" applyNumberFormat="1" applyFont="1" applyFill="1" applyBorder="1" applyAlignment="1">
      <alignment vertical="center"/>
    </xf>
    <xf numFmtId="3" fontId="3" fillId="0" borderId="41" xfId="10" applyNumberFormat="1" applyFont="1" applyFill="1" applyBorder="1" applyAlignment="1">
      <alignment horizontal="right" vertical="center"/>
    </xf>
    <xf numFmtId="2" fontId="3" fillId="0" borderId="7" xfId="16" applyNumberFormat="1" applyFont="1" applyFill="1" applyBorder="1" applyAlignment="1" applyProtection="1">
      <alignment horizontal="center"/>
      <protection locked="0"/>
    </xf>
    <xf numFmtId="37" fontId="3" fillId="0" borderId="8" xfId="16" applyNumberFormat="1" applyFont="1" applyFill="1" applyBorder="1" applyAlignment="1">
      <alignment horizontal="justify" vertical="top" wrapText="1"/>
    </xf>
    <xf numFmtId="3" fontId="3" fillId="0" borderId="13" xfId="10" applyNumberFormat="1" applyFont="1" applyFill="1" applyBorder="1" applyAlignment="1">
      <alignment horizontal="right" vertical="center"/>
    </xf>
    <xf numFmtId="0" fontId="3" fillId="0" borderId="4" xfId="16" applyNumberFormat="1" applyFont="1" applyFill="1" applyBorder="1" applyAlignment="1" applyProtection="1">
      <alignment horizontal="left"/>
      <protection locked="0"/>
    </xf>
    <xf numFmtId="0" fontId="15" fillId="0" borderId="7" xfId="8" applyNumberFormat="1" applyFont="1" applyFill="1" applyBorder="1" applyAlignment="1" applyProtection="1">
      <alignment vertical="top"/>
    </xf>
    <xf numFmtId="0" fontId="15" fillId="0" borderId="8" xfId="8" applyNumberFormat="1" applyFont="1" applyFill="1" applyBorder="1" applyAlignment="1" applyProtection="1">
      <alignment vertical="top"/>
    </xf>
    <xf numFmtId="0" fontId="15" fillId="0" borderId="8" xfId="8" applyNumberFormat="1" applyFont="1" applyFill="1" applyBorder="1" applyAlignment="1" applyProtection="1">
      <alignment vertical="center"/>
    </xf>
    <xf numFmtId="3" fontId="15" fillId="0" borderId="8" xfId="8" applyNumberFormat="1" applyFont="1" applyFill="1" applyBorder="1" applyAlignment="1" applyProtection="1">
      <alignment vertical="center"/>
    </xf>
    <xf numFmtId="0" fontId="15" fillId="0" borderId="36" xfId="8" applyNumberFormat="1" applyFont="1" applyFill="1" applyBorder="1" applyAlignment="1" applyProtection="1">
      <alignment vertical="center"/>
    </xf>
    <xf numFmtId="0" fontId="15" fillId="0" borderId="40" xfId="8" applyNumberFormat="1" applyFont="1" applyFill="1" applyBorder="1" applyAlignment="1" applyProtection="1">
      <alignment vertical="center"/>
    </xf>
    <xf numFmtId="4" fontId="5" fillId="0" borderId="0" xfId="8" applyNumberFormat="1" applyFont="1" applyFill="1" applyAlignment="1">
      <alignment horizontal="center" vertical="center"/>
    </xf>
    <xf numFmtId="2" fontId="3" fillId="0" borderId="3" xfId="8" applyNumberFormat="1" applyFont="1" applyFill="1" applyBorder="1" applyAlignment="1" applyProtection="1">
      <alignment horizontal="center" vertical="top"/>
    </xf>
    <xf numFmtId="37" fontId="3" fillId="0" borderId="4" xfId="8" applyFont="1" applyFill="1" applyBorder="1" applyAlignment="1" applyProtection="1">
      <alignment horizontal="justify" vertical="top" wrapText="1"/>
    </xf>
    <xf numFmtId="3" fontId="3" fillId="0" borderId="4" xfId="8" applyNumberFormat="1" applyFont="1" applyFill="1" applyBorder="1" applyAlignment="1" applyProtection="1">
      <alignment horizontal="center" vertical="center" wrapText="1"/>
    </xf>
    <xf numFmtId="3" fontId="3" fillId="0" borderId="4" xfId="8" applyNumberFormat="1" applyFont="1" applyFill="1" applyBorder="1" applyAlignment="1" applyProtection="1">
      <alignment horizontal="center" vertical="center"/>
    </xf>
    <xf numFmtId="3" fontId="3" fillId="0" borderId="35" xfId="17" applyNumberFormat="1" applyFont="1" applyFill="1" applyBorder="1" applyAlignment="1">
      <alignment horizontal="right" vertical="center"/>
    </xf>
    <xf numFmtId="3" fontId="3" fillId="0" borderId="37" xfId="8" applyNumberFormat="1" applyFont="1" applyFill="1" applyBorder="1" applyAlignment="1" applyProtection="1">
      <alignment horizontal="center" vertical="center"/>
    </xf>
    <xf numFmtId="3" fontId="3" fillId="0" borderId="35" xfId="8" applyNumberFormat="1" applyFont="1" applyFill="1" applyBorder="1" applyAlignment="1" applyProtection="1">
      <alignment horizontal="right" vertical="center"/>
    </xf>
    <xf numFmtId="4" fontId="3" fillId="0" borderId="37" xfId="8" applyNumberFormat="1" applyFont="1" applyFill="1" applyBorder="1" applyAlignment="1" applyProtection="1">
      <alignment horizontal="center" vertical="center"/>
    </xf>
    <xf numFmtId="4" fontId="3" fillId="0" borderId="4" xfId="8" applyNumberFormat="1" applyFont="1" applyFill="1" applyBorder="1" applyAlignment="1" applyProtection="1">
      <alignment horizontal="center" vertical="center"/>
    </xf>
    <xf numFmtId="2" fontId="3" fillId="0" borderId="30" xfId="8" applyNumberFormat="1" applyFont="1" applyFill="1" applyBorder="1" applyAlignment="1" applyProtection="1">
      <alignment horizontal="center" vertical="top"/>
    </xf>
    <xf numFmtId="37" fontId="3" fillId="0" borderId="31" xfId="8" applyFont="1" applyFill="1" applyBorder="1" applyAlignment="1" applyProtection="1">
      <alignment horizontal="justify" vertical="top" wrapText="1"/>
    </xf>
    <xf numFmtId="3" fontId="3" fillId="0" borderId="31" xfId="8" applyNumberFormat="1" applyFont="1" applyFill="1" applyBorder="1" applyAlignment="1" applyProtection="1">
      <alignment horizontal="center" vertical="center" wrapText="1"/>
    </xf>
    <xf numFmtId="3" fontId="3" fillId="0" borderId="31" xfId="8" applyNumberFormat="1" applyFont="1" applyFill="1" applyBorder="1" applyAlignment="1" applyProtection="1">
      <alignment horizontal="center" vertical="center"/>
    </xf>
    <xf numFmtId="3" fontId="3" fillId="0" borderId="38" xfId="17" applyNumberFormat="1" applyFont="1" applyFill="1" applyBorder="1" applyAlignment="1">
      <alignment horizontal="right" vertical="center"/>
    </xf>
    <xf numFmtId="3" fontId="3" fillId="0" borderId="39" xfId="8" applyNumberFormat="1" applyFont="1" applyFill="1" applyBorder="1" applyAlignment="1" applyProtection="1">
      <alignment horizontal="center" vertical="center"/>
    </xf>
    <xf numFmtId="2" fontId="3" fillId="0" borderId="7" xfId="8" applyNumberFormat="1" applyFont="1" applyFill="1" applyBorder="1" applyAlignment="1" applyProtection="1">
      <alignment horizontal="center" vertical="top"/>
    </xf>
    <xf numFmtId="37" fontId="3" fillId="0" borderId="8" xfId="8" applyFont="1" applyFill="1" applyBorder="1" applyAlignment="1" applyProtection="1">
      <alignment horizontal="justify" vertical="top" wrapText="1"/>
    </xf>
    <xf numFmtId="3" fontId="3" fillId="0" borderId="8" xfId="8" applyNumberFormat="1" applyFont="1" applyFill="1" applyBorder="1" applyAlignment="1" applyProtection="1">
      <alignment horizontal="center" vertical="center" wrapText="1"/>
    </xf>
    <xf numFmtId="3" fontId="3" fillId="0" borderId="8" xfId="8" applyNumberFormat="1" applyFont="1" applyFill="1" applyBorder="1" applyAlignment="1" applyProtection="1">
      <alignment horizontal="center" vertical="center"/>
    </xf>
    <xf numFmtId="3" fontId="3" fillId="0" borderId="36" xfId="17" applyNumberFormat="1" applyFont="1" applyFill="1" applyBorder="1" applyAlignment="1">
      <alignment horizontal="right" vertical="center"/>
    </xf>
    <xf numFmtId="3" fontId="3" fillId="0" borderId="40" xfId="8" applyNumberFormat="1" applyFont="1" applyFill="1" applyBorder="1" applyAlignment="1" applyProtection="1">
      <alignment horizontal="center" vertical="center"/>
    </xf>
    <xf numFmtId="0" fontId="15" fillId="0" borderId="3" xfId="8" applyNumberFormat="1" applyFont="1" applyFill="1" applyBorder="1" applyAlignment="1" applyProtection="1">
      <alignment vertical="top"/>
    </xf>
    <xf numFmtId="0" fontId="15" fillId="0" borderId="4" xfId="8" applyNumberFormat="1" applyFont="1" applyFill="1" applyBorder="1" applyAlignment="1" applyProtection="1">
      <alignment vertical="top"/>
    </xf>
    <xf numFmtId="0" fontId="15" fillId="0" borderId="4" xfId="8" applyNumberFormat="1" applyFont="1" applyFill="1" applyBorder="1" applyAlignment="1" applyProtection="1">
      <alignment vertical="center"/>
    </xf>
    <xf numFmtId="3" fontId="15" fillId="0" borderId="4" xfId="8" applyNumberFormat="1" applyFont="1" applyFill="1" applyBorder="1" applyAlignment="1" applyProtection="1">
      <alignment vertical="center"/>
    </xf>
    <xf numFmtId="0" fontId="15" fillId="0" borderId="35" xfId="8" applyNumberFormat="1" applyFont="1" applyFill="1" applyBorder="1" applyAlignment="1" applyProtection="1">
      <alignment vertical="center"/>
    </xf>
    <xf numFmtId="0" fontId="15" fillId="0" borderId="37" xfId="8" applyNumberFormat="1" applyFont="1" applyFill="1" applyBorder="1" applyAlignment="1" applyProtection="1">
      <alignment vertical="center"/>
    </xf>
    <xf numFmtId="4" fontId="3" fillId="0" borderId="4" xfId="10" applyNumberFormat="1" applyFont="1" applyFill="1" applyBorder="1" applyAlignment="1">
      <alignment horizontal="justify" vertical="top" wrapText="1"/>
    </xf>
    <xf numFmtId="0" fontId="3" fillId="0" borderId="31" xfId="10" applyFont="1" applyFill="1" applyBorder="1" applyAlignment="1">
      <alignment horizontal="justify" vertical="top" wrapText="1"/>
    </xf>
    <xf numFmtId="3" fontId="3" fillId="0" borderId="36" xfId="8" applyNumberFormat="1" applyFont="1" applyFill="1" applyBorder="1" applyAlignment="1" applyProtection="1">
      <alignment horizontal="right" vertical="center"/>
    </xf>
    <xf numFmtId="4" fontId="3" fillId="0" borderId="40" xfId="8" applyNumberFormat="1" applyFont="1" applyFill="1" applyBorder="1" applyAlignment="1" applyProtection="1">
      <alignment horizontal="center" vertical="center"/>
    </xf>
    <xf numFmtId="4" fontId="3" fillId="0" borderId="8" xfId="8" applyNumberFormat="1" applyFont="1" applyFill="1" applyBorder="1" applyAlignment="1" applyProtection="1">
      <alignment horizontal="center" vertical="center"/>
    </xf>
    <xf numFmtId="3" fontId="3" fillId="0" borderId="38" xfId="8" applyNumberFormat="1" applyFont="1" applyFill="1" applyBorder="1" applyAlignment="1" applyProtection="1">
      <alignment horizontal="right" vertical="center"/>
    </xf>
    <xf numFmtId="4" fontId="3" fillId="0" borderId="39" xfId="8" applyNumberFormat="1" applyFont="1" applyFill="1" applyBorder="1" applyAlignment="1" applyProtection="1">
      <alignment horizontal="center" vertical="center"/>
    </xf>
    <xf numFmtId="4" fontId="3" fillId="0" borderId="31" xfId="8" applyNumberFormat="1" applyFont="1" applyFill="1" applyBorder="1" applyAlignment="1" applyProtection="1">
      <alignment horizontal="center" vertical="center"/>
    </xf>
    <xf numFmtId="0" fontId="3" fillId="0" borderId="8" xfId="10" applyFont="1" applyFill="1" applyBorder="1" applyAlignment="1">
      <alignment horizontal="justify" vertical="top"/>
    </xf>
    <xf numFmtId="0" fontId="15" fillId="0" borderId="4" xfId="8" applyNumberFormat="1" applyFont="1" applyFill="1" applyBorder="1" applyAlignment="1" applyProtection="1">
      <alignment horizontal="left" vertical="center"/>
    </xf>
    <xf numFmtId="3" fontId="15" fillId="0" borderId="4" xfId="8" applyNumberFormat="1" applyFont="1" applyFill="1" applyBorder="1" applyAlignment="1" applyProtection="1">
      <alignment horizontal="left" vertical="center"/>
    </xf>
    <xf numFmtId="3" fontId="5" fillId="0" borderId="35" xfId="8" applyNumberFormat="1" applyFont="1" applyFill="1" applyBorder="1" applyAlignment="1" applyProtection="1">
      <alignment horizontal="right" vertical="center"/>
    </xf>
    <xf numFmtId="0" fontId="15" fillId="0" borderId="37" xfId="8" applyNumberFormat="1" applyFont="1" applyFill="1" applyBorder="1" applyAlignment="1" applyProtection="1">
      <alignment horizontal="left" vertical="center"/>
    </xf>
    <xf numFmtId="2" fontId="5" fillId="0" borderId="7" xfId="8" applyNumberFormat="1" applyFont="1" applyFill="1" applyBorder="1" applyAlignment="1">
      <alignment vertical="center"/>
    </xf>
    <xf numFmtId="0" fontId="3" fillId="0" borderId="4" xfId="10" applyFont="1" applyFill="1" applyBorder="1" applyAlignment="1">
      <alignment horizontal="justify" vertical="top"/>
    </xf>
    <xf numFmtId="2" fontId="5" fillId="0" borderId="7" xfId="18" applyNumberFormat="1" applyFont="1" applyFill="1" applyBorder="1" applyAlignment="1">
      <alignment horizontal="center" vertical="top" wrapText="1"/>
    </xf>
    <xf numFmtId="4" fontId="5" fillId="0" borderId="8" xfId="18" applyNumberFormat="1" applyFont="1" applyFill="1" applyBorder="1" applyAlignment="1">
      <alignment horizontal="justify" vertical="top" wrapText="1"/>
    </xf>
    <xf numFmtId="3" fontId="5" fillId="0" borderId="8" xfId="18" applyNumberFormat="1" applyFont="1" applyFill="1" applyBorder="1" applyAlignment="1">
      <alignment horizontal="center" vertical="center"/>
    </xf>
    <xf numFmtId="3" fontId="5" fillId="0" borderId="36" xfId="18" applyNumberFormat="1" applyFont="1" applyFill="1" applyBorder="1" applyAlignment="1">
      <alignment horizontal="right" vertical="center"/>
    </xf>
    <xf numFmtId="3" fontId="5" fillId="0" borderId="40" xfId="18" applyNumberFormat="1" applyFont="1" applyFill="1" applyBorder="1" applyAlignment="1">
      <alignment horizontal="center" vertical="center"/>
    </xf>
    <xf numFmtId="4" fontId="3" fillId="0" borderId="0" xfId="18" applyNumberFormat="1" applyFont="1" applyFill="1" applyBorder="1" applyAlignment="1">
      <alignment horizontal="center" vertical="center"/>
    </xf>
    <xf numFmtId="2" fontId="3" fillId="0" borderId="3" xfId="18" applyNumberFormat="1" applyFont="1" applyFill="1" applyBorder="1" applyAlignment="1">
      <alignment horizontal="center" vertical="top" wrapText="1"/>
    </xf>
    <xf numFmtId="4" fontId="3" fillId="0" borderId="4" xfId="18" applyNumberFormat="1" applyFont="1" applyFill="1" applyBorder="1" applyAlignment="1">
      <alignment horizontal="justify" vertical="top" wrapText="1"/>
    </xf>
    <xf numFmtId="3" fontId="3" fillId="0" borderId="4" xfId="18" applyNumberFormat="1" applyFont="1" applyFill="1" applyBorder="1" applyAlignment="1">
      <alignment horizontal="center" vertical="center"/>
    </xf>
    <xf numFmtId="3" fontId="3" fillId="0" borderId="4" xfId="19" applyNumberFormat="1" applyFont="1" applyFill="1" applyBorder="1" applyAlignment="1">
      <alignment horizontal="center" vertical="center"/>
    </xf>
    <xf numFmtId="3" fontId="3" fillId="0" borderId="37" xfId="19" applyNumberFormat="1" applyFont="1" applyFill="1" applyBorder="1" applyAlignment="1">
      <alignment horizontal="center" vertical="center"/>
    </xf>
    <xf numFmtId="3" fontId="3" fillId="0" borderId="35" xfId="18" applyNumberFormat="1" applyFont="1" applyFill="1" applyBorder="1" applyAlignment="1">
      <alignment horizontal="right" vertical="center"/>
    </xf>
    <xf numFmtId="3" fontId="3" fillId="0" borderId="37" xfId="18" applyNumberFormat="1" applyFont="1" applyFill="1" applyBorder="1" applyAlignment="1">
      <alignment horizontal="center" vertical="center"/>
    </xf>
    <xf numFmtId="2" fontId="3" fillId="0" borderId="30" xfId="18" applyNumberFormat="1" applyFont="1" applyFill="1" applyBorder="1" applyAlignment="1">
      <alignment horizontal="center" vertical="top" wrapText="1"/>
    </xf>
    <xf numFmtId="4" fontId="3" fillId="0" borderId="31" xfId="18" applyNumberFormat="1" applyFont="1" applyFill="1" applyBorder="1" applyAlignment="1">
      <alignment horizontal="justify" vertical="top" wrapText="1"/>
    </xf>
    <xf numFmtId="3" fontId="3" fillId="0" borderId="31" xfId="18" applyNumberFormat="1" applyFont="1" applyFill="1" applyBorder="1" applyAlignment="1">
      <alignment horizontal="center" vertical="center"/>
    </xf>
    <xf numFmtId="3" fontId="3" fillId="0" borderId="38" xfId="18" applyNumberFormat="1" applyFont="1" applyFill="1" applyBorder="1" applyAlignment="1">
      <alignment horizontal="right" vertical="center"/>
    </xf>
    <xf numFmtId="3" fontId="3" fillId="0" borderId="39" xfId="18" applyNumberFormat="1" applyFont="1" applyFill="1" applyBorder="1" applyAlignment="1">
      <alignment horizontal="center" vertical="center"/>
    </xf>
    <xf numFmtId="2" fontId="3" fillId="0" borderId="7" xfId="18" applyNumberFormat="1" applyFont="1" applyFill="1" applyBorder="1" applyAlignment="1">
      <alignment horizontal="center" vertical="top" wrapText="1"/>
    </xf>
    <xf numFmtId="4" fontId="3" fillId="0" borderId="8" xfId="18" applyNumberFormat="1" applyFont="1" applyFill="1" applyBorder="1" applyAlignment="1">
      <alignment horizontal="justify" vertical="top" wrapText="1"/>
    </xf>
    <xf numFmtId="3" fontId="3" fillId="0" borderId="8" xfId="18" applyNumberFormat="1" applyFont="1" applyFill="1" applyBorder="1" applyAlignment="1">
      <alignment horizontal="center" vertical="center"/>
    </xf>
    <xf numFmtId="2" fontId="3" fillId="0" borderId="3" xfId="19" applyNumberFormat="1" applyFont="1" applyFill="1" applyBorder="1" applyAlignment="1">
      <alignment horizontal="center" vertical="top"/>
    </xf>
    <xf numFmtId="0" fontId="13" fillId="0" borderId="4" xfId="19" applyNumberFormat="1" applyFont="1" applyFill="1" applyBorder="1" applyAlignment="1">
      <alignment horizontal="left" vertical="center"/>
    </xf>
    <xf numFmtId="0" fontId="3" fillId="0" borderId="4" xfId="19" applyNumberFormat="1" applyFont="1" applyFill="1" applyBorder="1" applyAlignment="1">
      <alignment horizontal="center" vertical="center"/>
    </xf>
    <xf numFmtId="1" fontId="3" fillId="0" borderId="4" xfId="19" applyNumberFormat="1" applyFont="1" applyFill="1" applyBorder="1" applyAlignment="1">
      <alignment horizontal="center" vertical="center"/>
    </xf>
    <xf numFmtId="3" fontId="3" fillId="0" borderId="4" xfId="20" applyNumberFormat="1" applyFont="1" applyFill="1" applyBorder="1" applyAlignment="1" applyProtection="1">
      <alignment horizontal="center" vertical="center"/>
      <protection locked="0"/>
    </xf>
    <xf numFmtId="168" fontId="3" fillId="0" borderId="35" xfId="19" applyNumberFormat="1" applyFont="1" applyFill="1" applyBorder="1" applyAlignment="1">
      <alignment vertical="center"/>
    </xf>
    <xf numFmtId="4" fontId="3" fillId="0" borderId="37" xfId="20" applyNumberFormat="1" applyFont="1" applyFill="1" applyBorder="1" applyAlignment="1" applyProtection="1">
      <alignment horizontal="center" vertical="center"/>
      <protection locked="0"/>
    </xf>
    <xf numFmtId="4" fontId="3" fillId="0" borderId="4" xfId="20" applyNumberFormat="1" applyFont="1" applyFill="1" applyBorder="1" applyAlignment="1" applyProtection="1">
      <alignment horizontal="center" vertical="center"/>
      <protection locked="0"/>
    </xf>
    <xf numFmtId="37" fontId="3" fillId="0" borderId="4" xfId="20" applyFont="1" applyFill="1" applyBorder="1" applyAlignment="1">
      <alignment horizontal="justify" vertical="top" wrapText="1"/>
    </xf>
    <xf numFmtId="37" fontId="3" fillId="0" borderId="4" xfId="20" applyFont="1" applyFill="1" applyBorder="1" applyAlignment="1">
      <alignment horizontal="center" vertical="center"/>
    </xf>
    <xf numFmtId="3" fontId="3" fillId="0" borderId="4" xfId="21" applyNumberFormat="1" applyFont="1" applyFill="1" applyBorder="1" applyAlignment="1" applyProtection="1">
      <alignment horizontal="center" vertical="center"/>
    </xf>
    <xf numFmtId="3" fontId="3" fillId="0" borderId="37" xfId="21" applyNumberFormat="1" applyFont="1" applyFill="1" applyBorder="1" applyAlignment="1" applyProtection="1">
      <alignment horizontal="center" vertical="center"/>
    </xf>
    <xf numFmtId="0" fontId="3" fillId="0" borderId="4" xfId="19" applyNumberFormat="1" applyFont="1" applyFill="1" applyBorder="1" applyAlignment="1">
      <alignment vertical="center"/>
    </xf>
    <xf numFmtId="3" fontId="3" fillId="0" borderId="35" xfId="19" applyNumberFormat="1" applyFont="1" applyFill="1" applyBorder="1" applyAlignment="1">
      <alignment horizontal="right" vertical="center"/>
    </xf>
    <xf numFmtId="0" fontId="3" fillId="0" borderId="4" xfId="19" applyNumberFormat="1" applyFont="1" applyFill="1" applyBorder="1" applyAlignment="1">
      <alignment horizontal="left" vertical="top" wrapText="1"/>
    </xf>
    <xf numFmtId="0" fontId="5" fillId="0" borderId="4" xfId="19" applyNumberFormat="1" applyFont="1" applyFill="1" applyBorder="1" applyAlignment="1">
      <alignment horizontal="left" vertical="justify"/>
    </xf>
    <xf numFmtId="0" fontId="5" fillId="0" borderId="4" xfId="19" applyNumberFormat="1" applyFont="1" applyFill="1" applyBorder="1" applyAlignment="1">
      <alignment horizontal="left"/>
    </xf>
    <xf numFmtId="0" fontId="3" fillId="0" borderId="4" xfId="19" applyNumberFormat="1" applyFont="1" applyFill="1" applyBorder="1" applyAlignment="1">
      <alignment horizontal="left" vertical="justify" wrapText="1"/>
    </xf>
    <xf numFmtId="2" fontId="3" fillId="0" borderId="30" xfId="19" applyNumberFormat="1" applyFont="1" applyFill="1" applyBorder="1" applyAlignment="1">
      <alignment horizontal="center" vertical="top"/>
    </xf>
    <xf numFmtId="0" fontId="5" fillId="0" borderId="31" xfId="19" applyNumberFormat="1" applyFont="1" applyFill="1" applyBorder="1" applyAlignment="1">
      <alignment horizontal="left"/>
    </xf>
    <xf numFmtId="0" fontId="3" fillId="0" borderId="31" xfId="19" applyNumberFormat="1" applyFont="1" applyFill="1" applyBorder="1" applyAlignment="1">
      <alignment horizontal="center" vertical="center"/>
    </xf>
    <xf numFmtId="3" fontId="3" fillId="0" borderId="31" xfId="21" applyNumberFormat="1" applyFont="1" applyFill="1" applyBorder="1" applyAlignment="1" applyProtection="1">
      <alignment horizontal="center" vertical="center"/>
    </xf>
    <xf numFmtId="3" fontId="3" fillId="0" borderId="38" xfId="19" applyNumberFormat="1" applyFont="1" applyFill="1" applyBorder="1" applyAlignment="1">
      <alignment horizontal="right" vertical="center"/>
    </xf>
    <xf numFmtId="3" fontId="3" fillId="0" borderId="39" xfId="21" applyNumberFormat="1" applyFont="1" applyFill="1" applyBorder="1" applyAlignment="1" applyProtection="1">
      <alignment horizontal="center" vertical="center"/>
    </xf>
    <xf numFmtId="2" fontId="3" fillId="0" borderId="7" xfId="19" applyNumberFormat="1" applyFont="1" applyFill="1" applyBorder="1" applyAlignment="1">
      <alignment horizontal="center" vertical="top"/>
    </xf>
    <xf numFmtId="0" fontId="13" fillId="0" borderId="8" xfId="19" applyNumberFormat="1" applyFont="1" applyFill="1" applyBorder="1" applyAlignment="1">
      <alignment horizontal="left" vertical="center"/>
    </xf>
    <xf numFmtId="0" fontId="3" fillId="0" borderId="8" xfId="19" applyNumberFormat="1" applyFont="1" applyFill="1" applyBorder="1" applyAlignment="1">
      <alignment horizontal="center" vertical="center"/>
    </xf>
    <xf numFmtId="3" fontId="3" fillId="0" borderId="8" xfId="21" applyNumberFormat="1" applyFont="1" applyFill="1" applyBorder="1" applyAlignment="1" applyProtection="1">
      <alignment horizontal="center" vertical="center"/>
    </xf>
    <xf numFmtId="3" fontId="3" fillId="0" borderId="36" xfId="19" applyNumberFormat="1" applyFont="1" applyFill="1" applyBorder="1" applyAlignment="1">
      <alignment horizontal="right" vertical="center"/>
    </xf>
    <xf numFmtId="3" fontId="3" fillId="0" borderId="40" xfId="21" applyNumberFormat="1" applyFont="1" applyFill="1" applyBorder="1" applyAlignment="1" applyProtection="1">
      <alignment horizontal="center" vertical="center"/>
    </xf>
    <xf numFmtId="0" fontId="3" fillId="0" borderId="4" xfId="19" applyNumberFormat="1" applyFont="1" applyFill="1" applyBorder="1" applyAlignment="1">
      <alignment horizontal="left" vertical="center" wrapText="1"/>
    </xf>
    <xf numFmtId="0" fontId="13" fillId="0" borderId="4" xfId="19" applyNumberFormat="1" applyFont="1" applyFill="1" applyBorder="1" applyAlignment="1">
      <alignment horizontal="left" vertical="center" wrapText="1"/>
    </xf>
    <xf numFmtId="0" fontId="3" fillId="0" borderId="4" xfId="19" applyNumberFormat="1" applyFont="1" applyFill="1" applyBorder="1" applyAlignment="1">
      <alignment horizontal="justify" vertical="justify"/>
    </xf>
    <xf numFmtId="37" fontId="3" fillId="0" borderId="4" xfId="22" applyFont="1" applyFill="1" applyBorder="1" applyAlignment="1">
      <alignment horizontal="justify" vertical="top" wrapText="1"/>
    </xf>
    <xf numFmtId="3" fontId="3" fillId="0" borderId="4" xfId="22" applyNumberFormat="1" applyFont="1" applyFill="1" applyBorder="1" applyAlignment="1">
      <alignment horizontal="center" vertical="center"/>
    </xf>
    <xf numFmtId="3" fontId="3" fillId="0" borderId="4" xfId="22" applyNumberFormat="1" applyFont="1" applyFill="1" applyBorder="1" applyAlignment="1" applyProtection="1">
      <alignment horizontal="center" vertical="center"/>
    </xf>
    <xf numFmtId="3" fontId="3" fillId="0" borderId="35" xfId="22" applyNumberFormat="1" applyFont="1" applyFill="1" applyBorder="1" applyAlignment="1">
      <alignment horizontal="right" vertical="center"/>
    </xf>
    <xf numFmtId="3" fontId="3" fillId="0" borderId="37" xfId="22" applyNumberFormat="1" applyFont="1" applyFill="1" applyBorder="1" applyAlignment="1" applyProtection="1">
      <alignment horizontal="center" vertical="center"/>
    </xf>
    <xf numFmtId="2" fontId="3" fillId="0" borderId="3" xfId="22" applyNumberFormat="1" applyFont="1" applyFill="1" applyBorder="1" applyAlignment="1">
      <alignment horizontal="center" vertical="top"/>
    </xf>
    <xf numFmtId="37" fontId="3" fillId="0" borderId="4" xfId="22" applyFont="1" applyFill="1" applyBorder="1" applyAlignment="1">
      <alignment horizontal="left" vertical="top"/>
    </xf>
    <xf numFmtId="37" fontId="3" fillId="0" borderId="4" xfId="22" applyFont="1" applyFill="1" applyBorder="1" applyAlignment="1">
      <alignment horizontal="center" vertical="center"/>
    </xf>
    <xf numFmtId="2" fontId="3" fillId="0" borderId="3" xfId="23" applyNumberFormat="1" applyFont="1" applyFill="1" applyBorder="1" applyAlignment="1">
      <alignment horizontal="center" vertical="top"/>
    </xf>
    <xf numFmtId="37" fontId="3" fillId="0" borderId="4" xfId="23" applyFont="1" applyFill="1" applyBorder="1" applyAlignment="1">
      <alignment horizontal="left" vertical="top" wrapText="1"/>
    </xf>
    <xf numFmtId="37" fontId="3" fillId="0" borderId="4" xfId="23" applyFont="1" applyFill="1" applyBorder="1" applyAlignment="1">
      <alignment horizontal="center" vertical="center"/>
    </xf>
    <xf numFmtId="0" fontId="3" fillId="0" borderId="4" xfId="5" applyNumberFormat="1" applyFont="1" applyFill="1" applyBorder="1" applyAlignment="1">
      <alignment horizontal="center" vertical="center"/>
    </xf>
    <xf numFmtId="3" fontId="3" fillId="0" borderId="4" xfId="23" applyNumberFormat="1" applyFont="1" applyFill="1" applyBorder="1" applyAlignment="1" applyProtection="1">
      <alignment horizontal="center" vertical="center"/>
    </xf>
    <xf numFmtId="168" fontId="3" fillId="0" borderId="18" xfId="24" applyNumberFormat="1" applyFont="1" applyFill="1" applyBorder="1" applyAlignment="1">
      <alignment horizontal="center" vertical="center"/>
    </xf>
    <xf numFmtId="3" fontId="3" fillId="0" borderId="37" xfId="23" applyNumberFormat="1" applyFont="1" applyFill="1" applyBorder="1" applyAlignment="1" applyProtection="1">
      <alignment horizontal="center" vertical="center"/>
    </xf>
    <xf numFmtId="4" fontId="3" fillId="0" borderId="0" xfId="23" applyNumberFormat="1" applyFont="1" applyFill="1" applyBorder="1" applyAlignment="1">
      <alignment horizontal="center" vertical="center"/>
    </xf>
    <xf numFmtId="37" fontId="3" fillId="0" borderId="4" xfId="25" applyFont="1" applyFill="1" applyBorder="1" applyAlignment="1">
      <alignment horizontal="justify" vertical="top" wrapText="1"/>
    </xf>
    <xf numFmtId="37" fontId="3" fillId="0" borderId="18" xfId="3" applyNumberFormat="1" applyFont="1" applyFill="1" applyBorder="1" applyAlignment="1">
      <alignment horizontal="right" vertical="center"/>
    </xf>
    <xf numFmtId="37" fontId="3" fillId="0" borderId="18" xfId="24" applyNumberFormat="1" applyFont="1" applyFill="1" applyBorder="1" applyAlignment="1">
      <alignment horizontal="right" vertical="center"/>
    </xf>
    <xf numFmtId="2" fontId="3" fillId="0" borderId="3" xfId="23" quotePrefix="1" applyNumberFormat="1" applyFont="1" applyFill="1" applyBorder="1" applyAlignment="1">
      <alignment horizontal="center" vertical="top"/>
    </xf>
    <xf numFmtId="2" fontId="3" fillId="0" borderId="30" xfId="23" applyNumberFormat="1" applyFont="1" applyFill="1" applyBorder="1" applyAlignment="1">
      <alignment horizontal="center" vertical="top"/>
    </xf>
    <xf numFmtId="37" fontId="3" fillId="0" borderId="31" xfId="23" applyFont="1" applyFill="1" applyBorder="1" applyAlignment="1">
      <alignment horizontal="left" vertical="top" wrapText="1"/>
    </xf>
    <xf numFmtId="37" fontId="3" fillId="0" borderId="31" xfId="23" applyFont="1" applyFill="1" applyBorder="1" applyAlignment="1">
      <alignment horizontal="center" vertical="center"/>
    </xf>
    <xf numFmtId="0" fontId="3" fillId="0" borderId="31" xfId="5" applyNumberFormat="1" applyFont="1" applyFill="1" applyBorder="1" applyAlignment="1">
      <alignment horizontal="center" vertical="center"/>
    </xf>
    <xf numFmtId="3" fontId="3" fillId="0" borderId="31" xfId="23" applyNumberFormat="1" applyFont="1" applyFill="1" applyBorder="1" applyAlignment="1" applyProtection="1">
      <alignment horizontal="center" vertical="center"/>
    </xf>
    <xf numFmtId="37" fontId="3" fillId="0" borderId="42" xfId="24" applyNumberFormat="1" applyFont="1" applyFill="1" applyBorder="1" applyAlignment="1">
      <alignment horizontal="right" vertical="center"/>
    </xf>
    <xf numFmtId="3" fontId="3" fillId="0" borderId="39" xfId="23" applyNumberFormat="1" applyFont="1" applyFill="1" applyBorder="1" applyAlignment="1" applyProtection="1">
      <alignment horizontal="center" vertical="center"/>
    </xf>
    <xf numFmtId="2" fontId="3" fillId="0" borderId="7" xfId="23" quotePrefix="1" applyNumberFormat="1" applyFont="1" applyFill="1" applyBorder="1" applyAlignment="1">
      <alignment horizontal="center" vertical="top"/>
    </xf>
    <xf numFmtId="37" fontId="3" fillId="0" borderId="8" xfId="25" applyFont="1" applyFill="1" applyBorder="1" applyAlignment="1">
      <alignment horizontal="justify" vertical="top" wrapText="1"/>
    </xf>
    <xf numFmtId="3" fontId="3" fillId="0" borderId="8" xfId="23" applyNumberFormat="1" applyFont="1" applyFill="1" applyBorder="1" applyAlignment="1" applyProtection="1">
      <alignment horizontal="center" vertical="center"/>
    </xf>
    <xf numFmtId="0" fontId="3" fillId="0" borderId="8" xfId="5" applyNumberFormat="1" applyFont="1" applyFill="1" applyBorder="1" applyAlignment="1">
      <alignment horizontal="center" vertical="center"/>
    </xf>
    <xf numFmtId="3" fontId="3" fillId="0" borderId="8" xfId="26" applyNumberFormat="1" applyFont="1" applyFill="1" applyBorder="1" applyAlignment="1" applyProtection="1">
      <alignment horizontal="center" vertical="center"/>
    </xf>
    <xf numFmtId="37" fontId="3" fillId="0" borderId="15" xfId="3" applyNumberFormat="1" applyFont="1" applyFill="1" applyBorder="1" applyAlignment="1">
      <alignment horizontal="right" vertical="center"/>
    </xf>
    <xf numFmtId="3" fontId="3" fillId="0" borderId="40" xfId="26" applyNumberFormat="1" applyFont="1" applyFill="1" applyBorder="1" applyAlignment="1" applyProtection="1">
      <alignment horizontal="center" vertical="center"/>
    </xf>
    <xf numFmtId="168" fontId="3" fillId="0" borderId="4" xfId="24" applyNumberFormat="1" applyFont="1" applyFill="1" applyBorder="1" applyAlignment="1">
      <alignment horizontal="center" vertical="center"/>
    </xf>
    <xf numFmtId="3" fontId="3" fillId="0" borderId="4" xfId="23" applyNumberFormat="1" applyFont="1" applyFill="1" applyBorder="1" applyAlignment="1">
      <alignment horizontal="center" vertical="center"/>
    </xf>
    <xf numFmtId="37" fontId="3" fillId="0" borderId="37" xfId="23" applyFont="1" applyFill="1" applyBorder="1" applyAlignment="1">
      <alignment horizontal="center" vertical="center"/>
    </xf>
    <xf numFmtId="3" fontId="3" fillId="0" borderId="4" xfId="26" applyNumberFormat="1" applyFont="1" applyFill="1" applyBorder="1" applyAlignment="1" applyProtection="1">
      <alignment horizontal="center" vertical="center"/>
    </xf>
    <xf numFmtId="3" fontId="3" fillId="0" borderId="37" xfId="26" applyNumberFormat="1" applyFont="1" applyFill="1" applyBorder="1" applyAlignment="1" applyProtection="1">
      <alignment horizontal="center" vertical="center"/>
    </xf>
    <xf numFmtId="4" fontId="5" fillId="0" borderId="0" xfId="23" applyNumberFormat="1" applyFont="1" applyFill="1" applyBorder="1" applyAlignment="1">
      <alignment horizontal="center" vertical="center"/>
    </xf>
    <xf numFmtId="2" fontId="3" fillId="0" borderId="3" xfId="24" applyNumberFormat="1" applyFont="1" applyFill="1" applyBorder="1" applyAlignment="1">
      <alignment horizontal="center" vertical="top" wrapText="1"/>
    </xf>
    <xf numFmtId="4" fontId="5" fillId="0" borderId="0" xfId="23" applyNumberFormat="1" applyFont="1" applyFill="1" applyBorder="1" applyAlignment="1">
      <alignment horizontal="center" vertical="center" wrapText="1"/>
    </xf>
    <xf numFmtId="2" fontId="3" fillId="0" borderId="7" xfId="23" applyNumberFormat="1" applyFont="1" applyFill="1" applyBorder="1" applyAlignment="1">
      <alignment horizontal="center" vertical="top"/>
    </xf>
    <xf numFmtId="3" fontId="3" fillId="0" borderId="8" xfId="23" applyNumberFormat="1" applyFont="1" applyFill="1" applyBorder="1" applyAlignment="1">
      <alignment horizontal="center" vertical="center"/>
    </xf>
    <xf numFmtId="37" fontId="3" fillId="0" borderId="4" xfId="23" applyFont="1" applyFill="1" applyBorder="1" applyAlignment="1">
      <alignment horizontal="justify" vertical="top" wrapText="1"/>
    </xf>
    <xf numFmtId="2" fontId="3" fillId="0" borderId="3" xfId="23" applyNumberFormat="1" applyFont="1" applyFill="1" applyBorder="1" applyAlignment="1">
      <alignment horizontal="center" vertical="top" wrapText="1"/>
    </xf>
    <xf numFmtId="37" fontId="3" fillId="0" borderId="35" xfId="24" applyNumberFormat="1" applyFont="1" applyFill="1" applyBorder="1" applyAlignment="1">
      <alignment horizontal="right" vertical="center"/>
    </xf>
    <xf numFmtId="2" fontId="1" fillId="0" borderId="33" xfId="16" applyNumberFormat="1" applyFont="1" applyFill="1" applyBorder="1" applyAlignment="1">
      <alignment horizontal="center"/>
    </xf>
    <xf numFmtId="0" fontId="1" fillId="0" borderId="33" xfId="16" applyNumberFormat="1" applyFont="1" applyFill="1" applyBorder="1" applyAlignment="1">
      <alignment horizontal="left"/>
    </xf>
    <xf numFmtId="0" fontId="1" fillId="0" borderId="33" xfId="16" applyNumberFormat="1" applyFont="1" applyFill="1" applyBorder="1" applyAlignment="1">
      <alignment horizontal="center" vertical="center"/>
    </xf>
    <xf numFmtId="1" fontId="1" fillId="0" borderId="33" xfId="16" applyNumberFormat="1" applyFont="1" applyFill="1" applyBorder="1" applyAlignment="1">
      <alignment horizontal="center" vertical="center"/>
    </xf>
    <xf numFmtId="3" fontId="1" fillId="0" borderId="33" xfId="16" applyNumberFormat="1" applyFont="1" applyFill="1" applyBorder="1" applyAlignment="1">
      <alignment horizontal="center" vertical="center"/>
    </xf>
    <xf numFmtId="1" fontId="1" fillId="0" borderId="33" xfId="16" applyNumberFormat="1" applyFont="1" applyFill="1" applyBorder="1" applyAlignment="1">
      <alignment horizontal="right" vertical="center"/>
    </xf>
    <xf numFmtId="1" fontId="1" fillId="0" borderId="15" xfId="16" applyNumberFormat="1" applyFont="1" applyFill="1" applyBorder="1" applyAlignment="1">
      <alignment horizontal="center" vertical="center"/>
    </xf>
    <xf numFmtId="4" fontId="1" fillId="0" borderId="0" xfId="16" applyNumberFormat="1" applyFont="1" applyFill="1" applyAlignment="1">
      <alignment horizontal="center" vertical="center"/>
    </xf>
    <xf numFmtId="2" fontId="3" fillId="0" borderId="43" xfId="16" applyNumberFormat="1" applyFont="1" applyFill="1" applyBorder="1" applyAlignment="1" applyProtection="1">
      <alignment horizontal="center"/>
      <protection locked="0"/>
    </xf>
    <xf numFmtId="0" fontId="13" fillId="0" borderId="43" xfId="16" applyNumberFormat="1" applyFont="1" applyFill="1" applyBorder="1" applyAlignment="1" applyProtection="1">
      <alignment horizontal="justify" vertical="top"/>
      <protection locked="0"/>
    </xf>
    <xf numFmtId="0" fontId="5" fillId="0" borderId="43" xfId="16" applyNumberFormat="1" applyFont="1" applyFill="1" applyBorder="1" applyAlignment="1">
      <alignment horizontal="center" vertical="center"/>
    </xf>
    <xf numFmtId="3" fontId="5" fillId="0" borderId="43" xfId="16" applyNumberFormat="1" applyFont="1" applyFill="1" applyBorder="1" applyAlignment="1">
      <alignment vertical="center"/>
    </xf>
    <xf numFmtId="168" fontId="5" fillId="0" borderId="43" xfId="17" applyNumberFormat="1" applyFont="1" applyFill="1" applyBorder="1" applyAlignment="1">
      <alignment horizontal="right" vertical="center"/>
    </xf>
    <xf numFmtId="0" fontId="5" fillId="0" borderId="18" xfId="16" applyNumberFormat="1" applyFont="1" applyFill="1" applyBorder="1" applyAlignment="1">
      <alignment vertical="center"/>
    </xf>
    <xf numFmtId="0" fontId="5" fillId="0" borderId="43" xfId="16" applyNumberFormat="1" applyFont="1" applyFill="1" applyBorder="1" applyAlignment="1">
      <alignment vertical="center"/>
    </xf>
    <xf numFmtId="0" fontId="3" fillId="0" borderId="43" xfId="16" applyNumberFormat="1" applyFont="1" applyFill="1" applyBorder="1" applyAlignment="1" applyProtection="1">
      <alignment horizontal="justify" vertical="top"/>
      <protection locked="0"/>
    </xf>
    <xf numFmtId="0" fontId="3" fillId="0" borderId="43" xfId="16" applyNumberFormat="1" applyFont="1" applyFill="1" applyBorder="1" applyAlignment="1">
      <alignment horizontal="center" vertical="center"/>
    </xf>
    <xf numFmtId="3" fontId="3" fillId="0" borderId="43" xfId="17" applyNumberFormat="1" applyFont="1" applyFill="1" applyBorder="1" applyAlignment="1">
      <alignment horizontal="center" vertical="center"/>
    </xf>
    <xf numFmtId="3" fontId="3" fillId="0" borderId="43" xfId="17" applyNumberFormat="1" applyFont="1" applyFill="1" applyBorder="1" applyAlignment="1">
      <alignment horizontal="right" vertical="center"/>
    </xf>
    <xf numFmtId="3" fontId="3" fillId="0" borderId="18" xfId="17" applyNumberFormat="1" applyFont="1" applyFill="1" applyBorder="1" applyAlignment="1">
      <alignment horizontal="center" vertical="center"/>
    </xf>
    <xf numFmtId="0" fontId="5" fillId="0" borderId="43" xfId="16" applyNumberFormat="1" applyFont="1" applyFill="1" applyBorder="1" applyAlignment="1" applyProtection="1">
      <alignment horizontal="justify" vertical="top"/>
      <protection locked="0"/>
    </xf>
    <xf numFmtId="3" fontId="3" fillId="0" borderId="43" xfId="10" applyNumberFormat="1" applyFont="1" applyFill="1" applyBorder="1" applyAlignment="1">
      <alignment horizontal="center" vertical="center"/>
    </xf>
    <xf numFmtId="3" fontId="3" fillId="0" borderId="18" xfId="10" applyNumberFormat="1" applyFont="1" applyFill="1" applyBorder="1" applyAlignment="1">
      <alignment horizontal="center" vertical="center"/>
    </xf>
    <xf numFmtId="39" fontId="3" fillId="0" borderId="3" xfId="19" applyNumberFormat="1" applyFont="1" applyFill="1" applyBorder="1" applyAlignment="1">
      <alignment horizontal="center" vertical="top"/>
    </xf>
    <xf numFmtId="0" fontId="13" fillId="0" borderId="4" xfId="27" applyNumberFormat="1" applyFont="1" applyFill="1" applyBorder="1" applyAlignment="1">
      <alignment horizontal="justify" vertical="top"/>
    </xf>
    <xf numFmtId="39" fontId="3" fillId="0" borderId="3" xfId="27" applyNumberFormat="1" applyFont="1" applyFill="1" applyBorder="1" applyAlignment="1">
      <alignment horizontal="center" vertical="top"/>
    </xf>
    <xf numFmtId="0" fontId="3" fillId="0" borderId="4" xfId="27" applyNumberFormat="1" applyFont="1" applyFill="1" applyBorder="1" applyAlignment="1">
      <alignment horizontal="justify" vertical="top"/>
    </xf>
    <xf numFmtId="3" fontId="3" fillId="0" borderId="4" xfId="28" applyNumberFormat="1" applyFont="1" applyFill="1" applyBorder="1" applyAlignment="1" applyProtection="1">
      <alignment horizontal="center" vertical="center"/>
    </xf>
    <xf numFmtId="4" fontId="3" fillId="0" borderId="4" xfId="28" applyNumberFormat="1" applyFont="1" applyFill="1" applyBorder="1" applyAlignment="1">
      <alignment horizontal="center" vertical="center"/>
    </xf>
    <xf numFmtId="39" fontId="3" fillId="0" borderId="37" xfId="28" applyNumberFormat="1" applyFont="1" applyFill="1" applyBorder="1" applyAlignment="1" applyProtection="1">
      <alignment horizontal="center" vertical="center"/>
    </xf>
    <xf numFmtId="39" fontId="3" fillId="0" borderId="4" xfId="28" applyNumberFormat="1" applyFont="1" applyFill="1" applyBorder="1" applyAlignment="1" applyProtection="1">
      <alignment horizontal="center" vertical="center"/>
    </xf>
    <xf numFmtId="4" fontId="3" fillId="0" borderId="4" xfId="28" applyNumberFormat="1" applyFont="1" applyFill="1" applyBorder="1" applyAlignment="1" applyProtection="1">
      <alignment horizontal="center" vertical="center" wrapText="1"/>
    </xf>
    <xf numFmtId="37" fontId="3" fillId="0" borderId="35" xfId="29" applyNumberFormat="1" applyFont="1" applyFill="1" applyBorder="1" applyAlignment="1" applyProtection="1">
      <alignment horizontal="right" vertical="center"/>
    </xf>
    <xf numFmtId="37" fontId="3" fillId="0" borderId="37" xfId="28" applyNumberFormat="1" applyFont="1" applyFill="1" applyBorder="1" applyAlignment="1" applyProtection="1">
      <alignment horizontal="center" vertical="center"/>
    </xf>
    <xf numFmtId="37" fontId="3" fillId="0" borderId="4" xfId="28" applyNumberFormat="1" applyFont="1" applyFill="1" applyBorder="1" applyAlignment="1" applyProtection="1">
      <alignment horizontal="center" vertical="center"/>
    </xf>
    <xf numFmtId="2" fontId="3" fillId="0" borderId="43" xfId="16" applyNumberFormat="1" applyFont="1" applyFill="1" applyBorder="1" applyAlignment="1">
      <alignment horizontal="center" vertical="top"/>
    </xf>
    <xf numFmtId="37" fontId="13" fillId="0" borderId="43" xfId="16" applyNumberFormat="1" applyFont="1" applyFill="1" applyBorder="1" applyAlignment="1">
      <alignment horizontal="justify" vertical="top" wrapText="1"/>
    </xf>
    <xf numFmtId="0" fontId="3" fillId="0" borderId="43" xfId="16" applyNumberFormat="1" applyFont="1" applyFill="1" applyBorder="1" applyAlignment="1">
      <alignment vertical="center"/>
    </xf>
    <xf numFmtId="0" fontId="3" fillId="0" borderId="43" xfId="16" applyNumberFormat="1" applyFont="1" applyFill="1" applyBorder="1" applyAlignment="1">
      <alignment horizontal="justify" vertical="top"/>
    </xf>
    <xf numFmtId="3" fontId="3" fillId="0" borderId="43" xfId="10" applyNumberFormat="1" applyFont="1" applyFill="1" applyBorder="1" applyAlignment="1">
      <alignment horizontal="right" vertical="center"/>
    </xf>
    <xf numFmtId="0" fontId="5" fillId="0" borderId="7" xfId="8" applyNumberFormat="1" applyFont="1" applyFill="1" applyBorder="1" applyAlignment="1">
      <alignment horizontal="center" vertical="center" wrapText="1"/>
    </xf>
    <xf numFmtId="37" fontId="16" fillId="0" borderId="8" xfId="30" applyNumberFormat="1" applyFont="1" applyFill="1" applyBorder="1" applyAlignment="1">
      <alignment horizontal="left" vertical="top"/>
    </xf>
    <xf numFmtId="0" fontId="5" fillId="0" borderId="8" xfId="8" applyNumberFormat="1" applyFont="1" applyFill="1" applyBorder="1" applyAlignment="1">
      <alignment horizontal="center" vertical="center" wrapText="1"/>
    </xf>
    <xf numFmtId="3" fontId="5" fillId="0" borderId="8" xfId="31" applyNumberFormat="1" applyFont="1" applyFill="1" applyBorder="1" applyAlignment="1">
      <alignment horizontal="center" vertical="center" wrapText="1"/>
    </xf>
    <xf numFmtId="43" fontId="5" fillId="0" borderId="36" xfId="31" applyFont="1" applyFill="1" applyBorder="1" applyAlignment="1">
      <alignment horizontal="center" vertical="center" wrapText="1"/>
    </xf>
    <xf numFmtId="3" fontId="5" fillId="0" borderId="40" xfId="31" applyNumberFormat="1" applyFont="1" applyFill="1" applyBorder="1" applyAlignment="1">
      <alignment horizontal="center" vertical="center" wrapText="1"/>
    </xf>
    <xf numFmtId="4" fontId="18" fillId="0" borderId="0" xfId="32" applyNumberFormat="1" applyFont="1" applyFill="1" applyAlignment="1">
      <alignment horizontal="center" vertical="center"/>
    </xf>
    <xf numFmtId="0" fontId="5" fillId="0" borderId="3" xfId="8" applyNumberFormat="1" applyFont="1" applyFill="1" applyBorder="1" applyAlignment="1">
      <alignment horizontal="center" vertical="center" wrapText="1"/>
    </xf>
    <xf numFmtId="37" fontId="19" fillId="0" borderId="4" xfId="30" applyNumberFormat="1" applyFont="1" applyFill="1" applyBorder="1" applyAlignment="1">
      <alignment horizontal="justify" vertical="top" wrapText="1"/>
    </xf>
    <xf numFmtId="0" fontId="5" fillId="0" borderId="4" xfId="8" applyNumberFormat="1" applyFont="1" applyFill="1" applyBorder="1" applyAlignment="1">
      <alignment horizontal="center" vertical="center" wrapText="1"/>
    </xf>
    <xf numFmtId="3" fontId="5" fillId="0" borderId="4" xfId="31" applyNumberFormat="1" applyFont="1" applyFill="1" applyBorder="1" applyAlignment="1">
      <alignment horizontal="center" vertical="center" wrapText="1"/>
    </xf>
    <xf numFmtId="3" fontId="5" fillId="0" borderId="35" xfId="31" applyNumberFormat="1" applyFont="1" applyFill="1" applyBorder="1" applyAlignment="1">
      <alignment horizontal="right" vertical="center" wrapText="1"/>
    </xf>
    <xf numFmtId="3" fontId="5" fillId="0" borderId="37" xfId="31" applyNumberFormat="1" applyFont="1" applyFill="1" applyBorder="1" applyAlignment="1">
      <alignment horizontal="center" vertical="center" wrapText="1"/>
    </xf>
    <xf numFmtId="0" fontId="3" fillId="0" borderId="3" xfId="33" applyNumberFormat="1" applyFont="1" applyFill="1" applyBorder="1" applyAlignment="1">
      <alignment horizontal="center" vertical="top"/>
    </xf>
    <xf numFmtId="169" fontId="13" fillId="0" borderId="4" xfId="23" applyNumberFormat="1" applyFont="1" applyFill="1" applyBorder="1" applyAlignment="1">
      <alignment horizontal="justify" vertical="top" wrapText="1"/>
    </xf>
    <xf numFmtId="3" fontId="3" fillId="0" borderId="4" xfId="31" applyNumberFormat="1" applyFont="1" applyFill="1" applyBorder="1" applyAlignment="1">
      <alignment horizontal="center" vertical="center"/>
    </xf>
    <xf numFmtId="3" fontId="18" fillId="0" borderId="35" xfId="31" applyNumberFormat="1" applyFont="1" applyFill="1" applyBorder="1" applyAlignment="1">
      <alignment horizontal="right" vertical="center"/>
    </xf>
    <xf numFmtId="3" fontId="3" fillId="0" borderId="37" xfId="31" applyNumberFormat="1" applyFont="1" applyFill="1" applyBorder="1" applyAlignment="1">
      <alignment horizontal="center" vertical="center"/>
    </xf>
    <xf numFmtId="0" fontId="3" fillId="0" borderId="3" xfId="31" applyNumberFormat="1" applyFont="1" applyFill="1" applyBorder="1" applyAlignment="1">
      <alignment horizontal="center" vertical="top"/>
    </xf>
    <xf numFmtId="37" fontId="3" fillId="0" borderId="4" xfId="34" applyNumberFormat="1" applyFont="1" applyFill="1" applyBorder="1" applyAlignment="1" applyProtection="1">
      <alignment horizontal="justify" vertical="top" wrapText="1"/>
    </xf>
    <xf numFmtId="3" fontId="3" fillId="0" borderId="35" xfId="31" applyNumberFormat="1" applyFont="1" applyFill="1" applyBorder="1" applyAlignment="1">
      <alignment horizontal="right" vertical="center"/>
    </xf>
    <xf numFmtId="37" fontId="13" fillId="0" borderId="4" xfId="33" applyFont="1" applyFill="1" applyBorder="1" applyAlignment="1">
      <alignment horizontal="left" vertical="top"/>
    </xf>
    <xf numFmtId="37" fontId="3" fillId="0" borderId="4" xfId="33" applyFont="1" applyFill="1" applyBorder="1" applyAlignment="1">
      <alignment horizontal="justify" vertical="top" wrapText="1"/>
    </xf>
    <xf numFmtId="4" fontId="18" fillId="0" borderId="0" xfId="32" applyNumberFormat="1" applyFont="1" applyFill="1" applyBorder="1" applyAlignment="1">
      <alignment horizontal="center" vertical="center"/>
    </xf>
    <xf numFmtId="0" fontId="3" fillId="0" borderId="30" xfId="31" applyNumberFormat="1" applyFont="1" applyFill="1" applyBorder="1" applyAlignment="1">
      <alignment horizontal="center" vertical="top"/>
    </xf>
    <xf numFmtId="37" fontId="3" fillId="0" borderId="31" xfId="33" applyFont="1" applyFill="1" applyBorder="1" applyAlignment="1">
      <alignment horizontal="justify" vertical="top" wrapText="1"/>
    </xf>
    <xf numFmtId="3" fontId="3" fillId="0" borderId="31" xfId="31" applyNumberFormat="1" applyFont="1" applyFill="1" applyBorder="1" applyAlignment="1">
      <alignment horizontal="center" vertical="center"/>
    </xf>
    <xf numFmtId="3" fontId="18" fillId="0" borderId="38" xfId="31" applyNumberFormat="1" applyFont="1" applyFill="1" applyBorder="1" applyAlignment="1">
      <alignment horizontal="right" vertical="center"/>
    </xf>
    <xf numFmtId="3" fontId="3" fillId="0" borderId="39" xfId="31" applyNumberFormat="1" applyFont="1" applyFill="1" applyBorder="1" applyAlignment="1">
      <alignment horizontal="center" vertical="center"/>
    </xf>
    <xf numFmtId="0" fontId="3" fillId="0" borderId="7" xfId="33" applyNumberFormat="1" applyFont="1" applyFill="1" applyBorder="1" applyAlignment="1">
      <alignment horizontal="center" vertical="top"/>
    </xf>
    <xf numFmtId="169" fontId="13" fillId="0" borderId="8" xfId="23" applyNumberFormat="1" applyFont="1" applyFill="1" applyBorder="1" applyAlignment="1">
      <alignment horizontal="justify" vertical="top" wrapText="1"/>
    </xf>
    <xf numFmtId="37" fontId="3" fillId="0" borderId="8" xfId="23" applyFont="1" applyFill="1" applyBorder="1" applyAlignment="1">
      <alignment horizontal="center" vertical="center"/>
    </xf>
    <xf numFmtId="3" fontId="3" fillId="0" borderId="8" xfId="31" applyNumberFormat="1" applyFont="1" applyFill="1" applyBorder="1" applyAlignment="1">
      <alignment horizontal="center" vertical="center"/>
    </xf>
    <xf numFmtId="3" fontId="3" fillId="0" borderId="36" xfId="31" applyNumberFormat="1" applyFont="1" applyFill="1" applyBorder="1" applyAlignment="1" applyProtection="1">
      <alignment horizontal="right" vertical="center"/>
    </xf>
    <xf numFmtId="3" fontId="3" fillId="0" borderId="40" xfId="31" applyNumberFormat="1" applyFont="1" applyFill="1" applyBorder="1" applyAlignment="1">
      <alignment horizontal="center" vertical="center"/>
    </xf>
    <xf numFmtId="3" fontId="3" fillId="0" borderId="35" xfId="31" applyNumberFormat="1" applyFont="1" applyFill="1" applyBorder="1" applyAlignment="1" applyProtection="1">
      <alignment horizontal="right" vertical="center"/>
    </xf>
    <xf numFmtId="3" fontId="3" fillId="0" borderId="38" xfId="31" applyNumberFormat="1" applyFont="1" applyFill="1" applyBorder="1" applyAlignment="1" applyProtection="1">
      <alignment horizontal="right" vertical="center"/>
    </xf>
    <xf numFmtId="0" fontId="3" fillId="0" borderId="3" xfId="8" applyNumberFormat="1" applyFont="1" applyFill="1" applyBorder="1" applyAlignment="1">
      <alignment horizontal="center" vertical="center" wrapText="1"/>
    </xf>
    <xf numFmtId="0" fontId="3" fillId="0" borderId="30" xfId="8" applyNumberFormat="1" applyFont="1" applyFill="1" applyBorder="1" applyAlignment="1">
      <alignment horizontal="center" vertical="center" wrapText="1"/>
    </xf>
    <xf numFmtId="37" fontId="13" fillId="0" borderId="31" xfId="33" applyFont="1" applyFill="1" applyBorder="1" applyAlignment="1">
      <alignment horizontal="left" vertical="top"/>
    </xf>
    <xf numFmtId="0" fontId="5" fillId="0" borderId="31" xfId="8" applyNumberFormat="1" applyFont="1" applyFill="1" applyBorder="1" applyAlignment="1">
      <alignment horizontal="center" vertical="center" wrapText="1"/>
    </xf>
    <xf numFmtId="2" fontId="3" fillId="0" borderId="7" xfId="33" applyNumberFormat="1" applyFont="1" applyFill="1" applyBorder="1" applyAlignment="1">
      <alignment horizontal="center" vertical="top"/>
    </xf>
    <xf numFmtId="4" fontId="3" fillId="0" borderId="0" xfId="35" applyNumberFormat="1" applyFont="1" applyFill="1" applyAlignment="1">
      <alignment horizontal="center" vertical="center"/>
    </xf>
    <xf numFmtId="2" fontId="3" fillId="0" borderId="3" xfId="33" applyNumberFormat="1" applyFont="1" applyFill="1" applyBorder="1" applyAlignment="1">
      <alignment horizontal="center" vertical="top"/>
    </xf>
    <xf numFmtId="170" fontId="5" fillId="0" borderId="5" xfId="36" applyNumberFormat="1" applyFont="1" applyFill="1" applyBorder="1" applyAlignment="1" applyProtection="1">
      <alignment horizontal="left" vertical="top"/>
    </xf>
    <xf numFmtId="37" fontId="5" fillId="0" borderId="6" xfId="36" applyFont="1" applyFill="1" applyBorder="1" applyAlignment="1" applyProtection="1">
      <alignment horizontal="center" vertical="center"/>
    </xf>
    <xf numFmtId="3" fontId="11" fillId="0" borderId="6" xfId="36" applyNumberFormat="1" applyFont="1" applyFill="1" applyBorder="1" applyAlignment="1" applyProtection="1">
      <alignment horizontal="center" vertical="center" wrapText="1"/>
    </xf>
    <xf numFmtId="37" fontId="5" fillId="0" borderId="6" xfId="36" applyFont="1" applyFill="1" applyBorder="1" applyAlignment="1" applyProtection="1">
      <alignment horizontal="center" vertical="center" wrapText="1"/>
    </xf>
    <xf numFmtId="3" fontId="5" fillId="0" borderId="6" xfId="36" applyNumberFormat="1" applyFont="1" applyFill="1" applyBorder="1" applyAlignment="1" applyProtection="1">
      <alignment horizontal="center" vertical="center" wrapText="1"/>
    </xf>
    <xf numFmtId="3" fontId="5" fillId="0" borderId="12" xfId="36" applyNumberFormat="1" applyFont="1" applyFill="1" applyBorder="1" applyAlignment="1" applyProtection="1">
      <alignment horizontal="right" vertical="center" wrapText="1"/>
    </xf>
    <xf numFmtId="4" fontId="5" fillId="0" borderId="6" xfId="36" applyNumberFormat="1" applyFont="1" applyFill="1" applyBorder="1" applyAlignment="1" applyProtection="1">
      <alignment horizontal="center" vertical="center" wrapText="1"/>
    </xf>
    <xf numFmtId="4" fontId="5" fillId="0" borderId="0" xfId="36" applyNumberFormat="1" applyFont="1" applyFill="1" applyAlignment="1">
      <alignment horizontal="center" vertical="center"/>
    </xf>
    <xf numFmtId="4" fontId="3" fillId="0" borderId="37" xfId="18" applyNumberFormat="1" applyFont="1" applyFill="1" applyBorder="1" applyAlignment="1">
      <alignment horizontal="center" vertical="center"/>
    </xf>
    <xf numFmtId="4" fontId="3" fillId="0" borderId="4" xfId="18" applyNumberFormat="1" applyFont="1" applyFill="1" applyBorder="1" applyAlignment="1">
      <alignment horizontal="center" vertical="center"/>
    </xf>
    <xf numFmtId="0" fontId="3" fillId="0" borderId="4" xfId="1" applyFont="1" applyFill="1" applyBorder="1" applyAlignment="1">
      <alignment horizontal="justify" vertical="top"/>
    </xf>
    <xf numFmtId="4" fontId="3" fillId="0" borderId="4" xfId="1" applyNumberFormat="1" applyFont="1" applyFill="1" applyBorder="1" applyAlignment="1">
      <alignment horizontal="center" vertical="center" wrapText="1"/>
    </xf>
    <xf numFmtId="3" fontId="3" fillId="0" borderId="4" xfId="18" applyNumberFormat="1" applyFont="1" applyFill="1" applyBorder="1" applyAlignment="1">
      <alignment horizontal="center" vertical="center" wrapText="1"/>
    </xf>
    <xf numFmtId="4" fontId="3" fillId="0" borderId="37" xfId="18" applyNumberFormat="1" applyFont="1" applyFill="1" applyBorder="1" applyAlignment="1">
      <alignment horizontal="center" vertical="center" wrapText="1"/>
    </xf>
    <xf numFmtId="4" fontId="3" fillId="0" borderId="4" xfId="18" applyNumberFormat="1" applyFont="1" applyFill="1" applyBorder="1" applyAlignment="1">
      <alignment horizontal="center" vertical="center" wrapText="1"/>
    </xf>
    <xf numFmtId="3" fontId="3" fillId="0" borderId="36" xfId="18" applyNumberFormat="1" applyFont="1" applyFill="1" applyBorder="1" applyAlignment="1">
      <alignment horizontal="right" vertical="center"/>
    </xf>
    <xf numFmtId="4" fontId="3" fillId="0" borderId="40" xfId="18" applyNumberFormat="1" applyFont="1" applyFill="1" applyBorder="1" applyAlignment="1">
      <alignment horizontal="center" vertical="center"/>
    </xf>
    <xf numFmtId="4" fontId="3" fillId="0" borderId="8" xfId="18" applyNumberFormat="1" applyFont="1" applyFill="1" applyBorder="1" applyAlignment="1">
      <alignment horizontal="center" vertical="center"/>
    </xf>
    <xf numFmtId="3" fontId="5" fillId="0" borderId="35" xfId="1" applyNumberFormat="1" applyFont="1" applyFill="1" applyBorder="1" applyAlignment="1">
      <alignment horizontal="right" vertical="center" wrapText="1"/>
    </xf>
    <xf numFmtId="0" fontId="3" fillId="0" borderId="4" xfId="1" applyFont="1" applyFill="1" applyBorder="1" applyAlignment="1">
      <alignment horizontal="justify" vertical="top" wrapText="1"/>
    </xf>
    <xf numFmtId="3" fontId="5" fillId="0" borderId="35" xfId="18" applyNumberFormat="1" applyFont="1" applyFill="1" applyBorder="1" applyAlignment="1">
      <alignment horizontal="right" vertical="center" wrapText="1"/>
    </xf>
    <xf numFmtId="0" fontId="3" fillId="0" borderId="31" xfId="1" applyFont="1" applyFill="1" applyBorder="1" applyAlignment="1">
      <alignment horizontal="justify" vertical="top" wrapText="1"/>
    </xf>
    <xf numFmtId="3" fontId="3" fillId="0" borderId="31" xfId="1" applyNumberFormat="1" applyFont="1" applyFill="1" applyBorder="1" applyAlignment="1">
      <alignment horizontal="center" vertical="center" wrapText="1"/>
    </xf>
    <xf numFmtId="4" fontId="3" fillId="0" borderId="31" xfId="1" applyNumberFormat="1" applyFont="1" applyFill="1" applyBorder="1" applyAlignment="1">
      <alignment horizontal="center" vertical="center" wrapText="1"/>
    </xf>
    <xf numFmtId="3" fontId="3" fillId="0" borderId="31" xfId="18" applyNumberFormat="1" applyFont="1" applyFill="1" applyBorder="1" applyAlignment="1">
      <alignment horizontal="center" vertical="center" wrapText="1"/>
    </xf>
    <xf numFmtId="3" fontId="5" fillId="0" borderId="38" xfId="18" applyNumberFormat="1" applyFont="1" applyFill="1" applyBorder="1" applyAlignment="1">
      <alignment horizontal="right" vertical="center" wrapText="1"/>
    </xf>
    <xf numFmtId="4" fontId="3" fillId="0" borderId="39" xfId="18" applyNumberFormat="1" applyFont="1" applyFill="1" applyBorder="1" applyAlignment="1">
      <alignment horizontal="center" vertical="center" wrapText="1"/>
    </xf>
    <xf numFmtId="4" fontId="3" fillId="0" borderId="31" xfId="18" applyNumberFormat="1" applyFont="1" applyFill="1" applyBorder="1" applyAlignment="1">
      <alignment horizontal="center" vertical="center" wrapText="1"/>
    </xf>
    <xf numFmtId="3" fontId="5" fillId="0" borderId="38" xfId="1" applyNumberFormat="1" applyFont="1" applyFill="1" applyBorder="1" applyAlignment="1">
      <alignment horizontal="right" vertical="center" wrapText="1"/>
    </xf>
    <xf numFmtId="3" fontId="3" fillId="0" borderId="4" xfId="10" applyNumberFormat="1" applyFont="1" applyFill="1" applyBorder="1" applyAlignment="1">
      <alignment horizontal="center" vertical="center" wrapText="1"/>
    </xf>
    <xf numFmtId="4" fontId="3" fillId="0" borderId="37" xfId="10" applyNumberFormat="1" applyFont="1" applyFill="1" applyBorder="1" applyAlignment="1">
      <alignment horizontal="center" vertical="center" wrapText="1"/>
    </xf>
    <xf numFmtId="4" fontId="3" fillId="0" borderId="4" xfId="10" applyNumberFormat="1" applyFont="1" applyFill="1" applyBorder="1" applyAlignment="1">
      <alignment horizontal="center" vertical="center" wrapText="1"/>
    </xf>
    <xf numFmtId="4" fontId="3" fillId="0" borderId="39" xfId="10" applyNumberFormat="1" applyFont="1" applyFill="1" applyBorder="1" applyAlignment="1">
      <alignment horizontal="center" vertical="center"/>
    </xf>
    <xf numFmtId="4" fontId="3" fillId="0" borderId="31" xfId="10" applyNumberFormat="1" applyFont="1" applyFill="1" applyBorder="1" applyAlignment="1">
      <alignment horizontal="center" vertical="center"/>
    </xf>
    <xf numFmtId="3" fontId="3" fillId="0" borderId="8" xfId="10" applyNumberFormat="1" applyFont="1" applyFill="1" applyBorder="1" applyAlignment="1">
      <alignment horizontal="center" vertical="center" wrapText="1"/>
    </xf>
    <xf numFmtId="4" fontId="3" fillId="0" borderId="40" xfId="10" applyNumberFormat="1" applyFont="1" applyFill="1" applyBorder="1" applyAlignment="1">
      <alignment horizontal="center" vertical="center" wrapText="1"/>
    </xf>
    <xf numFmtId="4" fontId="3" fillId="0" borderId="8" xfId="10" applyNumberFormat="1" applyFont="1" applyFill="1" applyBorder="1" applyAlignment="1">
      <alignment horizontal="center" vertical="center" wrapText="1"/>
    </xf>
    <xf numFmtId="170" fontId="3" fillId="0" borderId="44" xfId="36" applyNumberFormat="1" applyFont="1" applyFill="1" applyBorder="1" applyAlignment="1" applyProtection="1">
      <alignment vertical="top"/>
    </xf>
    <xf numFmtId="37" fontId="3" fillId="0" borderId="41" xfId="36" applyFont="1" applyFill="1" applyBorder="1" applyAlignment="1" applyProtection="1">
      <alignment vertical="center"/>
    </xf>
    <xf numFmtId="3" fontId="21" fillId="0" borderId="1" xfId="36" applyNumberFormat="1" applyFont="1" applyFill="1" applyBorder="1" applyAlignment="1" applyProtection="1">
      <alignment vertical="center" wrapText="1"/>
    </xf>
    <xf numFmtId="37" fontId="3" fillId="0" borderId="1" xfId="36" applyFont="1" applyFill="1" applyBorder="1" applyAlignment="1" applyProtection="1">
      <alignment vertical="center" wrapText="1"/>
    </xf>
    <xf numFmtId="3" fontId="3" fillId="0" borderId="1" xfId="36" applyNumberFormat="1" applyFont="1" applyFill="1" applyBorder="1" applyAlignment="1" applyProtection="1">
      <alignment vertical="center" wrapText="1"/>
    </xf>
    <xf numFmtId="4" fontId="3" fillId="0" borderId="1" xfId="36" applyNumberFormat="1" applyFont="1" applyFill="1" applyBorder="1" applyAlignment="1" applyProtection="1">
      <alignment vertical="center" wrapText="1"/>
    </xf>
    <xf numFmtId="37" fontId="3" fillId="0" borderId="4" xfId="36" applyFont="1" applyFill="1" applyBorder="1" applyAlignment="1" applyProtection="1">
      <alignment horizontal="justify" vertical="top" wrapText="1"/>
    </xf>
    <xf numFmtId="3" fontId="3" fillId="0" borderId="4" xfId="36" applyNumberFormat="1" applyFont="1" applyFill="1" applyBorder="1" applyAlignment="1" applyProtection="1">
      <alignment horizontal="center" vertical="center" wrapText="1"/>
    </xf>
    <xf numFmtId="3" fontId="3" fillId="0" borderId="4" xfId="36" applyNumberFormat="1" applyFont="1" applyFill="1" applyBorder="1" applyAlignment="1" applyProtection="1">
      <alignment horizontal="center" vertical="center"/>
    </xf>
    <xf numFmtId="3" fontId="3" fillId="0" borderId="35" xfId="36" applyNumberFormat="1" applyFont="1" applyFill="1" applyBorder="1" applyAlignment="1" applyProtection="1">
      <alignment horizontal="right" vertical="center"/>
    </xf>
    <xf numFmtId="3" fontId="3" fillId="0" borderId="37" xfId="36" applyNumberFormat="1" applyFont="1" applyFill="1" applyBorder="1" applyAlignment="1" applyProtection="1">
      <alignment horizontal="center" vertical="center"/>
    </xf>
    <xf numFmtId="170" fontId="3" fillId="0" borderId="3" xfId="36" applyNumberFormat="1" applyFont="1" applyFill="1" applyBorder="1" applyAlignment="1" applyProtection="1">
      <alignment horizontal="center" vertical="top"/>
    </xf>
    <xf numFmtId="3" fontId="21" fillId="0" borderId="4" xfId="36" applyNumberFormat="1" applyFont="1" applyFill="1" applyBorder="1" applyAlignment="1" applyProtection="1">
      <alignment horizontal="center" vertical="center" wrapText="1"/>
    </xf>
    <xf numFmtId="4" fontId="3" fillId="0" borderId="37" xfId="36" applyNumberFormat="1" applyFont="1" applyFill="1" applyBorder="1" applyAlignment="1" applyProtection="1">
      <alignment horizontal="center" vertical="center"/>
    </xf>
    <xf numFmtId="4" fontId="3" fillId="0" borderId="4" xfId="36" applyNumberFormat="1" applyFont="1" applyFill="1" applyBorder="1" applyAlignment="1" applyProtection="1">
      <alignment horizontal="center" vertical="center"/>
    </xf>
    <xf numFmtId="170" fontId="3" fillId="0" borderId="30" xfId="36" applyNumberFormat="1" applyFont="1" applyFill="1" applyBorder="1" applyAlignment="1" applyProtection="1">
      <alignment vertical="top"/>
    </xf>
    <xf numFmtId="3" fontId="3" fillId="0" borderId="42" xfId="36" applyNumberFormat="1" applyFont="1" applyFill="1" applyBorder="1" applyAlignment="1" applyProtection="1">
      <alignment vertical="center" wrapText="1"/>
    </xf>
    <xf numFmtId="37" fontId="3" fillId="0" borderId="4" xfId="10" applyNumberFormat="1" applyFont="1" applyFill="1" applyBorder="1" applyAlignment="1" applyProtection="1">
      <alignment horizontal="justify" vertical="top" wrapText="1"/>
    </xf>
    <xf numFmtId="3" fontId="3" fillId="0" borderId="4" xfId="31" applyNumberFormat="1" applyFont="1" applyFill="1" applyBorder="1" applyAlignment="1" applyProtection="1">
      <alignment horizontal="center" vertical="center" wrapText="1"/>
    </xf>
    <xf numFmtId="171" fontId="3" fillId="0" borderId="4" xfId="10" applyNumberFormat="1" applyFont="1" applyFill="1" applyBorder="1" applyAlignment="1" applyProtection="1">
      <alignment horizontal="center" vertical="center" wrapText="1"/>
    </xf>
    <xf numFmtId="3" fontId="3" fillId="0" borderId="4" xfId="10" applyNumberFormat="1" applyFont="1" applyFill="1" applyBorder="1" applyAlignment="1" applyProtection="1">
      <alignment horizontal="center" vertical="center"/>
    </xf>
    <xf numFmtId="3" fontId="3" fillId="0" borderId="36" xfId="36" applyNumberFormat="1" applyFont="1" applyFill="1" applyBorder="1" applyAlignment="1" applyProtection="1">
      <alignment horizontal="right" vertical="center" wrapText="1"/>
    </xf>
    <xf numFmtId="3" fontId="3" fillId="0" borderId="37" xfId="10" applyNumberFormat="1" applyFont="1" applyFill="1" applyBorder="1" applyAlignment="1" applyProtection="1">
      <alignment horizontal="center" vertical="center"/>
    </xf>
    <xf numFmtId="171" fontId="3" fillId="0" borderId="4" xfId="36" applyNumberFormat="1" applyFont="1" applyFill="1" applyBorder="1" applyAlignment="1" applyProtection="1">
      <alignment horizontal="center" vertical="center" wrapText="1"/>
    </xf>
    <xf numFmtId="37" fontId="3" fillId="0" borderId="8" xfId="36" applyFont="1" applyFill="1" applyBorder="1" applyAlignment="1" applyProtection="1">
      <alignment horizontal="justify" vertical="center" wrapText="1"/>
    </xf>
    <xf numFmtId="3" fontId="3" fillId="0" borderId="8" xfId="36" applyNumberFormat="1" applyFont="1" applyFill="1" applyBorder="1" applyAlignment="1" applyProtection="1">
      <alignment horizontal="center" vertical="center" wrapText="1"/>
    </xf>
    <xf numFmtId="37" fontId="3" fillId="0" borderId="8" xfId="36" applyFont="1" applyFill="1" applyBorder="1" applyAlignment="1" applyProtection="1">
      <alignment horizontal="center" vertical="center" wrapText="1"/>
    </xf>
    <xf numFmtId="3" fontId="3" fillId="0" borderId="40" xfId="36" applyNumberFormat="1" applyFont="1" applyFill="1" applyBorder="1" applyAlignment="1" applyProtection="1">
      <alignment horizontal="center" vertical="center" wrapText="1"/>
    </xf>
    <xf numFmtId="4" fontId="3" fillId="0" borderId="0" xfId="36" applyNumberFormat="1" applyFont="1" applyFill="1" applyAlignment="1">
      <alignment horizontal="center" vertical="center"/>
    </xf>
    <xf numFmtId="4" fontId="3" fillId="0" borderId="30" xfId="8" applyNumberFormat="1" applyFont="1" applyFill="1" applyBorder="1" applyAlignment="1">
      <alignment horizontal="center" vertical="center"/>
    </xf>
    <xf numFmtId="4" fontId="3" fillId="0" borderId="31" xfId="8" applyNumberFormat="1" applyFont="1" applyFill="1" applyBorder="1" applyAlignment="1">
      <alignment horizontal="center" vertical="center"/>
    </xf>
    <xf numFmtId="4" fontId="3" fillId="0" borderId="38" xfId="1" applyNumberFormat="1" applyFont="1" applyFill="1" applyBorder="1" applyAlignment="1">
      <alignment horizontal="center" vertical="center"/>
    </xf>
    <xf numFmtId="3" fontId="5" fillId="0" borderId="2" xfId="1" applyNumberFormat="1" applyFont="1" applyFill="1" applyBorder="1" applyAlignment="1">
      <alignment horizontal="right" vertical="center"/>
    </xf>
    <xf numFmtId="4" fontId="5" fillId="0" borderId="2" xfId="1" applyNumberFormat="1" applyFont="1" applyFill="1" applyBorder="1" applyAlignment="1">
      <alignment horizontal="right" vertical="center"/>
    </xf>
    <xf numFmtId="0" fontId="3" fillId="0" borderId="0" xfId="1" applyFont="1" applyFill="1" applyBorder="1" applyAlignment="1">
      <alignment horizontal="center" vertical="top"/>
    </xf>
    <xf numFmtId="0" fontId="3" fillId="0" borderId="0" xfId="1" applyFont="1" applyFill="1" applyBorder="1" applyAlignment="1">
      <alignment horizontal="left" vertical="top"/>
    </xf>
    <xf numFmtId="0" fontId="3" fillId="0" borderId="0" xfId="1" applyFont="1" applyFill="1" applyBorder="1" applyAlignment="1">
      <alignment horizontal="center" vertical="center" wrapText="1"/>
    </xf>
    <xf numFmtId="3" fontId="3" fillId="0" borderId="0" xfId="1" applyNumberFormat="1" applyFont="1" applyFill="1" applyBorder="1" applyAlignment="1">
      <alignment horizontal="center" vertical="center"/>
    </xf>
    <xf numFmtId="0" fontId="3" fillId="0" borderId="0" xfId="1" applyFont="1" applyFill="1" applyBorder="1" applyAlignment="1">
      <alignment horizontal="center" vertical="center"/>
    </xf>
    <xf numFmtId="37" fontId="9" fillId="0" borderId="0" xfId="37" applyFont="1"/>
    <xf numFmtId="10" fontId="9" fillId="0" borderId="0" xfId="39" applyNumberFormat="1" applyFont="1"/>
    <xf numFmtId="0" fontId="26" fillId="0" borderId="0" xfId="38" applyFont="1" applyFill="1" applyBorder="1" applyAlignment="1">
      <alignment horizontal="center" vertical="top" wrapText="1"/>
    </xf>
    <xf numFmtId="37" fontId="27" fillId="0" borderId="45" xfId="40" applyFont="1" applyFill="1" applyBorder="1" applyAlignment="1">
      <alignment horizontal="center" vertical="center" wrapText="1"/>
    </xf>
    <xf numFmtId="37" fontId="27" fillId="0" borderId="45" xfId="40" applyFont="1" applyFill="1" applyBorder="1" applyAlignment="1">
      <alignment horizontal="center" vertical="center"/>
    </xf>
    <xf numFmtId="0" fontId="26" fillId="0" borderId="46" xfId="38" applyFont="1" applyBorder="1" applyAlignment="1">
      <alignment horizontal="center" vertical="center" wrapText="1"/>
    </xf>
    <xf numFmtId="0" fontId="26" fillId="0" borderId="46" xfId="35" applyFont="1" applyBorder="1" applyAlignment="1">
      <alignment vertical="center"/>
    </xf>
    <xf numFmtId="173" fontId="27" fillId="0" borderId="46" xfId="37" applyNumberFormat="1" applyFont="1" applyBorder="1" applyAlignment="1">
      <alignment vertical="center" wrapText="1"/>
    </xf>
    <xf numFmtId="173" fontId="27" fillId="0" borderId="0" xfId="37" applyNumberFormat="1" applyFont="1" applyAlignment="1">
      <alignment vertical="center" wrapText="1"/>
    </xf>
    <xf numFmtId="43" fontId="28" fillId="0" borderId="0" xfId="31" applyFont="1" applyFill="1" applyAlignment="1">
      <alignment vertical="center"/>
    </xf>
    <xf numFmtId="0" fontId="28" fillId="0" borderId="0" xfId="38" applyFont="1" applyBorder="1" applyAlignment="1">
      <alignment horizontal="right" vertical="center" wrapText="1"/>
    </xf>
    <xf numFmtId="0" fontId="28" fillId="0" borderId="0" xfId="35" applyFont="1" applyBorder="1" applyAlignment="1">
      <alignment vertical="center"/>
    </xf>
    <xf numFmtId="173" fontId="27" fillId="0" borderId="0" xfId="37" applyNumberFormat="1" applyFont="1" applyBorder="1" applyAlignment="1">
      <alignment vertical="center" wrapText="1"/>
    </xf>
    <xf numFmtId="37" fontId="28" fillId="0" borderId="0" xfId="37" applyFont="1" applyFill="1" applyAlignment="1">
      <alignment vertical="center"/>
    </xf>
    <xf numFmtId="0" fontId="26" fillId="0" borderId="0" xfId="38" applyFont="1" applyBorder="1" applyAlignment="1">
      <alignment horizontal="center" vertical="center" wrapText="1"/>
    </xf>
    <xf numFmtId="0" fontId="26" fillId="0" borderId="0" xfId="35" applyFont="1" applyBorder="1" applyAlignment="1">
      <alignment horizontal="right" vertical="center"/>
    </xf>
    <xf numFmtId="173" fontId="27" fillId="0" borderId="47" xfId="37" applyNumberFormat="1" applyFont="1" applyBorder="1" applyAlignment="1">
      <alignment vertical="center" wrapText="1"/>
    </xf>
    <xf numFmtId="0" fontId="26" fillId="0" borderId="0" xfId="35" applyFont="1" applyBorder="1" applyAlignment="1">
      <alignment vertical="center"/>
    </xf>
    <xf numFmtId="175" fontId="28" fillId="0" borderId="0" xfId="41" applyNumberFormat="1" applyFont="1" applyBorder="1" applyAlignment="1">
      <alignment horizontal="center" vertical="center" wrapText="1"/>
    </xf>
    <xf numFmtId="0" fontId="26" fillId="0" borderId="48" xfId="38" applyFont="1" applyBorder="1" applyAlignment="1">
      <alignment horizontal="center" vertical="center" wrapText="1"/>
    </xf>
    <xf numFmtId="0" fontId="26" fillId="0" borderId="48" xfId="35" applyFont="1" applyBorder="1" applyAlignment="1">
      <alignment vertical="center"/>
    </xf>
    <xf numFmtId="175" fontId="28" fillId="0" borderId="48" xfId="41" applyNumberFormat="1" applyFont="1" applyBorder="1" applyAlignment="1">
      <alignment horizontal="center" vertical="center" wrapText="1"/>
    </xf>
    <xf numFmtId="173" fontId="27" fillId="0" borderId="51" xfId="37" applyNumberFormat="1" applyFont="1" applyBorder="1" applyAlignment="1">
      <alignment vertical="center" wrapText="1"/>
    </xf>
    <xf numFmtId="0" fontId="9" fillId="0" borderId="0" xfId="8" applyNumberFormat="1" applyFont="1" applyAlignment="1">
      <alignment vertical="center"/>
    </xf>
    <xf numFmtId="0" fontId="28" fillId="0" borderId="0" xfId="8" applyNumberFormat="1" applyFont="1" applyFill="1" applyBorder="1" applyAlignment="1" applyProtection="1">
      <alignment horizontal="center"/>
    </xf>
    <xf numFmtId="0" fontId="28" fillId="0" borderId="0" xfId="8" applyNumberFormat="1" applyFont="1" applyFill="1" applyBorder="1" applyProtection="1"/>
    <xf numFmtId="176" fontId="28" fillId="0" borderId="0" xfId="8" applyNumberFormat="1" applyFont="1" applyFill="1" applyBorder="1" applyAlignment="1" applyProtection="1">
      <alignment horizontal="center"/>
    </xf>
    <xf numFmtId="4" fontId="28" fillId="0" borderId="0" xfId="8" applyNumberFormat="1" applyFont="1" applyFill="1" applyBorder="1" applyAlignment="1">
      <alignment horizontal="center"/>
    </xf>
    <xf numFmtId="39" fontId="28" fillId="0" borderId="0" xfId="8" applyNumberFormat="1" applyFont="1" applyFill="1" applyBorder="1" applyAlignment="1" applyProtection="1">
      <alignment horizontal="center"/>
    </xf>
    <xf numFmtId="0" fontId="28" fillId="0" borderId="0" xfId="38" applyFont="1" applyBorder="1" applyAlignment="1">
      <alignment horizontal="center" vertical="top"/>
    </xf>
    <xf numFmtId="0" fontId="28" fillId="0" borderId="0" xfId="38" applyFont="1" applyBorder="1" applyAlignment="1">
      <alignment horizontal="left" vertical="top"/>
    </xf>
    <xf numFmtId="174" fontId="28" fillId="0" borderId="0" xfId="41" applyFont="1" applyBorder="1" applyAlignment="1">
      <alignment horizontal="center"/>
    </xf>
    <xf numFmtId="37" fontId="5" fillId="0" borderId="0" xfId="37" applyFont="1" applyAlignment="1">
      <alignment horizontal="center" vertical="center"/>
    </xf>
    <xf numFmtId="37" fontId="5" fillId="0" borderId="2" xfId="37" applyFont="1" applyBorder="1" applyAlignment="1">
      <alignment horizontal="center" vertical="center" wrapText="1"/>
    </xf>
    <xf numFmtId="37" fontId="5" fillId="0" borderId="2" xfId="37" applyFont="1" applyBorder="1" applyAlignment="1">
      <alignment horizontal="center" vertical="center"/>
    </xf>
    <xf numFmtId="37" fontId="3" fillId="0" borderId="2" xfId="37" applyFont="1" applyBorder="1" applyAlignment="1">
      <alignment horizontal="center" vertical="center"/>
    </xf>
    <xf numFmtId="37" fontId="3" fillId="0" borderId="2" xfId="37" applyFont="1" applyBorder="1" applyAlignment="1">
      <alignment horizontal="justify" vertical="top"/>
    </xf>
    <xf numFmtId="37" fontId="3" fillId="0" borderId="2" xfId="37" applyFont="1" applyBorder="1" applyAlignment="1">
      <alignment horizontal="right" vertical="center" indent="1"/>
    </xf>
    <xf numFmtId="4" fontId="3" fillId="0" borderId="2" xfId="37" applyNumberFormat="1" applyFont="1" applyBorder="1" applyAlignment="1">
      <alignment horizontal="right" vertical="center" indent="1"/>
    </xf>
    <xf numFmtId="37" fontId="3" fillId="0" borderId="0" xfId="37" applyFont="1"/>
    <xf numFmtId="4" fontId="5" fillId="0" borderId="2" xfId="37" applyNumberFormat="1" applyFont="1" applyBorder="1" applyAlignment="1">
      <alignment horizontal="right" vertical="center" indent="1"/>
    </xf>
    <xf numFmtId="37" fontId="5" fillId="0" borderId="0" xfId="37" applyFont="1"/>
    <xf numFmtId="3" fontId="5" fillId="0" borderId="2" xfId="37" applyNumberFormat="1" applyFont="1" applyBorder="1" applyAlignment="1">
      <alignment horizontal="right" vertical="center" indent="1"/>
    </xf>
    <xf numFmtId="3" fontId="5" fillId="0" borderId="0" xfId="37" applyNumberFormat="1" applyFont="1"/>
    <xf numFmtId="37" fontId="3" fillId="0" borderId="0" xfId="37" applyFont="1" applyAlignment="1">
      <alignment horizontal="justify" vertical="top"/>
    </xf>
    <xf numFmtId="0" fontId="28" fillId="0" borderId="0" xfId="8" applyNumberFormat="1" applyFont="1" applyFill="1"/>
    <xf numFmtId="0" fontId="24" fillId="0" borderId="0" xfId="37" applyNumberFormat="1" applyFont="1" applyFill="1" applyBorder="1" applyAlignment="1">
      <alignment horizontal="center" vertical="top"/>
    </xf>
    <xf numFmtId="0" fontId="24" fillId="0" borderId="0" xfId="37" applyNumberFormat="1" applyFont="1" applyFill="1" applyBorder="1" applyAlignment="1">
      <alignment horizontal="center" vertical="center"/>
    </xf>
    <xf numFmtId="4" fontId="24" fillId="0" borderId="0" xfId="37" applyNumberFormat="1" applyFont="1" applyFill="1" applyBorder="1" applyAlignment="1">
      <alignment horizontal="center" vertical="center"/>
    </xf>
    <xf numFmtId="0" fontId="28" fillId="0" borderId="0" xfId="37" applyNumberFormat="1" applyFont="1" applyFill="1"/>
    <xf numFmtId="37" fontId="26" fillId="0" borderId="0" xfId="37" applyFont="1" applyFill="1" applyAlignment="1">
      <alignment vertical="center"/>
    </xf>
    <xf numFmtId="37" fontId="31" fillId="6" borderId="3" xfId="37" applyFont="1" applyFill="1" applyBorder="1" applyAlignment="1" applyProtection="1">
      <alignment horizontal="left" vertical="top"/>
    </xf>
    <xf numFmtId="3" fontId="31" fillId="6" borderId="4" xfId="37" applyNumberFormat="1" applyFont="1" applyFill="1" applyBorder="1" applyAlignment="1" applyProtection="1">
      <alignment horizontal="center" vertical="center" wrapText="1"/>
    </xf>
    <xf numFmtId="37" fontId="31" fillId="6" borderId="4" xfId="37" applyFont="1" applyFill="1" applyBorder="1" applyAlignment="1" applyProtection="1">
      <alignment horizontal="center" vertical="center"/>
    </xf>
    <xf numFmtId="37" fontId="31" fillId="6" borderId="4" xfId="37" applyFont="1" applyFill="1" applyBorder="1" applyAlignment="1" applyProtection="1">
      <alignment horizontal="center" vertical="center" wrapText="1"/>
    </xf>
    <xf numFmtId="4" fontId="31" fillId="6" borderId="4" xfId="37" applyNumberFormat="1" applyFont="1" applyFill="1" applyBorder="1" applyAlignment="1" applyProtection="1">
      <alignment horizontal="center" vertical="center" wrapText="1"/>
    </xf>
    <xf numFmtId="3" fontId="31" fillId="6" borderId="35" xfId="37" applyNumberFormat="1" applyFont="1" applyFill="1" applyBorder="1" applyAlignment="1" applyProtection="1">
      <alignment horizontal="right" vertical="center" wrapText="1"/>
    </xf>
    <xf numFmtId="37" fontId="32" fillId="3" borderId="3" xfId="37" applyFont="1" applyFill="1" applyBorder="1" applyAlignment="1" applyProtection="1">
      <alignment horizontal="left" vertical="top"/>
    </xf>
    <xf numFmtId="3" fontId="32" fillId="3" borderId="4" xfId="37" applyNumberFormat="1" applyFont="1" applyFill="1" applyBorder="1" applyAlignment="1" applyProtection="1">
      <alignment horizontal="center" vertical="center" wrapText="1"/>
    </xf>
    <xf numFmtId="37" fontId="32" fillId="3" borderId="4" xfId="37" applyFont="1" applyFill="1" applyBorder="1" applyAlignment="1" applyProtection="1">
      <alignment horizontal="center" vertical="center"/>
    </xf>
    <xf numFmtId="37" fontId="32" fillId="3" borderId="4" xfId="37" applyFont="1" applyFill="1" applyBorder="1" applyAlignment="1" applyProtection="1">
      <alignment horizontal="center" vertical="center" wrapText="1"/>
    </xf>
    <xf numFmtId="4" fontId="32" fillId="3" borderId="4" xfId="37" applyNumberFormat="1" applyFont="1" applyFill="1" applyBorder="1" applyAlignment="1" applyProtection="1">
      <alignment horizontal="center" vertical="center" wrapText="1"/>
    </xf>
    <xf numFmtId="3" fontId="32" fillId="3" borderId="35" xfId="37" applyNumberFormat="1" applyFont="1" applyFill="1" applyBorder="1" applyAlignment="1" applyProtection="1">
      <alignment horizontal="right" vertical="center" wrapText="1"/>
    </xf>
    <xf numFmtId="0" fontId="28" fillId="0" borderId="43" xfId="37" applyNumberFormat="1" applyFont="1" applyFill="1" applyBorder="1" applyAlignment="1" applyProtection="1">
      <alignment horizontal="center" vertical="center"/>
    </xf>
    <xf numFmtId="3" fontId="28" fillId="0" borderId="43" xfId="37" applyNumberFormat="1" applyFont="1" applyFill="1" applyBorder="1" applyAlignment="1" applyProtection="1">
      <alignment horizontal="center" vertical="center" wrapText="1"/>
    </xf>
    <xf numFmtId="37" fontId="28" fillId="0" borderId="43" xfId="37" applyFont="1" applyFill="1" applyBorder="1" applyAlignment="1" applyProtection="1">
      <alignment horizontal="justify" vertical="center" wrapText="1"/>
    </xf>
    <xf numFmtId="4" fontId="28" fillId="0" borderId="43" xfId="37" applyNumberFormat="1" applyFont="1" applyFill="1" applyBorder="1" applyAlignment="1" applyProtection="1">
      <alignment horizontal="center" vertical="center"/>
    </xf>
    <xf numFmtId="37" fontId="28" fillId="0" borderId="43" xfId="37" applyNumberFormat="1" applyFont="1" applyFill="1" applyBorder="1" applyAlignment="1" applyProtection="1">
      <alignment vertical="center"/>
    </xf>
    <xf numFmtId="37" fontId="32" fillId="3" borderId="43" xfId="37" applyFont="1" applyFill="1" applyBorder="1" applyAlignment="1" applyProtection="1">
      <alignment horizontal="left" vertical="top"/>
    </xf>
    <xf numFmtId="3" fontId="32" fillId="3" borderId="43" xfId="37" applyNumberFormat="1" applyFont="1" applyFill="1" applyBorder="1" applyAlignment="1" applyProtection="1">
      <alignment horizontal="center" vertical="center" wrapText="1"/>
    </xf>
    <xf numFmtId="37" fontId="32" fillId="3" borderId="43" xfId="37" applyFont="1" applyFill="1" applyBorder="1" applyAlignment="1" applyProtection="1">
      <alignment horizontal="center" vertical="center"/>
    </xf>
    <xf numFmtId="37" fontId="32" fillId="3" borderId="43" xfId="37" applyFont="1" applyFill="1" applyBorder="1" applyAlignment="1" applyProtection="1">
      <alignment horizontal="center" vertical="center" wrapText="1"/>
    </xf>
    <xf numFmtId="4" fontId="32" fillId="3" borderId="43" xfId="37" applyNumberFormat="1" applyFont="1" applyFill="1" applyBorder="1" applyAlignment="1" applyProtection="1">
      <alignment horizontal="center" vertical="center" wrapText="1"/>
    </xf>
    <xf numFmtId="3" fontId="32" fillId="3" borderId="43" xfId="37" applyNumberFormat="1" applyFont="1" applyFill="1" applyBorder="1" applyAlignment="1" applyProtection="1">
      <alignment horizontal="right" vertical="center" wrapText="1"/>
    </xf>
    <xf numFmtId="0" fontId="28" fillId="0" borderId="34" xfId="37" applyNumberFormat="1" applyFont="1" applyFill="1" applyBorder="1" applyAlignment="1" applyProtection="1">
      <alignment horizontal="center" vertical="center"/>
    </xf>
    <xf numFmtId="3" fontId="28" fillId="0" borderId="34" xfId="37" applyNumberFormat="1" applyFont="1" applyFill="1" applyBorder="1" applyAlignment="1" applyProtection="1">
      <alignment horizontal="center" vertical="center" wrapText="1"/>
    </xf>
    <xf numFmtId="37" fontId="28" fillId="0" borderId="34" xfId="37" applyFont="1" applyFill="1" applyBorder="1" applyAlignment="1" applyProtection="1">
      <alignment horizontal="justify" vertical="center" wrapText="1"/>
    </xf>
    <xf numFmtId="4" fontId="28" fillId="0" borderId="34" xfId="37" applyNumberFormat="1" applyFont="1" applyFill="1" applyBorder="1" applyAlignment="1" applyProtection="1">
      <alignment horizontal="center" vertical="center"/>
    </xf>
    <xf numFmtId="37" fontId="28" fillId="0" borderId="34" xfId="37" applyNumberFormat="1" applyFont="1" applyFill="1" applyBorder="1" applyAlignment="1" applyProtection="1">
      <alignment vertical="center"/>
    </xf>
    <xf numFmtId="37" fontId="26" fillId="0" borderId="2" xfId="37" applyFont="1" applyFill="1" applyBorder="1" applyAlignment="1">
      <alignment vertical="center"/>
    </xf>
    <xf numFmtId="37" fontId="26" fillId="0" borderId="0" xfId="42" applyFont="1" applyFill="1"/>
    <xf numFmtId="4" fontId="28" fillId="0" borderId="0" xfId="43" applyNumberFormat="1" applyFont="1" applyFill="1" applyBorder="1" applyAlignment="1">
      <alignment horizontal="center"/>
    </xf>
    <xf numFmtId="176" fontId="28" fillId="0" borderId="0" xfId="43" applyNumberFormat="1" applyFont="1" applyFill="1" applyBorder="1" applyAlignment="1" applyProtection="1">
      <alignment horizontal="center"/>
    </xf>
    <xf numFmtId="39" fontId="28" fillId="0" borderId="0" xfId="43" applyNumberFormat="1" applyFont="1" applyFill="1" applyBorder="1" applyAlignment="1" applyProtection="1">
      <alignment horizontal="center"/>
    </xf>
    <xf numFmtId="37" fontId="28" fillId="0" borderId="0" xfId="43" applyNumberFormat="1" applyFont="1" applyFill="1"/>
    <xf numFmtId="37" fontId="28" fillId="0" borderId="0" xfId="37" applyFont="1" applyFill="1" applyBorder="1" applyAlignment="1" applyProtection="1">
      <alignment horizontal="center" vertical="top"/>
    </xf>
    <xf numFmtId="3" fontId="28" fillId="0" borderId="0" xfId="37" applyNumberFormat="1" applyFont="1" applyFill="1" applyBorder="1" applyAlignment="1" applyProtection="1">
      <alignment horizontal="center"/>
    </xf>
    <xf numFmtId="37" fontId="28" fillId="0" borderId="0" xfId="37" applyFont="1" applyFill="1" applyBorder="1" applyAlignment="1" applyProtection="1">
      <alignment vertical="top" wrapText="1"/>
    </xf>
    <xf numFmtId="37" fontId="28" fillId="0" borderId="0" xfId="37" applyFont="1" applyFill="1" applyBorder="1" applyAlignment="1" applyProtection="1">
      <alignment horizontal="center"/>
    </xf>
    <xf numFmtId="4" fontId="28" fillId="0" borderId="0" xfId="37" applyNumberFormat="1" applyFont="1" applyFill="1" applyBorder="1" applyAlignment="1">
      <alignment horizontal="center"/>
    </xf>
    <xf numFmtId="39" fontId="28" fillId="0" borderId="0" xfId="37" applyNumberFormat="1" applyFont="1" applyFill="1" applyBorder="1" applyAlignment="1">
      <alignment horizontal="right"/>
    </xf>
    <xf numFmtId="37" fontId="28" fillId="0" borderId="0" xfId="37" applyFont="1" applyFill="1"/>
    <xf numFmtId="37" fontId="3" fillId="0" borderId="2" xfId="37" applyFont="1" applyBorder="1" applyAlignment="1">
      <alignment horizontal="right" vertical="center"/>
    </xf>
    <xf numFmtId="37" fontId="3" fillId="0" borderId="2" xfId="37" applyFont="1" applyFill="1" applyBorder="1" applyAlignment="1">
      <alignment horizontal="center" vertical="center"/>
    </xf>
    <xf numFmtId="4" fontId="3" fillId="0" borderId="2" xfId="37" applyNumberFormat="1" applyFont="1" applyFill="1" applyBorder="1" applyAlignment="1">
      <alignment horizontal="right" vertical="center" indent="1"/>
    </xf>
    <xf numFmtId="39" fontId="3" fillId="0" borderId="0" xfId="37" applyNumberFormat="1" applyFont="1"/>
    <xf numFmtId="3" fontId="28" fillId="4" borderId="43" xfId="37" applyNumberFormat="1" applyFont="1" applyFill="1" applyBorder="1" applyAlignment="1" applyProtection="1">
      <alignment horizontal="center" vertical="center" wrapText="1"/>
    </xf>
    <xf numFmtId="172" fontId="5" fillId="0" borderId="2" xfId="1" applyNumberFormat="1" applyFont="1" applyFill="1" applyBorder="1" applyAlignment="1">
      <alignment horizontal="right" vertical="center" wrapText="1" indent="1"/>
    </xf>
    <xf numFmtId="167" fontId="5" fillId="0" borderId="5" xfId="1" applyNumberFormat="1" applyFont="1" applyFill="1" applyBorder="1" applyAlignment="1">
      <alignment horizontal="center" vertical="center" wrapText="1"/>
    </xf>
    <xf numFmtId="167" fontId="5" fillId="0" borderId="6" xfId="1" applyNumberFormat="1" applyFont="1" applyFill="1" applyBorder="1" applyAlignment="1">
      <alignment horizontal="center" vertical="center" wrapText="1"/>
    </xf>
    <xf numFmtId="4" fontId="5" fillId="0" borderId="6" xfId="1" applyNumberFormat="1" applyFont="1" applyFill="1" applyBorder="1" applyAlignment="1">
      <alignment horizontal="center" vertical="center" wrapText="1"/>
    </xf>
    <xf numFmtId="0" fontId="5" fillId="0" borderId="33" xfId="1" applyFont="1" applyFill="1" applyBorder="1" applyAlignment="1">
      <alignment horizontal="center" vertical="center" wrapText="1"/>
    </xf>
    <xf numFmtId="0" fontId="5" fillId="0" borderId="34" xfId="1" applyFont="1" applyFill="1" applyBorder="1" applyAlignment="1">
      <alignment horizontal="center" vertical="center" wrapText="1"/>
    </xf>
    <xf numFmtId="167" fontId="5" fillId="0" borderId="12" xfId="1" applyNumberFormat="1" applyFont="1" applyFill="1" applyBorder="1" applyAlignment="1">
      <alignment horizontal="center" vertical="center" wrapText="1"/>
    </xf>
    <xf numFmtId="0" fontId="22" fillId="5" borderId="0" xfId="32" applyFont="1" applyFill="1" applyBorder="1" applyAlignment="1" applyProtection="1">
      <alignment horizontal="center" vertical="top" wrapText="1"/>
    </xf>
    <xf numFmtId="0" fontId="22" fillId="5" borderId="0" xfId="32" applyFont="1" applyFill="1" applyBorder="1" applyAlignment="1" applyProtection="1">
      <alignment horizontal="center" vertical="top"/>
    </xf>
    <xf numFmtId="0" fontId="24" fillId="0" borderId="0" xfId="8" applyNumberFormat="1" applyFont="1" applyFill="1" applyBorder="1" applyAlignment="1" applyProtection="1">
      <alignment horizontal="center" vertical="top" wrapText="1"/>
    </xf>
    <xf numFmtId="0" fontId="24" fillId="0" borderId="0" xfId="8" applyNumberFormat="1" applyFont="1" applyFill="1" applyBorder="1" applyAlignment="1" applyProtection="1">
      <alignment horizontal="center" vertical="top"/>
    </xf>
    <xf numFmtId="0" fontId="25" fillId="0" borderId="0" xfId="38" applyFont="1" applyFill="1" applyBorder="1" applyAlignment="1">
      <alignment horizontal="center" vertical="top" wrapText="1"/>
    </xf>
    <xf numFmtId="37" fontId="27" fillId="0" borderId="49" xfId="40" applyFont="1" applyFill="1" applyBorder="1" applyAlignment="1">
      <alignment horizontal="right" vertical="center"/>
    </xf>
    <xf numFmtId="37" fontId="27" fillId="0" borderId="50" xfId="40" applyFont="1" applyFill="1" applyBorder="1" applyAlignment="1">
      <alignment horizontal="right" vertical="center"/>
    </xf>
    <xf numFmtId="37" fontId="5" fillId="0" borderId="5" xfId="37" applyFont="1" applyBorder="1" applyAlignment="1">
      <alignment horizontal="right" vertical="center" indent="1"/>
    </xf>
    <xf numFmtId="37" fontId="27" fillId="0" borderId="6" xfId="37" applyFont="1" applyBorder="1" applyAlignment="1">
      <alignment horizontal="right" vertical="center" indent="1"/>
    </xf>
    <xf numFmtId="37" fontId="27" fillId="0" borderId="12" xfId="37" applyFont="1" applyBorder="1" applyAlignment="1">
      <alignment horizontal="right" vertical="center" indent="1"/>
    </xf>
    <xf numFmtId="37" fontId="29" fillId="0" borderId="0" xfId="37" applyFont="1" applyAlignment="1">
      <alignment horizontal="center" vertical="center"/>
    </xf>
    <xf numFmtId="37" fontId="30" fillId="0" borderId="0" xfId="37" applyFont="1" applyAlignment="1">
      <alignment horizontal="center" vertical="center"/>
    </xf>
    <xf numFmtId="37" fontId="5" fillId="0" borderId="6" xfId="37" applyFont="1" applyBorder="1" applyAlignment="1">
      <alignment horizontal="right" vertical="center" indent="1"/>
    </xf>
    <xf numFmtId="37" fontId="5" fillId="0" borderId="12" xfId="37" applyFont="1" applyBorder="1" applyAlignment="1">
      <alignment horizontal="right" vertical="center" indent="1"/>
    </xf>
    <xf numFmtId="37" fontId="27" fillId="0" borderId="2" xfId="37" applyNumberFormat="1" applyFont="1" applyFill="1" applyBorder="1" applyAlignment="1" applyProtection="1">
      <alignment horizontal="right" vertical="center"/>
    </xf>
    <xf numFmtId="0" fontId="24" fillId="0" borderId="0" xfId="37" applyNumberFormat="1" applyFont="1" applyAlignment="1">
      <alignment horizontal="center" vertical="center"/>
    </xf>
    <xf numFmtId="37" fontId="26" fillId="0" borderId="45" xfId="37" applyNumberFormat="1" applyFont="1" applyBorder="1" applyAlignment="1">
      <alignment horizontal="center" vertical="center" wrapText="1"/>
    </xf>
    <xf numFmtId="4" fontId="26" fillId="0" borderId="45" xfId="37" applyNumberFormat="1" applyFont="1" applyBorder="1" applyAlignment="1">
      <alignment horizontal="center" vertical="center" wrapText="1"/>
    </xf>
    <xf numFmtId="37" fontId="26" fillId="0" borderId="45" xfId="37" applyNumberFormat="1" applyFont="1" applyBorder="1" applyAlignment="1">
      <alignment horizontal="center" vertical="center"/>
    </xf>
    <xf numFmtId="39" fontId="26" fillId="0" borderId="45" xfId="37" applyNumberFormat="1" applyFont="1" applyBorder="1" applyAlignment="1">
      <alignment horizontal="center" vertical="center" wrapText="1"/>
    </xf>
    <xf numFmtId="0" fontId="2" fillId="0" borderId="0" xfId="1" applyFont="1" applyFill="1" applyBorder="1" applyAlignment="1">
      <alignment horizontal="center" vertical="center" wrapText="1"/>
    </xf>
    <xf numFmtId="4" fontId="5" fillId="0" borderId="10" xfId="1" applyNumberFormat="1" applyFont="1" applyBorder="1" applyAlignment="1">
      <alignment horizontal="center" vertical="center" wrapText="1"/>
    </xf>
    <xf numFmtId="4" fontId="5" fillId="0" borderId="21" xfId="1" applyNumberFormat="1" applyFont="1" applyBorder="1" applyAlignment="1">
      <alignment horizontal="center" vertical="center" wrapText="1"/>
    </xf>
    <xf numFmtId="4" fontId="5" fillId="0" borderId="22" xfId="1" applyNumberFormat="1" applyFont="1" applyBorder="1" applyAlignment="1">
      <alignment horizontal="center" vertical="center" wrapText="1"/>
    </xf>
    <xf numFmtId="4" fontId="5" fillId="0" borderId="29" xfId="1" applyNumberFormat="1" applyFont="1" applyBorder="1" applyAlignment="1">
      <alignment horizontal="center" vertical="center" wrapText="1"/>
    </xf>
    <xf numFmtId="166" fontId="3" fillId="0" borderId="21" xfId="1" applyNumberFormat="1" applyFont="1" applyBorder="1" applyAlignment="1">
      <alignment horizontal="center" vertical="center" wrapText="1"/>
    </xf>
    <xf numFmtId="166" fontId="3" fillId="0" borderId="29" xfId="1" applyNumberFormat="1" applyFont="1" applyBorder="1" applyAlignment="1">
      <alignment horizontal="center" vertical="center" wrapText="1"/>
    </xf>
    <xf numFmtId="4" fontId="3" fillId="0" borderId="21" xfId="1" applyNumberFormat="1" applyFont="1" applyBorder="1" applyAlignment="1">
      <alignment horizontal="center" vertical="center" wrapText="1"/>
    </xf>
    <xf numFmtId="4" fontId="3" fillId="0" borderId="22" xfId="1" applyNumberFormat="1" applyFont="1" applyBorder="1" applyAlignment="1">
      <alignment horizontal="center" vertical="center" wrapText="1"/>
    </xf>
    <xf numFmtId="4" fontId="3" fillId="0" borderId="29" xfId="1" applyNumberFormat="1" applyFont="1" applyBorder="1" applyAlignment="1">
      <alignment horizontal="center" vertical="center" wrapText="1"/>
    </xf>
  </cellXfs>
  <cellStyles count="44">
    <cellStyle name="Comma 10" xfId="11"/>
    <cellStyle name="Comma 11" xfId="12"/>
    <cellStyle name="Comma 12" xfId="2"/>
    <cellStyle name="Comma 12 2" xfId="17"/>
    <cellStyle name="Comma 13" xfId="3"/>
    <cellStyle name="Comma 2" xfId="31"/>
    <cellStyle name="Comma 4 2 2" xfId="7"/>
    <cellStyle name="Comma 9 2" xfId="24"/>
    <cellStyle name="Comma_Boq-Gate house " xfId="29"/>
    <cellStyle name="Comma_Summary" xfId="41"/>
    <cellStyle name="Normal" xfId="0" builtinId="0"/>
    <cellStyle name="Normal 11 3" xfId="30"/>
    <cellStyle name="Normal 12" xfId="15"/>
    <cellStyle name="Normal 12 2" xfId="18"/>
    <cellStyle name="Normal 13" xfId="1"/>
    <cellStyle name="Normal 14" xfId="36"/>
    <cellStyle name="Normal 14 2" xfId="16"/>
    <cellStyle name="Normal 19 2" xfId="6"/>
    <cellStyle name="Normal 2" xfId="8"/>
    <cellStyle name="Normal 2 2 2" xfId="14"/>
    <cellStyle name="Normal 2 2 2 2" xfId="19"/>
    <cellStyle name="Normal 3" xfId="34"/>
    <cellStyle name="Normal 4" xfId="4"/>
    <cellStyle name="Normal 4 3" xfId="32"/>
    <cellStyle name="Normal 4 4" xfId="27"/>
    <cellStyle name="Normal 5" xfId="5"/>
    <cellStyle name="Normal 6" xfId="37"/>
    <cellStyle name="Normal 7" xfId="10"/>
    <cellStyle name="Normal 7 2" xfId="25"/>
    <cellStyle name="Normal 9 2" xfId="26"/>
    <cellStyle name="Normal_BOQ of (Doctor Mess Club) MZD 2" xfId="13"/>
    <cellStyle name="Normal_Boq-Gate house _5" xfId="20"/>
    <cellStyle name="Normal_Boq-ICT-BUILDING _13" xfId="28"/>
    <cellStyle name="Normal_Boq-ICT-BUILDING _8" xfId="21"/>
    <cellStyle name="Normal_Boq-ICT-BUILDING _9" xfId="22"/>
    <cellStyle name="Normal_Elect-MES SCHEDULE" xfId="23"/>
    <cellStyle name="Normal_Elect-MES SCHEDULE 2" xfId="33"/>
    <cellStyle name="Normal_EST-DHA- Main Roads  RD-09 BOQ 2" xfId="40"/>
    <cellStyle name="Normal_Est-Storm Water Drain, 48 &amp; 42 inch Pipe Cont-034" xfId="42"/>
    <cellStyle name="Normal_Summary_01 - BOQ-Roads RD-001" xfId="43"/>
    <cellStyle name="Normal_Summary_Est- Sales Center Bldg 007 (Civil Work)" xfId="38"/>
    <cellStyle name="Normal_Summary_Est-Staff Accomodation MES (7-9-2011)" xfId="35"/>
    <cellStyle name="Percent" xfId="9" builtinId="5"/>
    <cellStyle name="Percent 2" xfId="3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torage-server\05%20-%20QS%20&amp;%20Contracts\Data%20Folder\Active%20Projects\1778%20-%20New%20GHQ%20Complex\2008\04.11.08%20-%20EST%20-%20Avenue%205%20(Revised)\Avenue%205%20-%20DCI%20(By%20Naveed)\EST%20-%20MES\Avenue%20-%2009%20-%20MES\Copy%20of%20Barbending%20Schedule%20Drai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RFEEN-PC\Share%20Folder\Users\Badar%20Mushtaq\Desktop\Rate%20analysis\Rate%20Analysis%20-(2nd%20Half.%20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5"/>
      <sheetName val="15-20"/>
      <sheetName val="20-25"/>
      <sheetName val="DRAIN 2X3 P1"/>
      <sheetName val="DRAIN 2X2 P2"/>
      <sheetName val="DRAIN 2X2 P3"/>
      <sheetName val="Catchpits"/>
      <sheetName val="BOQ"/>
    </sheetNames>
    <sheetDataSet>
      <sheetData sheetId="0">
        <row r="3">
          <cell r="D3">
            <v>0.30299999999999999</v>
          </cell>
        </row>
        <row r="4">
          <cell r="D4">
            <v>0.17</v>
          </cell>
        </row>
      </sheetData>
      <sheetData sheetId="1"/>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
      <sheetName val="Opt-II"/>
      <sheetName val="Opt-III"/>
      <sheetName val="Opt-IV"/>
      <sheetName val="Profile"/>
      <sheetName val="Sheet1"/>
      <sheetName val="Velocity Check"/>
      <sheetName val="Q~V"/>
      <sheetName val="G-20"/>
      <sheetName val="WBM 206"/>
      <sheetName val="Material"/>
      <sheetName val="Velocity_Check"/>
      <sheetName val="WBM_206"/>
      <sheetName val="MATave I&amp;II MODEL"/>
      <sheetName val="Services"/>
      <sheetName val="B.O.Q"/>
      <sheetName val="MixBed"/>
      <sheetName val="CondPol"/>
      <sheetName val="MTL$-INTER"/>
      <sheetName val="MEASUREMENT"/>
      <sheetName val="Ext.Boq139"/>
      <sheetName val="BS-Notes"/>
      <sheetName val="cost 1"/>
      <sheetName val="Code 02"/>
      <sheetName val="Code 03"/>
      <sheetName val="Code 04"/>
      <sheetName val="Code 05"/>
      <sheetName val="Code 06"/>
      <sheetName val="Code 07"/>
      <sheetName val="Code 09"/>
      <sheetName val="Bw"/>
      <sheetName val="CostDB"/>
      <sheetName val="LIST"/>
      <sheetName val="Velocity_Check1"/>
      <sheetName val="WBM_2061"/>
      <sheetName val="MATave_I&amp;II_MODEL"/>
      <sheetName val="B_O_Q"/>
    </sheetNames>
    <sheetDataSet>
      <sheetData sheetId="0">
        <row r="24">
          <cell r="F24">
            <v>1</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row r="24">
          <cell r="F24">
            <v>1</v>
          </cell>
        </row>
        <row r="25">
          <cell r="F25">
            <v>0.15</v>
          </cell>
        </row>
      </sheetData>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101"/>
      <sheetName val="104"/>
      <sheetName val="106a"/>
      <sheetName val="107d"/>
      <sheetName val="107di"/>
      <sheetName val="107e"/>
      <sheetName val="108a"/>
      <sheetName val="108c"/>
      <sheetName val="108d"/>
      <sheetName val="109a"/>
      <sheetName val="sp118"/>
      <sheetName val="201"/>
      <sheetName val="201a"/>
      <sheetName val="203a"/>
      <sheetName val="206"/>
      <sheetName val="207a"/>
      <sheetName val="207b"/>
      <sheetName val="209a"/>
      <sheetName val="209c"/>
      <sheetName val="209d"/>
      <sheetName val="302"/>
      <sheetName val="303"/>
      <sheetName val="305"/>
      <sheetName val="107a"/>
      <sheetName val="401a(i)"/>
      <sheetName val="401b(ii)"/>
      <sheetName val="401a2(i)"/>
      <sheetName val="401ci (2)"/>
      <sheetName val="401d"/>
      <sheetName val="401f"/>
      <sheetName val="404b"/>
      <sheetName val="405a"/>
      <sheetName val="405b"/>
      <sheetName val="406e"/>
      <sheetName val="407k"/>
      <sheetName val="401a(ii)"/>
      <sheetName val="401a2(ii)"/>
      <sheetName val="401c(ii)"/>
      <sheetName val="401ci"/>
      <sheetName val="Code"/>
      <sheetName val="Summary-1"/>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row r="6">
          <cell r="A6">
            <v>1</v>
          </cell>
          <cell r="B6" t="str">
            <v>Site Engineer</v>
          </cell>
          <cell r="C6">
            <v>146</v>
          </cell>
        </row>
        <row r="7">
          <cell r="A7">
            <v>2</v>
          </cell>
          <cell r="B7" t="str">
            <v>Concrete Plant Engineer</v>
          </cell>
          <cell r="C7">
            <v>65</v>
          </cell>
        </row>
        <row r="8">
          <cell r="A8">
            <v>3</v>
          </cell>
          <cell r="B8" t="str">
            <v>Asphalt Plant Engineer</v>
          </cell>
          <cell r="C8">
            <v>65</v>
          </cell>
        </row>
        <row r="9">
          <cell r="A9">
            <v>4</v>
          </cell>
          <cell r="B9" t="str">
            <v>Foreman Concrete</v>
          </cell>
          <cell r="C9">
            <v>56</v>
          </cell>
        </row>
        <row r="10">
          <cell r="A10">
            <v>5</v>
          </cell>
          <cell r="B10" t="str">
            <v>Foreman Earthwork</v>
          </cell>
          <cell r="C10">
            <v>52</v>
          </cell>
        </row>
        <row r="11">
          <cell r="A11">
            <v>6</v>
          </cell>
          <cell r="B11" t="str">
            <v>Foreman Asphalt</v>
          </cell>
          <cell r="C11">
            <v>56</v>
          </cell>
        </row>
        <row r="12">
          <cell r="A12">
            <v>7</v>
          </cell>
          <cell r="B12" t="str">
            <v>Supervisor</v>
          </cell>
          <cell r="C12">
            <v>52</v>
          </cell>
        </row>
        <row r="13">
          <cell r="A13">
            <v>8</v>
          </cell>
          <cell r="B13" t="str">
            <v>Surveyor</v>
          </cell>
          <cell r="C13">
            <v>58</v>
          </cell>
        </row>
        <row r="14">
          <cell r="A14" t="str">
            <v>8a</v>
          </cell>
          <cell r="B14" t="str">
            <v>Sawyer</v>
          </cell>
        </row>
        <row r="15">
          <cell r="A15">
            <v>9</v>
          </cell>
          <cell r="B15" t="str">
            <v>Asst. Surveyor</v>
          </cell>
          <cell r="C15">
            <v>52</v>
          </cell>
        </row>
        <row r="16">
          <cell r="A16">
            <v>10</v>
          </cell>
          <cell r="B16" t="str">
            <v>Mason</v>
          </cell>
          <cell r="C16">
            <v>63.75</v>
          </cell>
        </row>
        <row r="17">
          <cell r="A17">
            <v>11</v>
          </cell>
          <cell r="B17" t="str">
            <v>Carpenter</v>
          </cell>
          <cell r="C17">
            <v>63.75</v>
          </cell>
        </row>
        <row r="18">
          <cell r="A18">
            <v>12</v>
          </cell>
          <cell r="B18" t="str">
            <v>Steel Binder/Cutter</v>
          </cell>
          <cell r="C18">
            <v>52</v>
          </cell>
        </row>
        <row r="19">
          <cell r="A19">
            <v>13</v>
          </cell>
          <cell r="B19" t="str">
            <v>Black Smith</v>
          </cell>
          <cell r="C19">
            <v>63.75</v>
          </cell>
        </row>
        <row r="20">
          <cell r="A20">
            <v>14</v>
          </cell>
          <cell r="B20" t="str">
            <v>Welder</v>
          </cell>
          <cell r="C20">
            <v>63.75</v>
          </cell>
        </row>
        <row r="21">
          <cell r="A21">
            <v>15</v>
          </cell>
          <cell r="B21" t="str">
            <v>Painter</v>
          </cell>
          <cell r="C21">
            <v>46.25</v>
          </cell>
        </row>
        <row r="22">
          <cell r="A22">
            <v>16</v>
          </cell>
          <cell r="B22" t="str">
            <v>Skilled Labour</v>
          </cell>
          <cell r="C22">
            <v>43.75</v>
          </cell>
        </row>
        <row r="23">
          <cell r="A23">
            <v>17</v>
          </cell>
          <cell r="B23" t="str">
            <v>Helper</v>
          </cell>
          <cell r="C23">
            <v>46.25</v>
          </cell>
        </row>
        <row r="24">
          <cell r="A24">
            <v>18</v>
          </cell>
          <cell r="B24" t="str">
            <v>Labour</v>
          </cell>
          <cell r="C24">
            <v>46.25</v>
          </cell>
        </row>
        <row r="25">
          <cell r="A25">
            <v>19</v>
          </cell>
          <cell r="B25" t="str">
            <v>Unskilled Cooly</v>
          </cell>
          <cell r="C25">
            <v>46.25</v>
          </cell>
        </row>
        <row r="26">
          <cell r="A26">
            <v>20</v>
          </cell>
          <cell r="B26" t="str">
            <v>Plumber</v>
          </cell>
          <cell r="C26">
            <v>63.75</v>
          </cell>
        </row>
        <row r="27">
          <cell r="A27">
            <v>21</v>
          </cell>
          <cell r="B27" t="str">
            <v>Bahishti</v>
          </cell>
          <cell r="C27">
            <v>47.5</v>
          </cell>
        </row>
        <row r="28">
          <cell r="A28">
            <v>22</v>
          </cell>
          <cell r="B28" t="str">
            <v>Foreman</v>
          </cell>
          <cell r="C28">
            <v>57.5</v>
          </cell>
        </row>
        <row r="29">
          <cell r="A29">
            <v>23</v>
          </cell>
          <cell r="B29" t="str">
            <v>Paver Operator</v>
          </cell>
          <cell r="C29">
            <v>56</v>
          </cell>
        </row>
        <row r="30">
          <cell r="A30">
            <v>24</v>
          </cell>
          <cell r="B30" t="str">
            <v>Asst. Paver Operator</v>
          </cell>
          <cell r="C30">
            <v>40</v>
          </cell>
        </row>
        <row r="31">
          <cell r="A31">
            <v>25</v>
          </cell>
          <cell r="B31" t="str">
            <v>Fitter</v>
          </cell>
          <cell r="C31">
            <v>63.75</v>
          </cell>
        </row>
        <row r="33">
          <cell r="A33">
            <v>1</v>
          </cell>
          <cell r="B33" t="str">
            <v>3-Wheel Roller (10-15 T) DRR</v>
          </cell>
          <cell r="C33">
            <v>1623</v>
          </cell>
        </row>
        <row r="34">
          <cell r="A34">
            <v>2</v>
          </cell>
          <cell r="B34" t="str">
            <v>Asphalt Plant (80 T)</v>
          </cell>
        </row>
        <row r="35">
          <cell r="A35" t="str">
            <v>2a</v>
          </cell>
          <cell r="B35" t="str">
            <v>Asphalt Plant (45 T)</v>
          </cell>
          <cell r="C35">
            <v>38768</v>
          </cell>
        </row>
        <row r="36">
          <cell r="A36">
            <v>3</v>
          </cell>
          <cell r="B36" t="str">
            <v>Bitumen Distributor Tow Type (2000 Litres)</v>
          </cell>
          <cell r="C36">
            <v>3868</v>
          </cell>
        </row>
        <row r="37">
          <cell r="A37">
            <v>4</v>
          </cell>
          <cell r="B37" t="str">
            <v>Bulldozer 100-110HP</v>
          </cell>
          <cell r="C37">
            <v>3135</v>
          </cell>
        </row>
        <row r="38">
          <cell r="A38">
            <v>5</v>
          </cell>
          <cell r="B38" t="str">
            <v>Bulldozer 120 HP</v>
          </cell>
          <cell r="C38">
            <v>3597</v>
          </cell>
        </row>
        <row r="39">
          <cell r="A39">
            <v>6</v>
          </cell>
          <cell r="B39" t="str">
            <v>Bulldozer 200 HP</v>
          </cell>
          <cell r="C39">
            <v>3551</v>
          </cell>
        </row>
        <row r="40">
          <cell r="A40">
            <v>7</v>
          </cell>
          <cell r="B40" t="str">
            <v>Combination Roller (10-12T)</v>
          </cell>
          <cell r="C40">
            <v>2537</v>
          </cell>
        </row>
        <row r="41">
          <cell r="A41">
            <v>8</v>
          </cell>
          <cell r="B41" t="str">
            <v>Combination Roller (18 T)</v>
          </cell>
          <cell r="C41">
            <v>2880</v>
          </cell>
        </row>
        <row r="42">
          <cell r="A42">
            <v>9</v>
          </cell>
          <cell r="B42" t="str">
            <v>Compressor 300 CFM</v>
          </cell>
          <cell r="C42">
            <v>900</v>
          </cell>
        </row>
        <row r="43">
          <cell r="A43">
            <v>10</v>
          </cell>
          <cell r="B43" t="str">
            <v>Concrete Batching Planst (30 cum/Hr.)</v>
          </cell>
          <cell r="C43">
            <v>3647</v>
          </cell>
        </row>
        <row r="44">
          <cell r="A44">
            <v>11</v>
          </cell>
          <cell r="B44" t="str">
            <v>Concrete Pump</v>
          </cell>
          <cell r="C44">
            <v>2080</v>
          </cell>
        </row>
        <row r="45">
          <cell r="A45">
            <v>12</v>
          </cell>
          <cell r="B45" t="str">
            <v>Concrete Static Mixer (1/4 cum)</v>
          </cell>
          <cell r="C45">
            <v>320</v>
          </cell>
        </row>
        <row r="46">
          <cell r="A46">
            <v>13</v>
          </cell>
          <cell r="B46" t="str">
            <v>Concrete Transit Mixer (6 cum)</v>
          </cell>
          <cell r="C46">
            <v>2395</v>
          </cell>
        </row>
        <row r="47">
          <cell r="A47">
            <v>14</v>
          </cell>
          <cell r="B47" t="str">
            <v>Crane 20 T</v>
          </cell>
          <cell r="C47">
            <v>2675</v>
          </cell>
        </row>
        <row r="48">
          <cell r="A48">
            <v>15</v>
          </cell>
          <cell r="B48" t="str">
            <v>Dumper (10 T)</v>
          </cell>
          <cell r="C48">
            <v>2113</v>
          </cell>
        </row>
        <row r="49">
          <cell r="A49">
            <v>16</v>
          </cell>
          <cell r="B49" t="str">
            <v>Dumper (18 T)</v>
          </cell>
          <cell r="C49">
            <v>2446</v>
          </cell>
        </row>
        <row r="50">
          <cell r="A50">
            <v>17</v>
          </cell>
          <cell r="B50" t="str">
            <v>Electric Saw</v>
          </cell>
          <cell r="C50">
            <v>208.45</v>
          </cell>
        </row>
        <row r="51">
          <cell r="A51">
            <v>18</v>
          </cell>
          <cell r="B51" t="str">
            <v>Excavator EX-100</v>
          </cell>
          <cell r="C51">
            <v>2368</v>
          </cell>
        </row>
        <row r="52">
          <cell r="A52">
            <v>19</v>
          </cell>
          <cell r="B52" t="str">
            <v>Flat Body Truck (18 T)</v>
          </cell>
          <cell r="C52">
            <v>2446</v>
          </cell>
        </row>
        <row r="53">
          <cell r="A53" t="str">
            <v>19a</v>
          </cell>
          <cell r="B53" t="str">
            <v>Front End Loader 15 Ton</v>
          </cell>
          <cell r="C53">
            <v>2235</v>
          </cell>
        </row>
        <row r="54">
          <cell r="A54">
            <v>20</v>
          </cell>
          <cell r="B54" t="str">
            <v>Front End Loader (Cap. 1.5 Ton)</v>
          </cell>
          <cell r="C54">
            <v>2456</v>
          </cell>
        </row>
        <row r="55">
          <cell r="A55">
            <v>21</v>
          </cell>
          <cell r="B55" t="str">
            <v>Front End Loader (Cap. 2.5 cum)</v>
          </cell>
          <cell r="C55">
            <v>2762</v>
          </cell>
        </row>
        <row r="56">
          <cell r="A56">
            <v>22</v>
          </cell>
          <cell r="B56" t="str">
            <v>Front End Loader (Cap. 3.0 cum)</v>
          </cell>
          <cell r="C56">
            <v>3551</v>
          </cell>
        </row>
        <row r="57">
          <cell r="A57">
            <v>23</v>
          </cell>
          <cell r="B57" t="str">
            <v>Grader (140 HP)</v>
          </cell>
          <cell r="C57">
            <v>3011</v>
          </cell>
        </row>
        <row r="58">
          <cell r="A58">
            <v>24</v>
          </cell>
          <cell r="B58" t="str">
            <v>Pneumatic Tyre Roller 8-13 Ton</v>
          </cell>
          <cell r="C58">
            <v>2836</v>
          </cell>
        </row>
        <row r="59">
          <cell r="A59" t="str">
            <v>24a</v>
          </cell>
          <cell r="B59" t="str">
            <v>P.T.R 8-13 T</v>
          </cell>
        </row>
        <row r="60">
          <cell r="A60">
            <v>25</v>
          </cell>
          <cell r="B60" t="str">
            <v>Paver 4 M wide</v>
          </cell>
          <cell r="C60">
            <v>3279</v>
          </cell>
        </row>
        <row r="61">
          <cell r="A61">
            <v>26</v>
          </cell>
          <cell r="B61" t="str">
            <v>Piling Rig</v>
          </cell>
          <cell r="C61">
            <v>1000</v>
          </cell>
        </row>
        <row r="62">
          <cell r="A62">
            <v>27</v>
          </cell>
          <cell r="B62" t="str">
            <v>Plate Compactor</v>
          </cell>
          <cell r="C62">
            <v>293</v>
          </cell>
        </row>
        <row r="63">
          <cell r="A63">
            <v>28</v>
          </cell>
          <cell r="B63" t="str">
            <v>Power Broom</v>
          </cell>
          <cell r="C63">
            <v>818</v>
          </cell>
        </row>
        <row r="64">
          <cell r="A64">
            <v>29</v>
          </cell>
          <cell r="B64" t="str">
            <v>Pump 4" Delivery (Diesel)</v>
          </cell>
          <cell r="C64">
            <v>106</v>
          </cell>
        </row>
        <row r="65">
          <cell r="A65">
            <v>30</v>
          </cell>
          <cell r="B65" t="str">
            <v>Road Marking Machine</v>
          </cell>
          <cell r="C65">
            <v>237</v>
          </cell>
        </row>
        <row r="66">
          <cell r="A66">
            <v>31</v>
          </cell>
          <cell r="B66" t="str">
            <v>Rock Driller</v>
          </cell>
        </row>
        <row r="67">
          <cell r="A67">
            <v>32</v>
          </cell>
          <cell r="B67" t="str">
            <v>Tendem Vibratory Roller (1.5T)</v>
          </cell>
          <cell r="C67">
            <v>694</v>
          </cell>
        </row>
        <row r="68">
          <cell r="A68" t="str">
            <v>32a</v>
          </cell>
          <cell r="B68" t="str">
            <v>Road Roller 8-12 Ton</v>
          </cell>
          <cell r="C68">
            <v>1682</v>
          </cell>
        </row>
        <row r="69">
          <cell r="A69">
            <v>33</v>
          </cell>
          <cell r="B69" t="str">
            <v>Tractor (50 HP)</v>
          </cell>
          <cell r="C69">
            <v>761</v>
          </cell>
        </row>
        <row r="70">
          <cell r="A70">
            <v>34</v>
          </cell>
          <cell r="B70" t="str">
            <v>Truck-2-Axle (10 T)</v>
          </cell>
          <cell r="C70">
            <v>1591</v>
          </cell>
        </row>
        <row r="71">
          <cell r="A71">
            <v>35</v>
          </cell>
          <cell r="B71" t="str">
            <v>Vibrator (Pocker 1.5")</v>
          </cell>
          <cell r="C71">
            <v>247</v>
          </cell>
        </row>
        <row r="72">
          <cell r="A72">
            <v>36</v>
          </cell>
          <cell r="B72" t="str">
            <v>Water Lorry (Local) 4000 L tow type</v>
          </cell>
          <cell r="C72">
            <v>475</v>
          </cell>
        </row>
        <row r="73">
          <cell r="A73">
            <v>37</v>
          </cell>
          <cell r="B73" t="str">
            <v>Water Tank Tow Type (12000L)</v>
          </cell>
          <cell r="C73">
            <v>807</v>
          </cell>
        </row>
        <row r="74">
          <cell r="A74">
            <v>38</v>
          </cell>
          <cell r="B74" t="str">
            <v>Welding Plant</v>
          </cell>
          <cell r="C74">
            <v>238.61</v>
          </cell>
        </row>
        <row r="75">
          <cell r="A75">
            <v>39</v>
          </cell>
          <cell r="B75" t="str">
            <v>Tractor Trolley</v>
          </cell>
          <cell r="C75">
            <v>768</v>
          </cell>
        </row>
        <row r="76">
          <cell r="A76" t="str">
            <v>39a</v>
          </cell>
          <cell r="B76" t="str">
            <v>Tractor with Blade</v>
          </cell>
          <cell r="C76">
            <v>761</v>
          </cell>
        </row>
        <row r="77">
          <cell r="A77" t="str">
            <v>39b</v>
          </cell>
          <cell r="B77" t="str">
            <v>Preheating of Bitumen including Equipment &amp; Fuel Charges</v>
          </cell>
          <cell r="C77">
            <v>4470</v>
          </cell>
        </row>
        <row r="78">
          <cell r="A78" t="str">
            <v>39c</v>
          </cell>
          <cell r="B78" t="str">
            <v>Preheating of Bitumen including Equipment &amp; Fuel Charges</v>
          </cell>
          <cell r="C78">
            <v>4470</v>
          </cell>
        </row>
        <row r="79">
          <cell r="A79">
            <v>40</v>
          </cell>
          <cell r="B79" t="str">
            <v>Tendem Vibratory Roller (1.5 T)</v>
          </cell>
          <cell r="C79">
            <v>694</v>
          </cell>
        </row>
        <row r="80">
          <cell r="A80">
            <v>41</v>
          </cell>
          <cell r="B80" t="str">
            <v>Moter Grader 135 HP</v>
          </cell>
          <cell r="C80">
            <v>3011</v>
          </cell>
        </row>
        <row r="81">
          <cell r="A81">
            <v>42</v>
          </cell>
          <cell r="B81" t="str">
            <v>Static Mixer Machinew (1 bag)</v>
          </cell>
        </row>
        <row r="82">
          <cell r="A82">
            <v>43</v>
          </cell>
          <cell r="B82" t="str">
            <v>Jack Hammer</v>
          </cell>
          <cell r="C82">
            <v>165</v>
          </cell>
        </row>
        <row r="83">
          <cell r="A83">
            <v>44</v>
          </cell>
          <cell r="B83" t="str">
            <v>Grader (165 HP)</v>
          </cell>
        </row>
        <row r="84">
          <cell r="A84">
            <v>45</v>
          </cell>
          <cell r="B84" t="str">
            <v>Generator Diesel (150 KVA)</v>
          </cell>
        </row>
        <row r="85">
          <cell r="A85">
            <v>46</v>
          </cell>
          <cell r="B85" t="str">
            <v>Trailer Low Bed 30 T.</v>
          </cell>
        </row>
        <row r="86">
          <cell r="A86">
            <v>47</v>
          </cell>
          <cell r="B86" t="str">
            <v>Crane. 45 T.</v>
          </cell>
        </row>
        <row r="87">
          <cell r="A87">
            <v>48</v>
          </cell>
          <cell r="B87" t="str">
            <v>Girder Launcher</v>
          </cell>
        </row>
        <row r="88">
          <cell r="A88">
            <v>49</v>
          </cell>
          <cell r="B88" t="str">
            <v>Slipform Paver</v>
          </cell>
          <cell r="C88">
            <v>6700</v>
          </cell>
        </row>
        <row r="90">
          <cell r="A90">
            <v>1</v>
          </cell>
          <cell r="B90" t="str">
            <v>Fine Sand (Local)</v>
          </cell>
          <cell r="C90">
            <v>388.43199999999996</v>
          </cell>
        </row>
        <row r="91">
          <cell r="A91">
            <v>2</v>
          </cell>
          <cell r="B91" t="str">
            <v>Coarse Sand (Chenab)</v>
          </cell>
          <cell r="C91">
            <v>706.24</v>
          </cell>
        </row>
        <row r="92">
          <cell r="A92" t="str">
            <v>2a</v>
          </cell>
          <cell r="B92" t="str">
            <v>Sand (Harrow)</v>
          </cell>
          <cell r="C92">
            <v>1041.704</v>
          </cell>
        </row>
        <row r="93">
          <cell r="A93" t="str">
            <v>2b</v>
          </cell>
          <cell r="B93" t="str">
            <v>Coarse Sand (Harrow)</v>
          </cell>
          <cell r="C93">
            <v>1041.704</v>
          </cell>
        </row>
        <row r="94">
          <cell r="A94">
            <v>58</v>
          </cell>
          <cell r="B94" t="str">
            <v>Chenab Sand</v>
          </cell>
        </row>
        <row r="95">
          <cell r="A95">
            <v>3</v>
          </cell>
          <cell r="B95" t="str">
            <v>Soil A2-4</v>
          </cell>
          <cell r="C95">
            <v>52</v>
          </cell>
        </row>
        <row r="96">
          <cell r="A96">
            <v>4</v>
          </cell>
          <cell r="B96" t="str">
            <v>Soil Class A-4 including lead upto 16.5 Km</v>
          </cell>
        </row>
        <row r="97">
          <cell r="A97">
            <v>5</v>
          </cell>
          <cell r="B97" t="str">
            <v>Soil class A4</v>
          </cell>
        </row>
        <row r="98">
          <cell r="A98">
            <v>6</v>
          </cell>
          <cell r="B98" t="str">
            <v>Granular subbase</v>
          </cell>
          <cell r="C98">
            <v>183.6224</v>
          </cell>
        </row>
        <row r="99">
          <cell r="A99">
            <v>7</v>
          </cell>
          <cell r="B99" t="str">
            <v>Asphalt grade 60/70</v>
          </cell>
          <cell r="C99">
            <v>82040</v>
          </cell>
        </row>
        <row r="100">
          <cell r="A100">
            <v>8</v>
          </cell>
          <cell r="B100" t="str">
            <v>Asphalt (Bulk) RC</v>
          </cell>
          <cell r="C100">
            <v>83460</v>
          </cell>
        </row>
        <row r="101">
          <cell r="A101" t="str">
            <v>8a</v>
          </cell>
          <cell r="B101" t="str">
            <v>Asphalt (Bulk) MC</v>
          </cell>
          <cell r="C101">
            <v>88538</v>
          </cell>
        </row>
        <row r="102">
          <cell r="A102">
            <v>9</v>
          </cell>
          <cell r="B102" t="str">
            <v>Kerosine Oil</v>
          </cell>
          <cell r="C102">
            <v>108000</v>
          </cell>
        </row>
        <row r="103">
          <cell r="A103">
            <v>10</v>
          </cell>
          <cell r="B103" t="str">
            <v>Aggregate Base</v>
          </cell>
          <cell r="C103">
            <v>459.05599999999998</v>
          </cell>
        </row>
        <row r="104">
          <cell r="A104">
            <v>11</v>
          </cell>
          <cell r="B104" t="str">
            <v>Aggregate 1 1/2" - 3/4"</v>
          </cell>
        </row>
        <row r="105">
          <cell r="A105">
            <v>12</v>
          </cell>
          <cell r="B105" t="str">
            <v>Aggregate 3/4" - 3/8"</v>
          </cell>
        </row>
        <row r="106">
          <cell r="A106">
            <v>13</v>
          </cell>
          <cell r="B106" t="str">
            <v>Aggregate 3/8" - No. 4</v>
          </cell>
        </row>
        <row r="107">
          <cell r="A107" t="str">
            <v>12a</v>
          </cell>
          <cell r="B107" t="str">
            <v>Aggregate 3/4" - 3/8"</v>
          </cell>
        </row>
        <row r="108">
          <cell r="A108" t="str">
            <v>13a</v>
          </cell>
          <cell r="B108" t="str">
            <v>Aggregate 3/8" - No. 4</v>
          </cell>
        </row>
        <row r="109">
          <cell r="A109">
            <v>14</v>
          </cell>
          <cell r="B109" t="str">
            <v>Aggregate No. 4 - No. 200</v>
          </cell>
        </row>
        <row r="110">
          <cell r="A110" t="str">
            <v>14a</v>
          </cell>
          <cell r="B110" t="str">
            <v>Stone Dust</v>
          </cell>
          <cell r="C110">
            <v>617.95999999999992</v>
          </cell>
        </row>
        <row r="111">
          <cell r="A111">
            <v>57</v>
          </cell>
          <cell r="B111" t="str">
            <v>Aggregate 2" - 1 1/2"</v>
          </cell>
        </row>
        <row r="112">
          <cell r="A112" t="str">
            <v>57a</v>
          </cell>
          <cell r="B112" t="str">
            <v>Aggregate</v>
          </cell>
          <cell r="C112">
            <v>688.58399999999995</v>
          </cell>
        </row>
        <row r="113">
          <cell r="A113" t="str">
            <v>57b</v>
          </cell>
          <cell r="B113" t="str">
            <v>Aggregate (Material at Quarry Site) Loose Factor=1.25</v>
          </cell>
        </row>
        <row r="114">
          <cell r="A114" t="str">
            <v>57c</v>
          </cell>
          <cell r="B114" t="str">
            <v>Aggregate (Material at Quarry Site) Loose Factor=1.25</v>
          </cell>
        </row>
        <row r="115">
          <cell r="A115">
            <v>68</v>
          </cell>
          <cell r="B115" t="str">
            <v>Stone Random Class-A</v>
          </cell>
        </row>
        <row r="116">
          <cell r="A116">
            <v>15</v>
          </cell>
          <cell r="B116" t="str">
            <v>Cement (OPC)</v>
          </cell>
          <cell r="C116">
            <v>505</v>
          </cell>
        </row>
        <row r="117">
          <cell r="A117">
            <v>16</v>
          </cell>
          <cell r="B117" t="str">
            <v>Water</v>
          </cell>
          <cell r="C117">
            <v>30</v>
          </cell>
        </row>
        <row r="118">
          <cell r="A118">
            <v>17</v>
          </cell>
          <cell r="B118" t="str">
            <v>Electric Charges</v>
          </cell>
        </row>
        <row r="119">
          <cell r="A119">
            <v>18</v>
          </cell>
          <cell r="B119" t="str">
            <v>Sub Base</v>
          </cell>
          <cell r="C119">
            <v>183.6224</v>
          </cell>
        </row>
        <row r="120">
          <cell r="A120">
            <v>19</v>
          </cell>
          <cell r="B120" t="str">
            <v>Diesel</v>
          </cell>
        </row>
        <row r="121">
          <cell r="A121">
            <v>20</v>
          </cell>
          <cell r="B121" t="str">
            <v>Shuttering</v>
          </cell>
        </row>
        <row r="122">
          <cell r="A122">
            <v>21</v>
          </cell>
          <cell r="B122" t="str">
            <v xml:space="preserve">Super Plasticizer </v>
          </cell>
          <cell r="C122">
            <v>90</v>
          </cell>
        </row>
        <row r="123">
          <cell r="A123">
            <v>22</v>
          </cell>
          <cell r="B123" t="str">
            <v>Cable having 12.50 mm dia</v>
          </cell>
        </row>
        <row r="124">
          <cell r="A124">
            <v>23</v>
          </cell>
          <cell r="B124" t="str">
            <v>Anchorage cone sets with wedges</v>
          </cell>
        </row>
        <row r="125">
          <cell r="A125">
            <v>24</v>
          </cell>
          <cell r="B125" t="str">
            <v>Corrugated steel duct</v>
          </cell>
        </row>
        <row r="126">
          <cell r="A126">
            <v>25</v>
          </cell>
          <cell r="B126" t="str">
            <v>PE Grout Vents</v>
          </cell>
        </row>
        <row r="127">
          <cell r="A127">
            <v>26</v>
          </cell>
          <cell r="B127" t="str">
            <v>PE Grout Tube</v>
          </cell>
        </row>
        <row r="128">
          <cell r="A128">
            <v>27</v>
          </cell>
          <cell r="B128" t="str">
            <v>PVC Wraping Tap Roll</v>
          </cell>
        </row>
        <row r="129">
          <cell r="A129">
            <v>28</v>
          </cell>
          <cell r="B129" t="str">
            <v>Binding Wire</v>
          </cell>
        </row>
        <row r="130">
          <cell r="A130">
            <v>29</v>
          </cell>
          <cell r="B130" t="str">
            <v>OPC Cement for Grout</v>
          </cell>
        </row>
        <row r="131">
          <cell r="A131">
            <v>30</v>
          </cell>
          <cell r="B131" t="str">
            <v>Grout Additive</v>
          </cell>
        </row>
        <row r="132">
          <cell r="A132">
            <v>31</v>
          </cell>
          <cell r="B132" t="str">
            <v>Premoulded boad (thermopore sheet 1" thick)</v>
          </cell>
        </row>
        <row r="133">
          <cell r="A133">
            <v>32</v>
          </cell>
          <cell r="B133" t="str">
            <v>Sealant (Litre)</v>
          </cell>
        </row>
        <row r="134">
          <cell r="A134">
            <v>33</v>
          </cell>
          <cell r="B134" t="str">
            <v>Sealant (Ml)</v>
          </cell>
        </row>
        <row r="135">
          <cell r="A135">
            <v>34</v>
          </cell>
          <cell r="B135" t="str">
            <v>Structural steel A-36</v>
          </cell>
        </row>
        <row r="136">
          <cell r="A136">
            <v>35</v>
          </cell>
          <cell r="B136" t="str">
            <v>Galvanizing</v>
          </cell>
        </row>
        <row r="137">
          <cell r="A137">
            <v>36</v>
          </cell>
          <cell r="B137" t="str">
            <v>Elastomeric Bearing Pads</v>
          </cell>
        </row>
        <row r="138">
          <cell r="A138">
            <v>37</v>
          </cell>
          <cell r="B138" t="str">
            <v>Bentonite Powder</v>
          </cell>
        </row>
        <row r="139">
          <cell r="A139">
            <v>38</v>
          </cell>
          <cell r="B139" t="str">
            <v xml:space="preserve">Steel Bars Grade-40 </v>
          </cell>
        </row>
        <row r="140">
          <cell r="A140">
            <v>39</v>
          </cell>
          <cell r="B140" t="str">
            <v xml:space="preserve">Bitumen (Packed) </v>
          </cell>
        </row>
        <row r="141">
          <cell r="A141">
            <v>40</v>
          </cell>
          <cell r="B141" t="str">
            <v>Fuel</v>
          </cell>
        </row>
        <row r="142">
          <cell r="A142">
            <v>41</v>
          </cell>
          <cell r="B142" t="str">
            <v>100 mm dia G.I Pipe</v>
          </cell>
        </row>
        <row r="143">
          <cell r="A143">
            <v>42</v>
          </cell>
          <cell r="B143" t="str">
            <v xml:space="preserve">Anchors </v>
          </cell>
        </row>
        <row r="144">
          <cell r="A144">
            <v>43</v>
          </cell>
          <cell r="B144" t="str">
            <v>MS Pipe 100 x 50 x 5 mm</v>
          </cell>
        </row>
        <row r="145">
          <cell r="A145">
            <v>44</v>
          </cell>
          <cell r="B145" t="str">
            <v>MS Pipe 25 x 25 x 3 mm</v>
          </cell>
        </row>
        <row r="146">
          <cell r="A146">
            <v>45</v>
          </cell>
          <cell r="B146" t="str">
            <v xml:space="preserve">Bolts Bearing plates etc </v>
          </cell>
        </row>
        <row r="147">
          <cell r="A147">
            <v>46</v>
          </cell>
          <cell r="B147" t="str">
            <v>Enamel paint (Three coats) @ 0.02 galons per SM per coat</v>
          </cell>
        </row>
        <row r="148">
          <cell r="A148">
            <v>47</v>
          </cell>
          <cell r="B148" t="str">
            <v>Glazed cermaic tiles</v>
          </cell>
        </row>
        <row r="149">
          <cell r="A149">
            <v>48</v>
          </cell>
          <cell r="B149" t="str">
            <v>White cement and colour for joint filling &amp; applying floating coat of cement</v>
          </cell>
        </row>
        <row r="150">
          <cell r="A150">
            <v>49</v>
          </cell>
          <cell r="B150" t="str">
            <v>Excavation and finishing of surface</v>
          </cell>
        </row>
        <row r="151">
          <cell r="A151">
            <v>50</v>
          </cell>
          <cell r="B151" t="str">
            <v>Traffic Sign (including clamps anchor bolts etc)</v>
          </cell>
        </row>
        <row r="152">
          <cell r="A152">
            <v>51</v>
          </cell>
          <cell r="B152" t="str">
            <v>GI Pipe 75 mm dia</v>
          </cell>
        </row>
        <row r="153">
          <cell r="A153">
            <v>52</v>
          </cell>
          <cell r="B153" t="str">
            <v>TP Paint for road marking</v>
          </cell>
        </row>
        <row r="154">
          <cell r="A154">
            <v>53</v>
          </cell>
          <cell r="B154" t="str">
            <v>Glass beads</v>
          </cell>
        </row>
        <row r="155">
          <cell r="A155">
            <v>54</v>
          </cell>
          <cell r="B155" t="str">
            <v>Cat eye single (raised profile)</v>
          </cell>
        </row>
        <row r="156">
          <cell r="A156">
            <v>55</v>
          </cell>
          <cell r="B156" t="str">
            <v>Paving tile (50mm Thick)</v>
          </cell>
        </row>
        <row r="157">
          <cell r="A157" t="str">
            <v>55a</v>
          </cell>
          <cell r="B157" t="str">
            <v>Paving tile (80mm thick)</v>
          </cell>
        </row>
        <row r="158">
          <cell r="A158">
            <v>56</v>
          </cell>
          <cell r="B158" t="str">
            <v>Edge kerbs</v>
          </cell>
        </row>
        <row r="159">
          <cell r="A159">
            <v>60</v>
          </cell>
          <cell r="B159" t="str">
            <v>Cold Steel Wire AASHTO M-32</v>
          </cell>
          <cell r="C159">
            <v>70000</v>
          </cell>
        </row>
        <row r="160">
          <cell r="A160">
            <v>61</v>
          </cell>
          <cell r="B160" t="str">
            <v>50 mm dia G.I Pipe</v>
          </cell>
        </row>
        <row r="161">
          <cell r="A161">
            <v>62</v>
          </cell>
          <cell r="B161" t="str">
            <v>100 mm dia C.I Pipe</v>
          </cell>
        </row>
        <row r="162">
          <cell r="A162">
            <v>63</v>
          </cell>
          <cell r="B162" t="str">
            <v>C.I. Heads 100 mm dia</v>
          </cell>
        </row>
        <row r="163">
          <cell r="A163">
            <v>64</v>
          </cell>
          <cell r="B163" t="str">
            <v>C.I. Shoes bend or offset 100 mm dia</v>
          </cell>
        </row>
        <row r="164">
          <cell r="A164">
            <v>65</v>
          </cell>
          <cell r="B164" t="str">
            <v>Clamps with hold fasts etc.</v>
          </cell>
        </row>
        <row r="165">
          <cell r="A165">
            <v>66</v>
          </cell>
          <cell r="B165" t="str">
            <v>Elbow 4" dia</v>
          </cell>
        </row>
        <row r="166">
          <cell r="A166">
            <v>67</v>
          </cell>
          <cell r="B166" t="str">
            <v>Emulsion Paint</v>
          </cell>
        </row>
        <row r="167">
          <cell r="A167">
            <v>69</v>
          </cell>
          <cell r="B167" t="str">
            <v>R.C.C. Pipe Class-IV 1220 mm (AASHTO M-170)</v>
          </cell>
        </row>
        <row r="168">
          <cell r="A168">
            <v>73</v>
          </cell>
          <cell r="B168" t="str">
            <v>R.C.C. Pipe Class-IV 1070 mm (AASHTO M-170)</v>
          </cell>
        </row>
        <row r="169">
          <cell r="A169">
            <v>75</v>
          </cell>
          <cell r="B169" t="str">
            <v>R.C.C. Pipe Class-IV 760 mm (AASHTO M-170)</v>
          </cell>
        </row>
        <row r="170">
          <cell r="A170">
            <v>77</v>
          </cell>
          <cell r="B170" t="str">
            <v>R.C.C. Pipe Class-IV 460 mm (AASHTO M-170)</v>
          </cell>
        </row>
        <row r="171">
          <cell r="A171">
            <v>70</v>
          </cell>
          <cell r="B171" t="str">
            <v>Curing Compound</v>
          </cell>
        </row>
        <row r="172">
          <cell r="A172">
            <v>71</v>
          </cell>
          <cell r="B172" t="str">
            <v>Steel Grade-40</v>
          </cell>
        </row>
        <row r="173">
          <cell r="A173">
            <v>59</v>
          </cell>
          <cell r="B173" t="str">
            <v>Steel Grade-60</v>
          </cell>
          <cell r="C173">
            <v>82140</v>
          </cell>
        </row>
        <row r="174">
          <cell r="A174">
            <v>72</v>
          </cell>
          <cell r="B174" t="str">
            <v>Rubber Ring (1220)</v>
          </cell>
        </row>
        <row r="175">
          <cell r="A175">
            <v>74</v>
          </cell>
          <cell r="B175" t="str">
            <v>Rubber Ring (1070)</v>
          </cell>
        </row>
        <row r="176">
          <cell r="A176">
            <v>76</v>
          </cell>
          <cell r="B176" t="str">
            <v>Rubber Ring (760)</v>
          </cell>
        </row>
        <row r="177">
          <cell r="A177">
            <v>78</v>
          </cell>
          <cell r="B177" t="str">
            <v>Rubber Ring (460)</v>
          </cell>
        </row>
        <row r="178">
          <cell r="A178">
            <v>79</v>
          </cell>
          <cell r="B178" t="str">
            <v>Brick</v>
          </cell>
        </row>
        <row r="179">
          <cell r="A179">
            <v>80</v>
          </cell>
          <cell r="B179" t="str">
            <v>Piching Stone</v>
          </cell>
        </row>
        <row r="180">
          <cell r="A180">
            <v>81</v>
          </cell>
          <cell r="B180" t="str">
            <v>Carriage (200km) w/o proft &amp; overheads</v>
          </cell>
          <cell r="C180">
            <v>1228.78</v>
          </cell>
        </row>
        <row r="181">
          <cell r="A181">
            <v>82</v>
          </cell>
          <cell r="B181" t="str">
            <v>Carriage (20.0km) w/o proft &amp; overheads</v>
          </cell>
          <cell r="C181">
            <v>195.28</v>
          </cell>
        </row>
        <row r="182">
          <cell r="A182" t="str">
            <v>82a</v>
          </cell>
          <cell r="B182" t="str">
            <v>Lead upto 15.5km without profit &amp; overheads</v>
          </cell>
          <cell r="C182">
            <v>159</v>
          </cell>
        </row>
        <row r="183">
          <cell r="A183">
            <v>83</v>
          </cell>
          <cell r="B183" t="str">
            <v>Specified Material</v>
          </cell>
          <cell r="C183">
            <v>52</v>
          </cell>
        </row>
      </sheetData>
      <sheetData sheetId="41" refreshError="1"/>
      <sheetData sheetId="4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R907"/>
  <sheetViews>
    <sheetView showZeros="0" view="pageBreakPreview" topLeftCell="A890" zoomScaleNormal="100" zoomScaleSheetLayoutView="100" workbookViewId="0">
      <selection activeCell="F905" sqref="F905"/>
    </sheetView>
  </sheetViews>
  <sheetFormatPr defaultColWidth="8.7109375" defaultRowHeight="14.25" x14ac:dyDescent="0.25"/>
  <cols>
    <col min="1" max="1" width="7" style="649" customWidth="1"/>
    <col min="2" max="2" width="48.7109375" style="650" customWidth="1"/>
    <col min="3" max="3" width="9.7109375" style="651" customWidth="1"/>
    <col min="4" max="4" width="6.7109375" style="651" customWidth="1"/>
    <col min="5" max="5" width="10.7109375" style="652" customWidth="1"/>
    <col min="6" max="6" width="15.7109375" style="653" customWidth="1"/>
    <col min="7" max="10" width="10.7109375" style="153" customWidth="1"/>
    <col min="11" max="11" width="13.140625" style="153" bestFit="1" customWidth="1"/>
    <col min="12" max="13" width="10.7109375" style="653" customWidth="1"/>
    <col min="14" max="256" width="8.7109375" style="153"/>
    <col min="257" max="257" width="7" style="153" customWidth="1"/>
    <col min="258" max="258" width="48.7109375" style="153" customWidth="1"/>
    <col min="259" max="259" width="9.7109375" style="153" customWidth="1"/>
    <col min="260" max="260" width="6.7109375" style="153" customWidth="1"/>
    <col min="261" max="261" width="10.7109375" style="153" customWidth="1"/>
    <col min="262" max="262" width="15.7109375" style="153" customWidth="1"/>
    <col min="263" max="266" width="10.7109375" style="153" customWidth="1"/>
    <col min="267" max="267" width="13.140625" style="153" bestFit="1" customWidth="1"/>
    <col min="268" max="269" width="10.7109375" style="153" customWidth="1"/>
    <col min="270" max="512" width="8.7109375" style="153"/>
    <col min="513" max="513" width="7" style="153" customWidth="1"/>
    <col min="514" max="514" width="48.7109375" style="153" customWidth="1"/>
    <col min="515" max="515" width="9.7109375" style="153" customWidth="1"/>
    <col min="516" max="516" width="6.7109375" style="153" customWidth="1"/>
    <col min="517" max="517" width="10.7109375" style="153" customWidth="1"/>
    <col min="518" max="518" width="15.7109375" style="153" customWidth="1"/>
    <col min="519" max="522" width="10.7109375" style="153" customWidth="1"/>
    <col min="523" max="523" width="13.140625" style="153" bestFit="1" customWidth="1"/>
    <col min="524" max="525" width="10.7109375" style="153" customWidth="1"/>
    <col min="526" max="768" width="8.7109375" style="153"/>
    <col min="769" max="769" width="7" style="153" customWidth="1"/>
    <col min="770" max="770" width="48.7109375" style="153" customWidth="1"/>
    <col min="771" max="771" width="9.7109375" style="153" customWidth="1"/>
    <col min="772" max="772" width="6.7109375" style="153" customWidth="1"/>
    <col min="773" max="773" width="10.7109375" style="153" customWidth="1"/>
    <col min="774" max="774" width="15.7109375" style="153" customWidth="1"/>
    <col min="775" max="778" width="10.7109375" style="153" customWidth="1"/>
    <col min="779" max="779" width="13.140625" style="153" bestFit="1" customWidth="1"/>
    <col min="780" max="781" width="10.7109375" style="153" customWidth="1"/>
    <col min="782" max="1024" width="8.7109375" style="153"/>
    <col min="1025" max="1025" width="7" style="153" customWidth="1"/>
    <col min="1026" max="1026" width="48.7109375" style="153" customWidth="1"/>
    <col min="1027" max="1027" width="9.7109375" style="153" customWidth="1"/>
    <col min="1028" max="1028" width="6.7109375" style="153" customWidth="1"/>
    <col min="1029" max="1029" width="10.7109375" style="153" customWidth="1"/>
    <col min="1030" max="1030" width="15.7109375" style="153" customWidth="1"/>
    <col min="1031" max="1034" width="10.7109375" style="153" customWidth="1"/>
    <col min="1035" max="1035" width="13.140625" style="153" bestFit="1" customWidth="1"/>
    <col min="1036" max="1037" width="10.7109375" style="153" customWidth="1"/>
    <col min="1038" max="1280" width="8.7109375" style="153"/>
    <col min="1281" max="1281" width="7" style="153" customWidth="1"/>
    <col min="1282" max="1282" width="48.7109375" style="153" customWidth="1"/>
    <col min="1283" max="1283" width="9.7109375" style="153" customWidth="1"/>
    <col min="1284" max="1284" width="6.7109375" style="153" customWidth="1"/>
    <col min="1285" max="1285" width="10.7109375" style="153" customWidth="1"/>
    <col min="1286" max="1286" width="15.7109375" style="153" customWidth="1"/>
    <col min="1287" max="1290" width="10.7109375" style="153" customWidth="1"/>
    <col min="1291" max="1291" width="13.140625" style="153" bestFit="1" customWidth="1"/>
    <col min="1292" max="1293" width="10.7109375" style="153" customWidth="1"/>
    <col min="1294" max="1536" width="8.7109375" style="153"/>
    <col min="1537" max="1537" width="7" style="153" customWidth="1"/>
    <col min="1538" max="1538" width="48.7109375" style="153" customWidth="1"/>
    <col min="1539" max="1539" width="9.7109375" style="153" customWidth="1"/>
    <col min="1540" max="1540" width="6.7109375" style="153" customWidth="1"/>
    <col min="1541" max="1541" width="10.7109375" style="153" customWidth="1"/>
    <col min="1542" max="1542" width="15.7109375" style="153" customWidth="1"/>
    <col min="1543" max="1546" width="10.7109375" style="153" customWidth="1"/>
    <col min="1547" max="1547" width="13.140625" style="153" bestFit="1" customWidth="1"/>
    <col min="1548" max="1549" width="10.7109375" style="153" customWidth="1"/>
    <col min="1550" max="1792" width="8.7109375" style="153"/>
    <col min="1793" max="1793" width="7" style="153" customWidth="1"/>
    <col min="1794" max="1794" width="48.7109375" style="153" customWidth="1"/>
    <col min="1795" max="1795" width="9.7109375" style="153" customWidth="1"/>
    <col min="1796" max="1796" width="6.7109375" style="153" customWidth="1"/>
    <col min="1797" max="1797" width="10.7109375" style="153" customWidth="1"/>
    <col min="1798" max="1798" width="15.7109375" style="153" customWidth="1"/>
    <col min="1799" max="1802" width="10.7109375" style="153" customWidth="1"/>
    <col min="1803" max="1803" width="13.140625" style="153" bestFit="1" customWidth="1"/>
    <col min="1804" max="1805" width="10.7109375" style="153" customWidth="1"/>
    <col min="1806" max="2048" width="8.7109375" style="153"/>
    <col min="2049" max="2049" width="7" style="153" customWidth="1"/>
    <col min="2050" max="2050" width="48.7109375" style="153" customWidth="1"/>
    <col min="2051" max="2051" width="9.7109375" style="153" customWidth="1"/>
    <col min="2052" max="2052" width="6.7109375" style="153" customWidth="1"/>
    <col min="2053" max="2053" width="10.7109375" style="153" customWidth="1"/>
    <col min="2054" max="2054" width="15.7109375" style="153" customWidth="1"/>
    <col min="2055" max="2058" width="10.7109375" style="153" customWidth="1"/>
    <col min="2059" max="2059" width="13.140625" style="153" bestFit="1" customWidth="1"/>
    <col min="2060" max="2061" width="10.7109375" style="153" customWidth="1"/>
    <col min="2062" max="2304" width="8.7109375" style="153"/>
    <col min="2305" max="2305" width="7" style="153" customWidth="1"/>
    <col min="2306" max="2306" width="48.7109375" style="153" customWidth="1"/>
    <col min="2307" max="2307" width="9.7109375" style="153" customWidth="1"/>
    <col min="2308" max="2308" width="6.7109375" style="153" customWidth="1"/>
    <col min="2309" max="2309" width="10.7109375" style="153" customWidth="1"/>
    <col min="2310" max="2310" width="15.7109375" style="153" customWidth="1"/>
    <col min="2311" max="2314" width="10.7109375" style="153" customWidth="1"/>
    <col min="2315" max="2315" width="13.140625" style="153" bestFit="1" customWidth="1"/>
    <col min="2316" max="2317" width="10.7109375" style="153" customWidth="1"/>
    <col min="2318" max="2560" width="8.7109375" style="153"/>
    <col min="2561" max="2561" width="7" style="153" customWidth="1"/>
    <col min="2562" max="2562" width="48.7109375" style="153" customWidth="1"/>
    <col min="2563" max="2563" width="9.7109375" style="153" customWidth="1"/>
    <col min="2564" max="2564" width="6.7109375" style="153" customWidth="1"/>
    <col min="2565" max="2565" width="10.7109375" style="153" customWidth="1"/>
    <col min="2566" max="2566" width="15.7109375" style="153" customWidth="1"/>
    <col min="2567" max="2570" width="10.7109375" style="153" customWidth="1"/>
    <col min="2571" max="2571" width="13.140625" style="153" bestFit="1" customWidth="1"/>
    <col min="2572" max="2573" width="10.7109375" style="153" customWidth="1"/>
    <col min="2574" max="2816" width="8.7109375" style="153"/>
    <col min="2817" max="2817" width="7" style="153" customWidth="1"/>
    <col min="2818" max="2818" width="48.7109375" style="153" customWidth="1"/>
    <col min="2819" max="2819" width="9.7109375" style="153" customWidth="1"/>
    <col min="2820" max="2820" width="6.7109375" style="153" customWidth="1"/>
    <col min="2821" max="2821" width="10.7109375" style="153" customWidth="1"/>
    <col min="2822" max="2822" width="15.7109375" style="153" customWidth="1"/>
    <col min="2823" max="2826" width="10.7109375" style="153" customWidth="1"/>
    <col min="2827" max="2827" width="13.140625" style="153" bestFit="1" customWidth="1"/>
    <col min="2828" max="2829" width="10.7109375" style="153" customWidth="1"/>
    <col min="2830" max="3072" width="8.7109375" style="153"/>
    <col min="3073" max="3073" width="7" style="153" customWidth="1"/>
    <col min="3074" max="3074" width="48.7109375" style="153" customWidth="1"/>
    <col min="3075" max="3075" width="9.7109375" style="153" customWidth="1"/>
    <col min="3076" max="3076" width="6.7109375" style="153" customWidth="1"/>
    <col min="3077" max="3077" width="10.7109375" style="153" customWidth="1"/>
    <col min="3078" max="3078" width="15.7109375" style="153" customWidth="1"/>
    <col min="3079" max="3082" width="10.7109375" style="153" customWidth="1"/>
    <col min="3083" max="3083" width="13.140625" style="153" bestFit="1" customWidth="1"/>
    <col min="3084" max="3085" width="10.7109375" style="153" customWidth="1"/>
    <col min="3086" max="3328" width="8.7109375" style="153"/>
    <col min="3329" max="3329" width="7" style="153" customWidth="1"/>
    <col min="3330" max="3330" width="48.7109375" style="153" customWidth="1"/>
    <col min="3331" max="3331" width="9.7109375" style="153" customWidth="1"/>
    <col min="3332" max="3332" width="6.7109375" style="153" customWidth="1"/>
    <col min="3333" max="3333" width="10.7109375" style="153" customWidth="1"/>
    <col min="3334" max="3334" width="15.7109375" style="153" customWidth="1"/>
    <col min="3335" max="3338" width="10.7109375" style="153" customWidth="1"/>
    <col min="3339" max="3339" width="13.140625" style="153" bestFit="1" customWidth="1"/>
    <col min="3340" max="3341" width="10.7109375" style="153" customWidth="1"/>
    <col min="3342" max="3584" width="8.7109375" style="153"/>
    <col min="3585" max="3585" width="7" style="153" customWidth="1"/>
    <col min="3586" max="3586" width="48.7109375" style="153" customWidth="1"/>
    <col min="3587" max="3587" width="9.7109375" style="153" customWidth="1"/>
    <col min="3588" max="3588" width="6.7109375" style="153" customWidth="1"/>
    <col min="3589" max="3589" width="10.7109375" style="153" customWidth="1"/>
    <col min="3590" max="3590" width="15.7109375" style="153" customWidth="1"/>
    <col min="3591" max="3594" width="10.7109375" style="153" customWidth="1"/>
    <col min="3595" max="3595" width="13.140625" style="153" bestFit="1" customWidth="1"/>
    <col min="3596" max="3597" width="10.7109375" style="153" customWidth="1"/>
    <col min="3598" max="3840" width="8.7109375" style="153"/>
    <col min="3841" max="3841" width="7" style="153" customWidth="1"/>
    <col min="3842" max="3842" width="48.7109375" style="153" customWidth="1"/>
    <col min="3843" max="3843" width="9.7109375" style="153" customWidth="1"/>
    <col min="3844" max="3844" width="6.7109375" style="153" customWidth="1"/>
    <col min="3845" max="3845" width="10.7109375" style="153" customWidth="1"/>
    <col min="3846" max="3846" width="15.7109375" style="153" customWidth="1"/>
    <col min="3847" max="3850" width="10.7109375" style="153" customWidth="1"/>
    <col min="3851" max="3851" width="13.140625" style="153" bestFit="1" customWidth="1"/>
    <col min="3852" max="3853" width="10.7109375" style="153" customWidth="1"/>
    <col min="3854" max="4096" width="8.7109375" style="153"/>
    <col min="4097" max="4097" width="7" style="153" customWidth="1"/>
    <col min="4098" max="4098" width="48.7109375" style="153" customWidth="1"/>
    <col min="4099" max="4099" width="9.7109375" style="153" customWidth="1"/>
    <col min="4100" max="4100" width="6.7109375" style="153" customWidth="1"/>
    <col min="4101" max="4101" width="10.7109375" style="153" customWidth="1"/>
    <col min="4102" max="4102" width="15.7109375" style="153" customWidth="1"/>
    <col min="4103" max="4106" width="10.7109375" style="153" customWidth="1"/>
    <col min="4107" max="4107" width="13.140625" style="153" bestFit="1" customWidth="1"/>
    <col min="4108" max="4109" width="10.7109375" style="153" customWidth="1"/>
    <col min="4110" max="4352" width="8.7109375" style="153"/>
    <col min="4353" max="4353" width="7" style="153" customWidth="1"/>
    <col min="4354" max="4354" width="48.7109375" style="153" customWidth="1"/>
    <col min="4355" max="4355" width="9.7109375" style="153" customWidth="1"/>
    <col min="4356" max="4356" width="6.7109375" style="153" customWidth="1"/>
    <col min="4357" max="4357" width="10.7109375" style="153" customWidth="1"/>
    <col min="4358" max="4358" width="15.7109375" style="153" customWidth="1"/>
    <col min="4359" max="4362" width="10.7109375" style="153" customWidth="1"/>
    <col min="4363" max="4363" width="13.140625" style="153" bestFit="1" customWidth="1"/>
    <col min="4364" max="4365" width="10.7109375" style="153" customWidth="1"/>
    <col min="4366" max="4608" width="8.7109375" style="153"/>
    <col min="4609" max="4609" width="7" style="153" customWidth="1"/>
    <col min="4610" max="4610" width="48.7109375" style="153" customWidth="1"/>
    <col min="4611" max="4611" width="9.7109375" style="153" customWidth="1"/>
    <col min="4612" max="4612" width="6.7109375" style="153" customWidth="1"/>
    <col min="4613" max="4613" width="10.7109375" style="153" customWidth="1"/>
    <col min="4614" max="4614" width="15.7109375" style="153" customWidth="1"/>
    <col min="4615" max="4618" width="10.7109375" style="153" customWidth="1"/>
    <col min="4619" max="4619" width="13.140625" style="153" bestFit="1" customWidth="1"/>
    <col min="4620" max="4621" width="10.7109375" style="153" customWidth="1"/>
    <col min="4622" max="4864" width="8.7109375" style="153"/>
    <col min="4865" max="4865" width="7" style="153" customWidth="1"/>
    <col min="4866" max="4866" width="48.7109375" style="153" customWidth="1"/>
    <col min="4867" max="4867" width="9.7109375" style="153" customWidth="1"/>
    <col min="4868" max="4868" width="6.7109375" style="153" customWidth="1"/>
    <col min="4869" max="4869" width="10.7109375" style="153" customWidth="1"/>
    <col min="4870" max="4870" width="15.7109375" style="153" customWidth="1"/>
    <col min="4871" max="4874" width="10.7109375" style="153" customWidth="1"/>
    <col min="4875" max="4875" width="13.140625" style="153" bestFit="1" customWidth="1"/>
    <col min="4876" max="4877" width="10.7109375" style="153" customWidth="1"/>
    <col min="4878" max="5120" width="8.7109375" style="153"/>
    <col min="5121" max="5121" width="7" style="153" customWidth="1"/>
    <col min="5122" max="5122" width="48.7109375" style="153" customWidth="1"/>
    <col min="5123" max="5123" width="9.7109375" style="153" customWidth="1"/>
    <col min="5124" max="5124" width="6.7109375" style="153" customWidth="1"/>
    <col min="5125" max="5125" width="10.7109375" style="153" customWidth="1"/>
    <col min="5126" max="5126" width="15.7109375" style="153" customWidth="1"/>
    <col min="5127" max="5130" width="10.7109375" style="153" customWidth="1"/>
    <col min="5131" max="5131" width="13.140625" style="153" bestFit="1" customWidth="1"/>
    <col min="5132" max="5133" width="10.7109375" style="153" customWidth="1"/>
    <col min="5134" max="5376" width="8.7109375" style="153"/>
    <col min="5377" max="5377" width="7" style="153" customWidth="1"/>
    <col min="5378" max="5378" width="48.7109375" style="153" customWidth="1"/>
    <col min="5379" max="5379" width="9.7109375" style="153" customWidth="1"/>
    <col min="5380" max="5380" width="6.7109375" style="153" customWidth="1"/>
    <col min="5381" max="5381" width="10.7109375" style="153" customWidth="1"/>
    <col min="5382" max="5382" width="15.7109375" style="153" customWidth="1"/>
    <col min="5383" max="5386" width="10.7109375" style="153" customWidth="1"/>
    <col min="5387" max="5387" width="13.140625" style="153" bestFit="1" customWidth="1"/>
    <col min="5388" max="5389" width="10.7109375" style="153" customWidth="1"/>
    <col min="5390" max="5632" width="8.7109375" style="153"/>
    <col min="5633" max="5633" width="7" style="153" customWidth="1"/>
    <col min="5634" max="5634" width="48.7109375" style="153" customWidth="1"/>
    <col min="5635" max="5635" width="9.7109375" style="153" customWidth="1"/>
    <col min="5636" max="5636" width="6.7109375" style="153" customWidth="1"/>
    <col min="5637" max="5637" width="10.7109375" style="153" customWidth="1"/>
    <col min="5638" max="5638" width="15.7109375" style="153" customWidth="1"/>
    <col min="5639" max="5642" width="10.7109375" style="153" customWidth="1"/>
    <col min="5643" max="5643" width="13.140625" style="153" bestFit="1" customWidth="1"/>
    <col min="5644" max="5645" width="10.7109375" style="153" customWidth="1"/>
    <col min="5646" max="5888" width="8.7109375" style="153"/>
    <col min="5889" max="5889" width="7" style="153" customWidth="1"/>
    <col min="5890" max="5890" width="48.7109375" style="153" customWidth="1"/>
    <col min="5891" max="5891" width="9.7109375" style="153" customWidth="1"/>
    <col min="5892" max="5892" width="6.7109375" style="153" customWidth="1"/>
    <col min="5893" max="5893" width="10.7109375" style="153" customWidth="1"/>
    <col min="5894" max="5894" width="15.7109375" style="153" customWidth="1"/>
    <col min="5895" max="5898" width="10.7109375" style="153" customWidth="1"/>
    <col min="5899" max="5899" width="13.140625" style="153" bestFit="1" customWidth="1"/>
    <col min="5900" max="5901" width="10.7109375" style="153" customWidth="1"/>
    <col min="5902" max="6144" width="8.7109375" style="153"/>
    <col min="6145" max="6145" width="7" style="153" customWidth="1"/>
    <col min="6146" max="6146" width="48.7109375" style="153" customWidth="1"/>
    <col min="6147" max="6147" width="9.7109375" style="153" customWidth="1"/>
    <col min="6148" max="6148" width="6.7109375" style="153" customWidth="1"/>
    <col min="6149" max="6149" width="10.7109375" style="153" customWidth="1"/>
    <col min="6150" max="6150" width="15.7109375" style="153" customWidth="1"/>
    <col min="6151" max="6154" width="10.7109375" style="153" customWidth="1"/>
    <col min="6155" max="6155" width="13.140625" style="153" bestFit="1" customWidth="1"/>
    <col min="6156" max="6157" width="10.7109375" style="153" customWidth="1"/>
    <col min="6158" max="6400" width="8.7109375" style="153"/>
    <col min="6401" max="6401" width="7" style="153" customWidth="1"/>
    <col min="6402" max="6402" width="48.7109375" style="153" customWidth="1"/>
    <col min="6403" max="6403" width="9.7109375" style="153" customWidth="1"/>
    <col min="6404" max="6404" width="6.7109375" style="153" customWidth="1"/>
    <col min="6405" max="6405" width="10.7109375" style="153" customWidth="1"/>
    <col min="6406" max="6406" width="15.7109375" style="153" customWidth="1"/>
    <col min="6407" max="6410" width="10.7109375" style="153" customWidth="1"/>
    <col min="6411" max="6411" width="13.140625" style="153" bestFit="1" customWidth="1"/>
    <col min="6412" max="6413" width="10.7109375" style="153" customWidth="1"/>
    <col min="6414" max="6656" width="8.7109375" style="153"/>
    <col min="6657" max="6657" width="7" style="153" customWidth="1"/>
    <col min="6658" max="6658" width="48.7109375" style="153" customWidth="1"/>
    <col min="6659" max="6659" width="9.7109375" style="153" customWidth="1"/>
    <col min="6660" max="6660" width="6.7109375" style="153" customWidth="1"/>
    <col min="6661" max="6661" width="10.7109375" style="153" customWidth="1"/>
    <col min="6662" max="6662" width="15.7109375" style="153" customWidth="1"/>
    <col min="6663" max="6666" width="10.7109375" style="153" customWidth="1"/>
    <col min="6667" max="6667" width="13.140625" style="153" bestFit="1" customWidth="1"/>
    <col min="6668" max="6669" width="10.7109375" style="153" customWidth="1"/>
    <col min="6670" max="6912" width="8.7109375" style="153"/>
    <col min="6913" max="6913" width="7" style="153" customWidth="1"/>
    <col min="6914" max="6914" width="48.7109375" style="153" customWidth="1"/>
    <col min="6915" max="6915" width="9.7109375" style="153" customWidth="1"/>
    <col min="6916" max="6916" width="6.7109375" style="153" customWidth="1"/>
    <col min="6917" max="6917" width="10.7109375" style="153" customWidth="1"/>
    <col min="6918" max="6918" width="15.7109375" style="153" customWidth="1"/>
    <col min="6919" max="6922" width="10.7109375" style="153" customWidth="1"/>
    <col min="6923" max="6923" width="13.140625" style="153" bestFit="1" customWidth="1"/>
    <col min="6924" max="6925" width="10.7109375" style="153" customWidth="1"/>
    <col min="6926" max="7168" width="8.7109375" style="153"/>
    <col min="7169" max="7169" width="7" style="153" customWidth="1"/>
    <col min="7170" max="7170" width="48.7109375" style="153" customWidth="1"/>
    <col min="7171" max="7171" width="9.7109375" style="153" customWidth="1"/>
    <col min="7172" max="7172" width="6.7109375" style="153" customWidth="1"/>
    <col min="7173" max="7173" width="10.7109375" style="153" customWidth="1"/>
    <col min="7174" max="7174" width="15.7109375" style="153" customWidth="1"/>
    <col min="7175" max="7178" width="10.7109375" style="153" customWidth="1"/>
    <col min="7179" max="7179" width="13.140625" style="153" bestFit="1" customWidth="1"/>
    <col min="7180" max="7181" width="10.7109375" style="153" customWidth="1"/>
    <col min="7182" max="7424" width="8.7109375" style="153"/>
    <col min="7425" max="7425" width="7" style="153" customWidth="1"/>
    <col min="7426" max="7426" width="48.7109375" style="153" customWidth="1"/>
    <col min="7427" max="7427" width="9.7109375" style="153" customWidth="1"/>
    <col min="7428" max="7428" width="6.7109375" style="153" customWidth="1"/>
    <col min="7429" max="7429" width="10.7109375" style="153" customWidth="1"/>
    <col min="7430" max="7430" width="15.7109375" style="153" customWidth="1"/>
    <col min="7431" max="7434" width="10.7109375" style="153" customWidth="1"/>
    <col min="7435" max="7435" width="13.140625" style="153" bestFit="1" customWidth="1"/>
    <col min="7436" max="7437" width="10.7109375" style="153" customWidth="1"/>
    <col min="7438" max="7680" width="8.7109375" style="153"/>
    <col min="7681" max="7681" width="7" style="153" customWidth="1"/>
    <col min="7682" max="7682" width="48.7109375" style="153" customWidth="1"/>
    <col min="7683" max="7683" width="9.7109375" style="153" customWidth="1"/>
    <col min="7684" max="7684" width="6.7109375" style="153" customWidth="1"/>
    <col min="7685" max="7685" width="10.7109375" style="153" customWidth="1"/>
    <col min="7686" max="7686" width="15.7109375" style="153" customWidth="1"/>
    <col min="7687" max="7690" width="10.7109375" style="153" customWidth="1"/>
    <col min="7691" max="7691" width="13.140625" style="153" bestFit="1" customWidth="1"/>
    <col min="7692" max="7693" width="10.7109375" style="153" customWidth="1"/>
    <col min="7694" max="7936" width="8.7109375" style="153"/>
    <col min="7937" max="7937" width="7" style="153" customWidth="1"/>
    <col min="7938" max="7938" width="48.7109375" style="153" customWidth="1"/>
    <col min="7939" max="7939" width="9.7109375" style="153" customWidth="1"/>
    <col min="7940" max="7940" width="6.7109375" style="153" customWidth="1"/>
    <col min="7941" max="7941" width="10.7109375" style="153" customWidth="1"/>
    <col min="7942" max="7942" width="15.7109375" style="153" customWidth="1"/>
    <col min="7943" max="7946" width="10.7109375" style="153" customWidth="1"/>
    <col min="7947" max="7947" width="13.140625" style="153" bestFit="1" customWidth="1"/>
    <col min="7948" max="7949" width="10.7109375" style="153" customWidth="1"/>
    <col min="7950" max="8192" width="8.7109375" style="153"/>
    <col min="8193" max="8193" width="7" style="153" customWidth="1"/>
    <col min="8194" max="8194" width="48.7109375" style="153" customWidth="1"/>
    <col min="8195" max="8195" width="9.7109375" style="153" customWidth="1"/>
    <col min="8196" max="8196" width="6.7109375" style="153" customWidth="1"/>
    <col min="8197" max="8197" width="10.7109375" style="153" customWidth="1"/>
    <col min="8198" max="8198" width="15.7109375" style="153" customWidth="1"/>
    <col min="8199" max="8202" width="10.7109375" style="153" customWidth="1"/>
    <col min="8203" max="8203" width="13.140625" style="153" bestFit="1" customWidth="1"/>
    <col min="8204" max="8205" width="10.7109375" style="153" customWidth="1"/>
    <col min="8206" max="8448" width="8.7109375" style="153"/>
    <col min="8449" max="8449" width="7" style="153" customWidth="1"/>
    <col min="8450" max="8450" width="48.7109375" style="153" customWidth="1"/>
    <col min="8451" max="8451" width="9.7109375" style="153" customWidth="1"/>
    <col min="8452" max="8452" width="6.7109375" style="153" customWidth="1"/>
    <col min="8453" max="8453" width="10.7109375" style="153" customWidth="1"/>
    <col min="8454" max="8454" width="15.7109375" style="153" customWidth="1"/>
    <col min="8455" max="8458" width="10.7109375" style="153" customWidth="1"/>
    <col min="8459" max="8459" width="13.140625" style="153" bestFit="1" customWidth="1"/>
    <col min="8460" max="8461" width="10.7109375" style="153" customWidth="1"/>
    <col min="8462" max="8704" width="8.7109375" style="153"/>
    <col min="8705" max="8705" width="7" style="153" customWidth="1"/>
    <col min="8706" max="8706" width="48.7109375" style="153" customWidth="1"/>
    <col min="8707" max="8707" width="9.7109375" style="153" customWidth="1"/>
    <col min="8708" max="8708" width="6.7109375" style="153" customWidth="1"/>
    <col min="8709" max="8709" width="10.7109375" style="153" customWidth="1"/>
    <col min="8710" max="8710" width="15.7109375" style="153" customWidth="1"/>
    <col min="8711" max="8714" width="10.7109375" style="153" customWidth="1"/>
    <col min="8715" max="8715" width="13.140625" style="153" bestFit="1" customWidth="1"/>
    <col min="8716" max="8717" width="10.7109375" style="153" customWidth="1"/>
    <col min="8718" max="8960" width="8.7109375" style="153"/>
    <col min="8961" max="8961" width="7" style="153" customWidth="1"/>
    <col min="8962" max="8962" width="48.7109375" style="153" customWidth="1"/>
    <col min="8963" max="8963" width="9.7109375" style="153" customWidth="1"/>
    <col min="8964" max="8964" width="6.7109375" style="153" customWidth="1"/>
    <col min="8965" max="8965" width="10.7109375" style="153" customWidth="1"/>
    <col min="8966" max="8966" width="15.7109375" style="153" customWidth="1"/>
    <col min="8967" max="8970" width="10.7109375" style="153" customWidth="1"/>
    <col min="8971" max="8971" width="13.140625" style="153" bestFit="1" customWidth="1"/>
    <col min="8972" max="8973" width="10.7109375" style="153" customWidth="1"/>
    <col min="8974" max="9216" width="8.7109375" style="153"/>
    <col min="9217" max="9217" width="7" style="153" customWidth="1"/>
    <col min="9218" max="9218" width="48.7109375" style="153" customWidth="1"/>
    <col min="9219" max="9219" width="9.7109375" style="153" customWidth="1"/>
    <col min="9220" max="9220" width="6.7109375" style="153" customWidth="1"/>
    <col min="9221" max="9221" width="10.7109375" style="153" customWidth="1"/>
    <col min="9222" max="9222" width="15.7109375" style="153" customWidth="1"/>
    <col min="9223" max="9226" width="10.7109375" style="153" customWidth="1"/>
    <col min="9227" max="9227" width="13.140625" style="153" bestFit="1" customWidth="1"/>
    <col min="9228" max="9229" width="10.7109375" style="153" customWidth="1"/>
    <col min="9230" max="9472" width="8.7109375" style="153"/>
    <col min="9473" max="9473" width="7" style="153" customWidth="1"/>
    <col min="9474" max="9474" width="48.7109375" style="153" customWidth="1"/>
    <col min="9475" max="9475" width="9.7109375" style="153" customWidth="1"/>
    <col min="9476" max="9476" width="6.7109375" style="153" customWidth="1"/>
    <col min="9477" max="9477" width="10.7109375" style="153" customWidth="1"/>
    <col min="9478" max="9478" width="15.7109375" style="153" customWidth="1"/>
    <col min="9479" max="9482" width="10.7109375" style="153" customWidth="1"/>
    <col min="9483" max="9483" width="13.140625" style="153" bestFit="1" customWidth="1"/>
    <col min="9484" max="9485" width="10.7109375" style="153" customWidth="1"/>
    <col min="9486" max="9728" width="8.7109375" style="153"/>
    <col min="9729" max="9729" width="7" style="153" customWidth="1"/>
    <col min="9730" max="9730" width="48.7109375" style="153" customWidth="1"/>
    <col min="9731" max="9731" width="9.7109375" style="153" customWidth="1"/>
    <col min="9732" max="9732" width="6.7109375" style="153" customWidth="1"/>
    <col min="9733" max="9733" width="10.7109375" style="153" customWidth="1"/>
    <col min="9734" max="9734" width="15.7109375" style="153" customWidth="1"/>
    <col min="9735" max="9738" width="10.7109375" style="153" customWidth="1"/>
    <col min="9739" max="9739" width="13.140625" style="153" bestFit="1" customWidth="1"/>
    <col min="9740" max="9741" width="10.7109375" style="153" customWidth="1"/>
    <col min="9742" max="9984" width="8.7109375" style="153"/>
    <col min="9985" max="9985" width="7" style="153" customWidth="1"/>
    <col min="9986" max="9986" width="48.7109375" style="153" customWidth="1"/>
    <col min="9987" max="9987" width="9.7109375" style="153" customWidth="1"/>
    <col min="9988" max="9988" width="6.7109375" style="153" customWidth="1"/>
    <col min="9989" max="9989" width="10.7109375" style="153" customWidth="1"/>
    <col min="9990" max="9990" width="15.7109375" style="153" customWidth="1"/>
    <col min="9991" max="9994" width="10.7109375" style="153" customWidth="1"/>
    <col min="9995" max="9995" width="13.140625" style="153" bestFit="1" customWidth="1"/>
    <col min="9996" max="9997" width="10.7109375" style="153" customWidth="1"/>
    <col min="9998" max="10240" width="8.7109375" style="153"/>
    <col min="10241" max="10241" width="7" style="153" customWidth="1"/>
    <col min="10242" max="10242" width="48.7109375" style="153" customWidth="1"/>
    <col min="10243" max="10243" width="9.7109375" style="153" customWidth="1"/>
    <col min="10244" max="10244" width="6.7109375" style="153" customWidth="1"/>
    <col min="10245" max="10245" width="10.7109375" style="153" customWidth="1"/>
    <col min="10246" max="10246" width="15.7109375" style="153" customWidth="1"/>
    <col min="10247" max="10250" width="10.7109375" style="153" customWidth="1"/>
    <col min="10251" max="10251" width="13.140625" style="153" bestFit="1" customWidth="1"/>
    <col min="10252" max="10253" width="10.7109375" style="153" customWidth="1"/>
    <col min="10254" max="10496" width="8.7109375" style="153"/>
    <col min="10497" max="10497" width="7" style="153" customWidth="1"/>
    <col min="10498" max="10498" width="48.7109375" style="153" customWidth="1"/>
    <col min="10499" max="10499" width="9.7109375" style="153" customWidth="1"/>
    <col min="10500" max="10500" width="6.7109375" style="153" customWidth="1"/>
    <col min="10501" max="10501" width="10.7109375" style="153" customWidth="1"/>
    <col min="10502" max="10502" width="15.7109375" style="153" customWidth="1"/>
    <col min="10503" max="10506" width="10.7109375" style="153" customWidth="1"/>
    <col min="10507" max="10507" width="13.140625" style="153" bestFit="1" customWidth="1"/>
    <col min="10508" max="10509" width="10.7109375" style="153" customWidth="1"/>
    <col min="10510" max="10752" width="8.7109375" style="153"/>
    <col min="10753" max="10753" width="7" style="153" customWidth="1"/>
    <col min="10754" max="10754" width="48.7109375" style="153" customWidth="1"/>
    <col min="10755" max="10755" width="9.7109375" style="153" customWidth="1"/>
    <col min="10756" max="10756" width="6.7109375" style="153" customWidth="1"/>
    <col min="10757" max="10757" width="10.7109375" style="153" customWidth="1"/>
    <col min="10758" max="10758" width="15.7109375" style="153" customWidth="1"/>
    <col min="10759" max="10762" width="10.7109375" style="153" customWidth="1"/>
    <col min="10763" max="10763" width="13.140625" style="153" bestFit="1" customWidth="1"/>
    <col min="10764" max="10765" width="10.7109375" style="153" customWidth="1"/>
    <col min="10766" max="11008" width="8.7109375" style="153"/>
    <col min="11009" max="11009" width="7" style="153" customWidth="1"/>
    <col min="11010" max="11010" width="48.7109375" style="153" customWidth="1"/>
    <col min="11011" max="11011" width="9.7109375" style="153" customWidth="1"/>
    <col min="11012" max="11012" width="6.7109375" style="153" customWidth="1"/>
    <col min="11013" max="11013" width="10.7109375" style="153" customWidth="1"/>
    <col min="11014" max="11014" width="15.7109375" style="153" customWidth="1"/>
    <col min="11015" max="11018" width="10.7109375" style="153" customWidth="1"/>
    <col min="11019" max="11019" width="13.140625" style="153" bestFit="1" customWidth="1"/>
    <col min="11020" max="11021" width="10.7109375" style="153" customWidth="1"/>
    <col min="11022" max="11264" width="8.7109375" style="153"/>
    <col min="11265" max="11265" width="7" style="153" customWidth="1"/>
    <col min="11266" max="11266" width="48.7109375" style="153" customWidth="1"/>
    <col min="11267" max="11267" width="9.7109375" style="153" customWidth="1"/>
    <col min="11268" max="11268" width="6.7109375" style="153" customWidth="1"/>
    <col min="11269" max="11269" width="10.7109375" style="153" customWidth="1"/>
    <col min="11270" max="11270" width="15.7109375" style="153" customWidth="1"/>
    <col min="11271" max="11274" width="10.7109375" style="153" customWidth="1"/>
    <col min="11275" max="11275" width="13.140625" style="153" bestFit="1" customWidth="1"/>
    <col min="11276" max="11277" width="10.7109375" style="153" customWidth="1"/>
    <col min="11278" max="11520" width="8.7109375" style="153"/>
    <col min="11521" max="11521" width="7" style="153" customWidth="1"/>
    <col min="11522" max="11522" width="48.7109375" style="153" customWidth="1"/>
    <col min="11523" max="11523" width="9.7109375" style="153" customWidth="1"/>
    <col min="11524" max="11524" width="6.7109375" style="153" customWidth="1"/>
    <col min="11525" max="11525" width="10.7109375" style="153" customWidth="1"/>
    <col min="11526" max="11526" width="15.7109375" style="153" customWidth="1"/>
    <col min="11527" max="11530" width="10.7109375" style="153" customWidth="1"/>
    <col min="11531" max="11531" width="13.140625" style="153" bestFit="1" customWidth="1"/>
    <col min="11532" max="11533" width="10.7109375" style="153" customWidth="1"/>
    <col min="11534" max="11776" width="8.7109375" style="153"/>
    <col min="11777" max="11777" width="7" style="153" customWidth="1"/>
    <col min="11778" max="11778" width="48.7109375" style="153" customWidth="1"/>
    <col min="11779" max="11779" width="9.7109375" style="153" customWidth="1"/>
    <col min="11780" max="11780" width="6.7109375" style="153" customWidth="1"/>
    <col min="11781" max="11781" width="10.7109375" style="153" customWidth="1"/>
    <col min="11782" max="11782" width="15.7109375" style="153" customWidth="1"/>
    <col min="11783" max="11786" width="10.7109375" style="153" customWidth="1"/>
    <col min="11787" max="11787" width="13.140625" style="153" bestFit="1" customWidth="1"/>
    <col min="11788" max="11789" width="10.7109375" style="153" customWidth="1"/>
    <col min="11790" max="12032" width="8.7109375" style="153"/>
    <col min="12033" max="12033" width="7" style="153" customWidth="1"/>
    <col min="12034" max="12034" width="48.7109375" style="153" customWidth="1"/>
    <col min="12035" max="12035" width="9.7109375" style="153" customWidth="1"/>
    <col min="12036" max="12036" width="6.7109375" style="153" customWidth="1"/>
    <col min="12037" max="12037" width="10.7109375" style="153" customWidth="1"/>
    <col min="12038" max="12038" width="15.7109375" style="153" customWidth="1"/>
    <col min="12039" max="12042" width="10.7109375" style="153" customWidth="1"/>
    <col min="12043" max="12043" width="13.140625" style="153" bestFit="1" customWidth="1"/>
    <col min="12044" max="12045" width="10.7109375" style="153" customWidth="1"/>
    <col min="12046" max="12288" width="8.7109375" style="153"/>
    <col min="12289" max="12289" width="7" style="153" customWidth="1"/>
    <col min="12290" max="12290" width="48.7109375" style="153" customWidth="1"/>
    <col min="12291" max="12291" width="9.7109375" style="153" customWidth="1"/>
    <col min="12292" max="12292" width="6.7109375" style="153" customWidth="1"/>
    <col min="12293" max="12293" width="10.7109375" style="153" customWidth="1"/>
    <col min="12294" max="12294" width="15.7109375" style="153" customWidth="1"/>
    <col min="12295" max="12298" width="10.7109375" style="153" customWidth="1"/>
    <col min="12299" max="12299" width="13.140625" style="153" bestFit="1" customWidth="1"/>
    <col min="12300" max="12301" width="10.7109375" style="153" customWidth="1"/>
    <col min="12302" max="12544" width="8.7109375" style="153"/>
    <col min="12545" max="12545" width="7" style="153" customWidth="1"/>
    <col min="12546" max="12546" width="48.7109375" style="153" customWidth="1"/>
    <col min="12547" max="12547" width="9.7109375" style="153" customWidth="1"/>
    <col min="12548" max="12548" width="6.7109375" style="153" customWidth="1"/>
    <col min="12549" max="12549" width="10.7109375" style="153" customWidth="1"/>
    <col min="12550" max="12550" width="15.7109375" style="153" customWidth="1"/>
    <col min="12551" max="12554" width="10.7109375" style="153" customWidth="1"/>
    <col min="12555" max="12555" width="13.140625" style="153" bestFit="1" customWidth="1"/>
    <col min="12556" max="12557" width="10.7109375" style="153" customWidth="1"/>
    <col min="12558" max="12800" width="8.7109375" style="153"/>
    <col min="12801" max="12801" width="7" style="153" customWidth="1"/>
    <col min="12802" max="12802" width="48.7109375" style="153" customWidth="1"/>
    <col min="12803" max="12803" width="9.7109375" style="153" customWidth="1"/>
    <col min="12804" max="12804" width="6.7109375" style="153" customWidth="1"/>
    <col min="12805" max="12805" width="10.7109375" style="153" customWidth="1"/>
    <col min="12806" max="12806" width="15.7109375" style="153" customWidth="1"/>
    <col min="12807" max="12810" width="10.7109375" style="153" customWidth="1"/>
    <col min="12811" max="12811" width="13.140625" style="153" bestFit="1" customWidth="1"/>
    <col min="12812" max="12813" width="10.7109375" style="153" customWidth="1"/>
    <col min="12814" max="13056" width="8.7109375" style="153"/>
    <col min="13057" max="13057" width="7" style="153" customWidth="1"/>
    <col min="13058" max="13058" width="48.7109375" style="153" customWidth="1"/>
    <col min="13059" max="13059" width="9.7109375" style="153" customWidth="1"/>
    <col min="13060" max="13060" width="6.7109375" style="153" customWidth="1"/>
    <col min="13061" max="13061" width="10.7109375" style="153" customWidth="1"/>
    <col min="13062" max="13062" width="15.7109375" style="153" customWidth="1"/>
    <col min="13063" max="13066" width="10.7109375" style="153" customWidth="1"/>
    <col min="13067" max="13067" width="13.140625" style="153" bestFit="1" customWidth="1"/>
    <col min="13068" max="13069" width="10.7109375" style="153" customWidth="1"/>
    <col min="13070" max="13312" width="8.7109375" style="153"/>
    <col min="13313" max="13313" width="7" style="153" customWidth="1"/>
    <col min="13314" max="13314" width="48.7109375" style="153" customWidth="1"/>
    <col min="13315" max="13315" width="9.7109375" style="153" customWidth="1"/>
    <col min="13316" max="13316" width="6.7109375" style="153" customWidth="1"/>
    <col min="13317" max="13317" width="10.7109375" style="153" customWidth="1"/>
    <col min="13318" max="13318" width="15.7109375" style="153" customWidth="1"/>
    <col min="13319" max="13322" width="10.7109375" style="153" customWidth="1"/>
    <col min="13323" max="13323" width="13.140625" style="153" bestFit="1" customWidth="1"/>
    <col min="13324" max="13325" width="10.7109375" style="153" customWidth="1"/>
    <col min="13326" max="13568" width="8.7109375" style="153"/>
    <col min="13569" max="13569" width="7" style="153" customWidth="1"/>
    <col min="13570" max="13570" width="48.7109375" style="153" customWidth="1"/>
    <col min="13571" max="13571" width="9.7109375" style="153" customWidth="1"/>
    <col min="13572" max="13572" width="6.7109375" style="153" customWidth="1"/>
    <col min="13573" max="13573" width="10.7109375" style="153" customWidth="1"/>
    <col min="13574" max="13574" width="15.7109375" style="153" customWidth="1"/>
    <col min="13575" max="13578" width="10.7109375" style="153" customWidth="1"/>
    <col min="13579" max="13579" width="13.140625" style="153" bestFit="1" customWidth="1"/>
    <col min="13580" max="13581" width="10.7109375" style="153" customWidth="1"/>
    <col min="13582" max="13824" width="8.7109375" style="153"/>
    <col min="13825" max="13825" width="7" style="153" customWidth="1"/>
    <col min="13826" max="13826" width="48.7109375" style="153" customWidth="1"/>
    <col min="13827" max="13827" width="9.7109375" style="153" customWidth="1"/>
    <col min="13828" max="13828" width="6.7109375" style="153" customWidth="1"/>
    <col min="13829" max="13829" width="10.7109375" style="153" customWidth="1"/>
    <col min="13830" max="13830" width="15.7109375" style="153" customWidth="1"/>
    <col min="13831" max="13834" width="10.7109375" style="153" customWidth="1"/>
    <col min="13835" max="13835" width="13.140625" style="153" bestFit="1" customWidth="1"/>
    <col min="13836" max="13837" width="10.7109375" style="153" customWidth="1"/>
    <col min="13838" max="14080" width="8.7109375" style="153"/>
    <col min="14081" max="14081" width="7" style="153" customWidth="1"/>
    <col min="14082" max="14082" width="48.7109375" style="153" customWidth="1"/>
    <col min="14083" max="14083" width="9.7109375" style="153" customWidth="1"/>
    <col min="14084" max="14084" width="6.7109375" style="153" customWidth="1"/>
    <col min="14085" max="14085" width="10.7109375" style="153" customWidth="1"/>
    <col min="14086" max="14086" width="15.7109375" style="153" customWidth="1"/>
    <col min="14087" max="14090" width="10.7109375" style="153" customWidth="1"/>
    <col min="14091" max="14091" width="13.140625" style="153" bestFit="1" customWidth="1"/>
    <col min="14092" max="14093" width="10.7109375" style="153" customWidth="1"/>
    <col min="14094" max="14336" width="8.7109375" style="153"/>
    <col min="14337" max="14337" width="7" style="153" customWidth="1"/>
    <col min="14338" max="14338" width="48.7109375" style="153" customWidth="1"/>
    <col min="14339" max="14339" width="9.7109375" style="153" customWidth="1"/>
    <col min="14340" max="14340" width="6.7109375" style="153" customWidth="1"/>
    <col min="14341" max="14341" width="10.7109375" style="153" customWidth="1"/>
    <col min="14342" max="14342" width="15.7109375" style="153" customWidth="1"/>
    <col min="14343" max="14346" width="10.7109375" style="153" customWidth="1"/>
    <col min="14347" max="14347" width="13.140625" style="153" bestFit="1" customWidth="1"/>
    <col min="14348" max="14349" width="10.7109375" style="153" customWidth="1"/>
    <col min="14350" max="14592" width="8.7109375" style="153"/>
    <col min="14593" max="14593" width="7" style="153" customWidth="1"/>
    <col min="14594" max="14594" width="48.7109375" style="153" customWidth="1"/>
    <col min="14595" max="14595" width="9.7109375" style="153" customWidth="1"/>
    <col min="14596" max="14596" width="6.7109375" style="153" customWidth="1"/>
    <col min="14597" max="14597" width="10.7109375" style="153" customWidth="1"/>
    <col min="14598" max="14598" width="15.7109375" style="153" customWidth="1"/>
    <col min="14599" max="14602" width="10.7109375" style="153" customWidth="1"/>
    <col min="14603" max="14603" width="13.140625" style="153" bestFit="1" customWidth="1"/>
    <col min="14604" max="14605" width="10.7109375" style="153" customWidth="1"/>
    <col min="14606" max="14848" width="8.7109375" style="153"/>
    <col min="14849" max="14849" width="7" style="153" customWidth="1"/>
    <col min="14850" max="14850" width="48.7109375" style="153" customWidth="1"/>
    <col min="14851" max="14851" width="9.7109375" style="153" customWidth="1"/>
    <col min="14852" max="14852" width="6.7109375" style="153" customWidth="1"/>
    <col min="14853" max="14853" width="10.7109375" style="153" customWidth="1"/>
    <col min="14854" max="14854" width="15.7109375" style="153" customWidth="1"/>
    <col min="14855" max="14858" width="10.7109375" style="153" customWidth="1"/>
    <col min="14859" max="14859" width="13.140625" style="153" bestFit="1" customWidth="1"/>
    <col min="14860" max="14861" width="10.7109375" style="153" customWidth="1"/>
    <col min="14862" max="15104" width="8.7109375" style="153"/>
    <col min="15105" max="15105" width="7" style="153" customWidth="1"/>
    <col min="15106" max="15106" width="48.7109375" style="153" customWidth="1"/>
    <col min="15107" max="15107" width="9.7109375" style="153" customWidth="1"/>
    <col min="15108" max="15108" width="6.7109375" style="153" customWidth="1"/>
    <col min="15109" max="15109" width="10.7109375" style="153" customWidth="1"/>
    <col min="15110" max="15110" width="15.7109375" style="153" customWidth="1"/>
    <col min="15111" max="15114" width="10.7109375" style="153" customWidth="1"/>
    <col min="15115" max="15115" width="13.140625" style="153" bestFit="1" customWidth="1"/>
    <col min="15116" max="15117" width="10.7109375" style="153" customWidth="1"/>
    <col min="15118" max="15360" width="8.7109375" style="153"/>
    <col min="15361" max="15361" width="7" style="153" customWidth="1"/>
    <col min="15362" max="15362" width="48.7109375" style="153" customWidth="1"/>
    <col min="15363" max="15363" width="9.7109375" style="153" customWidth="1"/>
    <col min="15364" max="15364" width="6.7109375" style="153" customWidth="1"/>
    <col min="15365" max="15365" width="10.7109375" style="153" customWidth="1"/>
    <col min="15366" max="15366" width="15.7109375" style="153" customWidth="1"/>
    <col min="15367" max="15370" width="10.7109375" style="153" customWidth="1"/>
    <col min="15371" max="15371" width="13.140625" style="153" bestFit="1" customWidth="1"/>
    <col min="15372" max="15373" width="10.7109375" style="153" customWidth="1"/>
    <col min="15374" max="15616" width="8.7109375" style="153"/>
    <col min="15617" max="15617" width="7" style="153" customWidth="1"/>
    <col min="15618" max="15618" width="48.7109375" style="153" customWidth="1"/>
    <col min="15619" max="15619" width="9.7109375" style="153" customWidth="1"/>
    <col min="15620" max="15620" width="6.7109375" style="153" customWidth="1"/>
    <col min="15621" max="15621" width="10.7109375" style="153" customWidth="1"/>
    <col min="15622" max="15622" width="15.7109375" style="153" customWidth="1"/>
    <col min="15623" max="15626" width="10.7109375" style="153" customWidth="1"/>
    <col min="15627" max="15627" width="13.140625" style="153" bestFit="1" customWidth="1"/>
    <col min="15628" max="15629" width="10.7109375" style="153" customWidth="1"/>
    <col min="15630" max="15872" width="8.7109375" style="153"/>
    <col min="15873" max="15873" width="7" style="153" customWidth="1"/>
    <col min="15874" max="15874" width="48.7109375" style="153" customWidth="1"/>
    <col min="15875" max="15875" width="9.7109375" style="153" customWidth="1"/>
    <col min="15876" max="15876" width="6.7109375" style="153" customWidth="1"/>
    <col min="15877" max="15877" width="10.7109375" style="153" customWidth="1"/>
    <col min="15878" max="15878" width="15.7109375" style="153" customWidth="1"/>
    <col min="15879" max="15882" width="10.7109375" style="153" customWidth="1"/>
    <col min="15883" max="15883" width="13.140625" style="153" bestFit="1" customWidth="1"/>
    <col min="15884" max="15885" width="10.7109375" style="153" customWidth="1"/>
    <col min="15886" max="16128" width="8.7109375" style="153"/>
    <col min="16129" max="16129" width="7" style="153" customWidth="1"/>
    <col min="16130" max="16130" width="48.7109375" style="153" customWidth="1"/>
    <col min="16131" max="16131" width="9.7109375" style="153" customWidth="1"/>
    <col min="16132" max="16132" width="6.7109375" style="153" customWidth="1"/>
    <col min="16133" max="16133" width="10.7109375" style="153" customWidth="1"/>
    <col min="16134" max="16134" width="15.7109375" style="153" customWidth="1"/>
    <col min="16135" max="16138" width="10.7109375" style="153" customWidth="1"/>
    <col min="16139" max="16139" width="13.140625" style="153" bestFit="1" customWidth="1"/>
    <col min="16140" max="16141" width="10.7109375" style="153" customWidth="1"/>
    <col min="16142" max="16384" width="8.7109375" style="153"/>
  </cols>
  <sheetData>
    <row r="1" spans="1:13" ht="24.95" customHeight="1" x14ac:dyDescent="0.25">
      <c r="A1" s="752" t="s">
        <v>228</v>
      </c>
      <c r="B1" s="753"/>
      <c r="C1" s="753"/>
      <c r="D1" s="753"/>
      <c r="E1" s="753"/>
      <c r="F1" s="753"/>
      <c r="G1" s="151"/>
      <c r="H1" s="151"/>
      <c r="I1" s="151"/>
      <c r="J1" s="151"/>
      <c r="K1" s="151"/>
      <c r="L1" s="152"/>
      <c r="M1" s="152"/>
    </row>
    <row r="2" spans="1:13" ht="33.75" customHeight="1" x14ac:dyDescent="0.25">
      <c r="A2" s="154"/>
      <c r="B2" s="155"/>
      <c r="C2" s="155"/>
      <c r="D2" s="155"/>
      <c r="E2" s="156"/>
      <c r="F2" s="157"/>
      <c r="G2" s="754" t="s">
        <v>229</v>
      </c>
      <c r="H2" s="754"/>
      <c r="I2" s="754"/>
      <c r="J2" s="754"/>
      <c r="K2" s="754"/>
      <c r="L2" s="753"/>
      <c r="M2" s="753"/>
    </row>
    <row r="3" spans="1:13" ht="15" x14ac:dyDescent="0.25">
      <c r="A3" s="755" t="s">
        <v>230</v>
      </c>
      <c r="B3" s="755" t="s">
        <v>0</v>
      </c>
      <c r="C3" s="755" t="s">
        <v>1</v>
      </c>
      <c r="D3" s="755" t="s">
        <v>2</v>
      </c>
      <c r="E3" s="752" t="s">
        <v>231</v>
      </c>
      <c r="F3" s="757"/>
      <c r="G3" s="158"/>
      <c r="H3" s="158"/>
      <c r="I3" s="158"/>
      <c r="J3" s="158"/>
      <c r="K3" s="158"/>
      <c r="L3" s="752"/>
      <c r="M3" s="753"/>
    </row>
    <row r="4" spans="1:13" ht="30" x14ac:dyDescent="0.25">
      <c r="A4" s="756"/>
      <c r="B4" s="756"/>
      <c r="C4" s="756"/>
      <c r="D4" s="756"/>
      <c r="E4" s="159" t="s">
        <v>232</v>
      </c>
      <c r="F4" s="160" t="s">
        <v>233</v>
      </c>
      <c r="G4" s="161" t="s">
        <v>234</v>
      </c>
      <c r="H4" s="161" t="s">
        <v>235</v>
      </c>
      <c r="I4" s="161" t="s">
        <v>236</v>
      </c>
      <c r="J4" s="161" t="s">
        <v>237</v>
      </c>
      <c r="K4" s="161" t="s">
        <v>232</v>
      </c>
      <c r="L4" s="160" t="s">
        <v>238</v>
      </c>
      <c r="M4" s="160" t="s">
        <v>239</v>
      </c>
    </row>
    <row r="5" spans="1:13" ht="157.5" customHeight="1" x14ac:dyDescent="0.25">
      <c r="A5" s="162">
        <v>1.01</v>
      </c>
      <c r="B5" s="136" t="s">
        <v>240</v>
      </c>
      <c r="C5" s="163">
        <v>6605</v>
      </c>
      <c r="D5" s="163" t="s">
        <v>104</v>
      </c>
      <c r="E5" s="163">
        <v>10.29</v>
      </c>
      <c r="F5" s="164">
        <f>ROUND($C5*E5,0)</f>
        <v>67965</v>
      </c>
      <c r="G5" s="165">
        <v>12.78</v>
      </c>
      <c r="H5" s="166">
        <v>278.08999999999997</v>
      </c>
      <c r="I5" s="166">
        <v>0</v>
      </c>
      <c r="J5" s="166">
        <v>72.72</v>
      </c>
      <c r="K5" s="167">
        <v>10.29</v>
      </c>
      <c r="L5" s="168"/>
      <c r="M5" s="169"/>
    </row>
    <row r="6" spans="1:13" x14ac:dyDescent="0.25">
      <c r="A6" s="170"/>
      <c r="B6" s="136"/>
      <c r="C6" s="163"/>
      <c r="D6" s="163"/>
      <c r="E6" s="163"/>
      <c r="F6" s="171"/>
      <c r="G6" s="172"/>
      <c r="H6" s="169"/>
      <c r="I6" s="169"/>
      <c r="J6" s="169"/>
      <c r="K6" s="173"/>
      <c r="L6" s="174"/>
      <c r="M6" s="163"/>
    </row>
    <row r="7" spans="1:13" ht="157.5" customHeight="1" x14ac:dyDescent="0.25">
      <c r="A7" s="170">
        <v>1.02</v>
      </c>
      <c r="B7" s="136" t="s">
        <v>241</v>
      </c>
      <c r="C7" s="163">
        <v>59444</v>
      </c>
      <c r="D7" s="163" t="s">
        <v>104</v>
      </c>
      <c r="E7" s="163">
        <v>29.42</v>
      </c>
      <c r="F7" s="164">
        <f>ROUND($C7*E7,0)</f>
        <v>1748842</v>
      </c>
      <c r="G7" s="172">
        <v>189.4</v>
      </c>
      <c r="H7" s="169">
        <v>504.43</v>
      </c>
      <c r="I7" s="169">
        <v>137.5</v>
      </c>
      <c r="J7" s="169">
        <v>29.42</v>
      </c>
      <c r="K7" s="173">
        <v>29.42</v>
      </c>
      <c r="L7" s="168"/>
      <c r="M7" s="169"/>
    </row>
    <row r="8" spans="1:13" x14ac:dyDescent="0.25">
      <c r="A8" s="175"/>
      <c r="B8" s="176"/>
      <c r="C8" s="177"/>
      <c r="D8" s="177"/>
      <c r="E8" s="177"/>
      <c r="F8" s="178"/>
      <c r="G8" s="172"/>
      <c r="H8" s="169"/>
      <c r="I8" s="169"/>
      <c r="J8" s="169"/>
      <c r="K8" s="173"/>
      <c r="L8" s="179"/>
      <c r="M8" s="177"/>
    </row>
    <row r="9" spans="1:13" ht="128.25" x14ac:dyDescent="0.25">
      <c r="A9" s="180">
        <v>1.03</v>
      </c>
      <c r="B9" s="181" t="s">
        <v>53</v>
      </c>
      <c r="C9" s="182">
        <v>180906</v>
      </c>
      <c r="D9" s="182" t="s">
        <v>104</v>
      </c>
      <c r="E9" s="182">
        <v>24.67</v>
      </c>
      <c r="F9" s="183">
        <f>ROUND($C9*E9,0)</f>
        <v>4462951</v>
      </c>
      <c r="G9" s="172">
        <v>14.21</v>
      </c>
      <c r="H9" s="169">
        <v>123.2</v>
      </c>
      <c r="I9" s="169">
        <v>223.08</v>
      </c>
      <c r="J9" s="169">
        <v>90.12</v>
      </c>
      <c r="K9" s="173">
        <v>450.62</v>
      </c>
      <c r="L9" s="184"/>
      <c r="M9" s="166"/>
    </row>
    <row r="10" spans="1:13" x14ac:dyDescent="0.25">
      <c r="A10" s="170"/>
      <c r="B10" s="136"/>
      <c r="C10" s="163"/>
      <c r="D10" s="163"/>
      <c r="E10" s="163"/>
      <c r="F10" s="171"/>
      <c r="G10" s="172"/>
      <c r="H10" s="169"/>
      <c r="I10" s="169"/>
      <c r="J10" s="169"/>
      <c r="K10" s="173"/>
      <c r="L10" s="174"/>
      <c r="M10" s="163"/>
    </row>
    <row r="11" spans="1:13" ht="85.5" x14ac:dyDescent="0.25">
      <c r="A11" s="175">
        <v>1.04</v>
      </c>
      <c r="B11" s="176" t="s">
        <v>242</v>
      </c>
      <c r="C11" s="177">
        <v>494</v>
      </c>
      <c r="D11" s="177" t="s">
        <v>104</v>
      </c>
      <c r="E11" s="177">
        <v>45</v>
      </c>
      <c r="F11" s="164">
        <f>ROUND($C11*E11,0)</f>
        <v>22230</v>
      </c>
      <c r="G11" s="172">
        <v>62.63</v>
      </c>
      <c r="H11" s="169">
        <v>241.4</v>
      </c>
      <c r="I11" s="169">
        <v>967.44</v>
      </c>
      <c r="J11" s="169">
        <v>317.87</v>
      </c>
      <c r="K11" s="173">
        <v>1589.34</v>
      </c>
      <c r="L11" s="185"/>
      <c r="M11" s="186"/>
    </row>
    <row r="12" spans="1:13" ht="15" customHeight="1" x14ac:dyDescent="0.25">
      <c r="A12" s="187"/>
      <c r="B12" s="188"/>
      <c r="C12" s="188"/>
      <c r="D12" s="188"/>
      <c r="E12" s="189"/>
      <c r="F12" s="190"/>
      <c r="G12" s="191"/>
      <c r="H12" s="192"/>
      <c r="I12" s="192"/>
      <c r="J12" s="192"/>
      <c r="K12" s="193"/>
      <c r="L12" s="194"/>
      <c r="M12" s="195"/>
    </row>
    <row r="13" spans="1:13" ht="99.75" customHeight="1" x14ac:dyDescent="0.25">
      <c r="A13" s="170">
        <v>2.0099999999999998</v>
      </c>
      <c r="B13" s="136" t="s">
        <v>243</v>
      </c>
      <c r="C13" s="163">
        <v>25844</v>
      </c>
      <c r="D13" s="163" t="s">
        <v>105</v>
      </c>
      <c r="E13" s="163">
        <v>10</v>
      </c>
      <c r="F13" s="164">
        <f>ROUND($C13*E13,0)</f>
        <v>258440</v>
      </c>
      <c r="G13" s="196">
        <f>IFERROR((ROUND(E13/1.25*10%,2)),0)</f>
        <v>0.8</v>
      </c>
      <c r="H13" s="197">
        <f>IFERROR((ROUND(E13/1.25*5%,2)),0)</f>
        <v>0.4</v>
      </c>
      <c r="I13" s="169">
        <f>IFERROR((ROUND(E13/1.25*85%,2)),0)</f>
        <v>6.8</v>
      </c>
      <c r="J13" s="198">
        <f>IFERROR((ROUND(E13-(E13/1.25),2)),0)</f>
        <v>2</v>
      </c>
      <c r="K13" s="173">
        <f>SUM(G13:J13)</f>
        <v>10</v>
      </c>
      <c r="L13" s="199"/>
      <c r="M13" s="200"/>
    </row>
    <row r="14" spans="1:13" x14ac:dyDescent="0.25">
      <c r="A14" s="170"/>
      <c r="B14" s="136"/>
      <c r="C14" s="163"/>
      <c r="D14" s="163"/>
      <c r="E14" s="163"/>
      <c r="F14" s="201"/>
      <c r="G14" s="196">
        <f t="shared" ref="G14:G77" si="0">IFERROR((ROUND(E14/1.25*10%,2)),0)</f>
        <v>0</v>
      </c>
      <c r="H14" s="197">
        <f t="shared" ref="H14:H77" si="1">IFERROR((ROUND(E14/1.25*5%,2)),0)</f>
        <v>0</v>
      </c>
      <c r="I14" s="169">
        <f t="shared" ref="I14:I77" si="2">IFERROR((ROUND(E14/1.25*85%,2)),0)</f>
        <v>0</v>
      </c>
      <c r="J14" s="198">
        <f t="shared" ref="J14:J77" si="3">IFERROR((ROUND(E14-(E14/1.25),2)),0)</f>
        <v>0</v>
      </c>
      <c r="K14" s="173">
        <f t="shared" ref="K14:K77" si="4">SUM(G14:J14)</f>
        <v>0</v>
      </c>
      <c r="L14" s="199"/>
      <c r="M14" s="200"/>
    </row>
    <row r="15" spans="1:13" ht="71.25" x14ac:dyDescent="0.25">
      <c r="A15" s="170">
        <v>2.0199999999999996</v>
      </c>
      <c r="B15" s="136" t="s">
        <v>244</v>
      </c>
      <c r="C15" s="163">
        <v>13338</v>
      </c>
      <c r="D15" s="163" t="s">
        <v>104</v>
      </c>
      <c r="E15" s="163">
        <v>66</v>
      </c>
      <c r="F15" s="164">
        <f>ROUND($C15*E15,0)</f>
        <v>880308</v>
      </c>
      <c r="G15" s="196">
        <v>873.88</v>
      </c>
      <c r="H15" s="197">
        <v>210.72</v>
      </c>
      <c r="I15" s="169">
        <v>1548.83</v>
      </c>
      <c r="J15" s="198">
        <v>658.36</v>
      </c>
      <c r="K15" s="173">
        <v>3291.8</v>
      </c>
      <c r="L15" s="199"/>
      <c r="M15" s="200"/>
    </row>
    <row r="16" spans="1:13" x14ac:dyDescent="0.25">
      <c r="A16" s="170"/>
      <c r="B16" s="136"/>
      <c r="C16" s="163"/>
      <c r="D16" s="163"/>
      <c r="E16" s="163"/>
      <c r="F16" s="201"/>
      <c r="G16" s="196">
        <f t="shared" si="0"/>
        <v>0</v>
      </c>
      <c r="H16" s="197">
        <f t="shared" si="1"/>
        <v>0</v>
      </c>
      <c r="I16" s="169">
        <f t="shared" si="2"/>
        <v>0</v>
      </c>
      <c r="J16" s="198">
        <f t="shared" si="3"/>
        <v>0</v>
      </c>
      <c r="K16" s="173">
        <f t="shared" si="4"/>
        <v>0</v>
      </c>
      <c r="L16" s="199"/>
      <c r="M16" s="200"/>
    </row>
    <row r="17" spans="1:13" ht="57" x14ac:dyDescent="0.25">
      <c r="A17" s="170">
        <v>2.0299999999999994</v>
      </c>
      <c r="B17" s="136" t="s">
        <v>245</v>
      </c>
      <c r="C17" s="163">
        <v>23000</v>
      </c>
      <c r="D17" s="163" t="s">
        <v>104</v>
      </c>
      <c r="E17" s="163">
        <v>155</v>
      </c>
      <c r="F17" s="164">
        <f>ROUND($C17*E17,0)</f>
        <v>3565000</v>
      </c>
      <c r="G17" s="196">
        <v>828.71</v>
      </c>
      <c r="H17" s="197">
        <v>969.12</v>
      </c>
      <c r="I17" s="169">
        <v>3248.32</v>
      </c>
      <c r="J17" s="198">
        <v>1261.54</v>
      </c>
      <c r="K17" s="173">
        <f>SUM(G17:J17)</f>
        <v>6307.69</v>
      </c>
      <c r="L17" s="199">
        <f>ROUND(C17*1.54/13/1.25,2)</f>
        <v>2179.69</v>
      </c>
      <c r="M17" s="200"/>
    </row>
    <row r="18" spans="1:13" x14ac:dyDescent="0.25">
      <c r="A18" s="175"/>
      <c r="B18" s="176"/>
      <c r="C18" s="177"/>
      <c r="D18" s="177"/>
      <c r="E18" s="177"/>
      <c r="F18" s="202"/>
      <c r="G18" s="196">
        <f t="shared" si="0"/>
        <v>0</v>
      </c>
      <c r="H18" s="197">
        <f t="shared" si="1"/>
        <v>0</v>
      </c>
      <c r="I18" s="169">
        <f t="shared" si="2"/>
        <v>0</v>
      </c>
      <c r="J18" s="198">
        <f t="shared" si="3"/>
        <v>0</v>
      </c>
      <c r="K18" s="173">
        <f t="shared" si="4"/>
        <v>0</v>
      </c>
      <c r="L18" s="203"/>
      <c r="M18" s="204"/>
    </row>
    <row r="19" spans="1:13" ht="100.5" customHeight="1" x14ac:dyDescent="0.25">
      <c r="A19" s="180">
        <v>2.0399999999999991</v>
      </c>
      <c r="B19" s="181" t="s">
        <v>246</v>
      </c>
      <c r="C19" s="182">
        <v>7517</v>
      </c>
      <c r="D19" s="182" t="s">
        <v>104</v>
      </c>
      <c r="E19" s="182">
        <v>237</v>
      </c>
      <c r="F19" s="183">
        <f>ROUND($C19*E19,0)</f>
        <v>1781529</v>
      </c>
      <c r="G19" s="196">
        <v>1236.97</v>
      </c>
      <c r="H19" s="197">
        <v>1419.3</v>
      </c>
      <c r="I19" s="169">
        <v>3841.41</v>
      </c>
      <c r="J19" s="198">
        <v>1624.42</v>
      </c>
      <c r="K19" s="173">
        <f>SUM(G19:J19)</f>
        <v>8122.1</v>
      </c>
      <c r="L19" s="199">
        <f>ROUND(C19*1.54/10/1.25,2)</f>
        <v>926.09</v>
      </c>
      <c r="M19" s="205"/>
    </row>
    <row r="20" spans="1:13" x14ac:dyDescent="0.25">
      <c r="A20" s="170"/>
      <c r="B20" s="136"/>
      <c r="C20" s="163"/>
      <c r="D20" s="163"/>
      <c r="E20" s="163"/>
      <c r="F20" s="201"/>
      <c r="G20" s="196">
        <f t="shared" si="0"/>
        <v>0</v>
      </c>
      <c r="H20" s="197">
        <f t="shared" si="1"/>
        <v>0</v>
      </c>
      <c r="I20" s="169">
        <f t="shared" si="2"/>
        <v>0</v>
      </c>
      <c r="J20" s="198">
        <f t="shared" si="3"/>
        <v>0</v>
      </c>
      <c r="K20" s="173">
        <f t="shared" si="4"/>
        <v>0</v>
      </c>
      <c r="L20" s="199"/>
      <c r="M20" s="200"/>
    </row>
    <row r="21" spans="1:13" ht="114.75" customHeight="1" x14ac:dyDescent="0.25">
      <c r="A21" s="170">
        <v>2.0499999999999989</v>
      </c>
      <c r="B21" s="136" t="s">
        <v>247</v>
      </c>
      <c r="C21" s="163"/>
      <c r="D21" s="163"/>
      <c r="E21" s="163"/>
      <c r="F21" s="201"/>
      <c r="G21" s="196">
        <f t="shared" si="0"/>
        <v>0</v>
      </c>
      <c r="H21" s="197">
        <f t="shared" si="1"/>
        <v>0</v>
      </c>
      <c r="I21" s="169">
        <f t="shared" si="2"/>
        <v>0</v>
      </c>
      <c r="J21" s="198">
        <f t="shared" si="3"/>
        <v>0</v>
      </c>
      <c r="K21" s="173">
        <f t="shared" si="4"/>
        <v>0</v>
      </c>
      <c r="L21" s="199"/>
      <c r="M21" s="200"/>
    </row>
    <row r="22" spans="1:13" x14ac:dyDescent="0.25">
      <c r="A22" s="206" t="s">
        <v>4</v>
      </c>
      <c r="B22" s="136" t="s">
        <v>248</v>
      </c>
      <c r="C22" s="163">
        <v>6283</v>
      </c>
      <c r="D22" s="163" t="s">
        <v>104</v>
      </c>
      <c r="E22" s="163">
        <v>274</v>
      </c>
      <c r="F22" s="164">
        <f>ROUND($C22*E22,0)</f>
        <v>1721542</v>
      </c>
      <c r="G22" s="196">
        <v>942.68</v>
      </c>
      <c r="H22" s="197">
        <v>2690.11</v>
      </c>
      <c r="I22" s="169">
        <v>5599.22</v>
      </c>
      <c r="J22" s="198">
        <v>2308</v>
      </c>
      <c r="K22" s="173">
        <f t="shared" si="4"/>
        <v>11540.01</v>
      </c>
      <c r="L22" s="199">
        <f>ROUND(C22*1.54/7/1.25,2)</f>
        <v>1105.81</v>
      </c>
      <c r="M22" s="200"/>
    </row>
    <row r="23" spans="1:13" x14ac:dyDescent="0.25">
      <c r="A23" s="170"/>
      <c r="B23" s="136"/>
      <c r="C23" s="163"/>
      <c r="D23" s="163"/>
      <c r="E23" s="163"/>
      <c r="F23" s="201"/>
      <c r="G23" s="196">
        <f t="shared" si="0"/>
        <v>0</v>
      </c>
      <c r="H23" s="197">
        <f t="shared" si="1"/>
        <v>0</v>
      </c>
      <c r="I23" s="169">
        <f t="shared" si="2"/>
        <v>0</v>
      </c>
      <c r="J23" s="198">
        <f t="shared" si="3"/>
        <v>0</v>
      </c>
      <c r="K23" s="173">
        <f t="shared" si="4"/>
        <v>0</v>
      </c>
      <c r="L23" s="199"/>
      <c r="M23" s="200"/>
    </row>
    <row r="24" spans="1:13" ht="129" customHeight="1" x14ac:dyDescent="0.25">
      <c r="A24" s="170">
        <v>2.0599999999999987</v>
      </c>
      <c r="B24" s="136" t="s">
        <v>249</v>
      </c>
      <c r="C24" s="163"/>
      <c r="D24" s="163"/>
      <c r="E24" s="163"/>
      <c r="F24" s="201"/>
      <c r="G24" s="196">
        <f t="shared" si="0"/>
        <v>0</v>
      </c>
      <c r="H24" s="197">
        <f t="shared" si="1"/>
        <v>0</v>
      </c>
      <c r="I24" s="169">
        <f t="shared" si="2"/>
        <v>0</v>
      </c>
      <c r="J24" s="198">
        <f t="shared" si="3"/>
        <v>0</v>
      </c>
      <c r="K24" s="173">
        <f t="shared" si="4"/>
        <v>0</v>
      </c>
      <c r="L24" s="199"/>
      <c r="M24" s="200"/>
    </row>
    <row r="25" spans="1:13" x14ac:dyDescent="0.25">
      <c r="A25" s="206" t="s">
        <v>4</v>
      </c>
      <c r="B25" s="136" t="s">
        <v>250</v>
      </c>
      <c r="C25" s="163">
        <v>21524</v>
      </c>
      <c r="D25" s="163" t="s">
        <v>104</v>
      </c>
      <c r="E25" s="163">
        <v>244</v>
      </c>
      <c r="F25" s="164">
        <f>ROUND($C25*E25,0)</f>
        <v>5251856</v>
      </c>
      <c r="G25" s="196">
        <v>942.68</v>
      </c>
      <c r="H25" s="197">
        <v>2690.11</v>
      </c>
      <c r="I25" s="169">
        <v>4555.55</v>
      </c>
      <c r="J25" s="198">
        <v>2047.08</v>
      </c>
      <c r="K25" s="173">
        <f t="shared" si="4"/>
        <v>10235.42</v>
      </c>
      <c r="L25" s="199">
        <f>ROUND(C25*1.54/7/1.25,2)</f>
        <v>3788.22</v>
      </c>
      <c r="M25" s="200"/>
    </row>
    <row r="26" spans="1:13" x14ac:dyDescent="0.25">
      <c r="A26" s="206" t="s">
        <v>48</v>
      </c>
      <c r="B26" s="136" t="s">
        <v>251</v>
      </c>
      <c r="C26" s="163">
        <v>3514</v>
      </c>
      <c r="D26" s="163" t="s">
        <v>104</v>
      </c>
      <c r="E26" s="163">
        <v>363</v>
      </c>
      <c r="F26" s="164">
        <f>ROUND($C26*E26,0)</f>
        <v>1275582</v>
      </c>
      <c r="G26" s="196">
        <v>942.68</v>
      </c>
      <c r="H26" s="197">
        <v>2690.11</v>
      </c>
      <c r="I26" s="169">
        <v>5599.22</v>
      </c>
      <c r="J26" s="198">
        <v>2308</v>
      </c>
      <c r="K26" s="173">
        <f t="shared" si="4"/>
        <v>11540.01</v>
      </c>
      <c r="L26" s="199">
        <f>ROUND(C26*1.54/7/1.25,2)</f>
        <v>618.46</v>
      </c>
      <c r="M26" s="200"/>
    </row>
    <row r="27" spans="1:13" x14ac:dyDescent="0.25">
      <c r="A27" s="206" t="s">
        <v>51</v>
      </c>
      <c r="B27" s="136" t="s">
        <v>252</v>
      </c>
      <c r="C27" s="163">
        <v>1140</v>
      </c>
      <c r="D27" s="163" t="s">
        <v>104</v>
      </c>
      <c r="E27" s="163">
        <v>274</v>
      </c>
      <c r="F27" s="164">
        <f>ROUND($C27*E27,0)</f>
        <v>312360</v>
      </c>
      <c r="G27" s="196">
        <v>942.68</v>
      </c>
      <c r="H27" s="197">
        <v>2690.11</v>
      </c>
      <c r="I27" s="169">
        <v>5599.22</v>
      </c>
      <c r="J27" s="198">
        <v>2308</v>
      </c>
      <c r="K27" s="173">
        <f t="shared" si="4"/>
        <v>11540.01</v>
      </c>
      <c r="L27" s="199">
        <f>ROUND(C27*1.54/7/1.25,2)</f>
        <v>200.64</v>
      </c>
      <c r="M27" s="200"/>
    </row>
    <row r="28" spans="1:13" x14ac:dyDescent="0.25">
      <c r="A28" s="206" t="s">
        <v>52</v>
      </c>
      <c r="B28" s="136" t="s">
        <v>253</v>
      </c>
      <c r="C28" s="163">
        <v>1398</v>
      </c>
      <c r="D28" s="163" t="s">
        <v>104</v>
      </c>
      <c r="E28" s="163">
        <v>280</v>
      </c>
      <c r="F28" s="164">
        <f>ROUND($C28*E28,0)</f>
        <v>391440</v>
      </c>
      <c r="G28" s="196">
        <v>942.68</v>
      </c>
      <c r="H28" s="197">
        <v>2690.11</v>
      </c>
      <c r="I28" s="169">
        <v>5243.66</v>
      </c>
      <c r="J28" s="198">
        <v>2219.11</v>
      </c>
      <c r="K28" s="173">
        <f t="shared" si="4"/>
        <v>11095.560000000001</v>
      </c>
      <c r="L28" s="199">
        <f>ROUND(C28*1.54/7/1.25,2)</f>
        <v>246.05</v>
      </c>
      <c r="M28" s="200"/>
    </row>
    <row r="29" spans="1:13" x14ac:dyDescent="0.25">
      <c r="A29" s="170"/>
      <c r="B29" s="136"/>
      <c r="C29" s="163"/>
      <c r="D29" s="163"/>
      <c r="E29" s="163"/>
      <c r="F29" s="201"/>
      <c r="G29" s="196">
        <f t="shared" si="0"/>
        <v>0</v>
      </c>
      <c r="H29" s="197">
        <f t="shared" si="1"/>
        <v>0</v>
      </c>
      <c r="I29" s="169">
        <f t="shared" si="2"/>
        <v>0</v>
      </c>
      <c r="J29" s="198">
        <f t="shared" si="3"/>
        <v>0</v>
      </c>
      <c r="K29" s="173">
        <f t="shared" si="4"/>
        <v>0</v>
      </c>
      <c r="L29" s="199"/>
      <c r="M29" s="200"/>
    </row>
    <row r="30" spans="1:13" ht="87.75" customHeight="1" x14ac:dyDescent="0.25">
      <c r="A30" s="170">
        <v>2.0699999999999985</v>
      </c>
      <c r="B30" s="136" t="s">
        <v>254</v>
      </c>
      <c r="C30" s="163">
        <v>111582</v>
      </c>
      <c r="D30" s="163" t="s">
        <v>122</v>
      </c>
      <c r="E30" s="163">
        <v>116.65</v>
      </c>
      <c r="F30" s="164">
        <f>ROUND($C30*E30,0)</f>
        <v>13016040</v>
      </c>
      <c r="G30" s="196">
        <v>3026.98</v>
      </c>
      <c r="H30" s="197">
        <v>0</v>
      </c>
      <c r="I30" s="169">
        <v>88350</v>
      </c>
      <c r="J30" s="198">
        <v>22844.240000000002</v>
      </c>
      <c r="K30" s="173">
        <f t="shared" si="4"/>
        <v>114221.22</v>
      </c>
      <c r="L30" s="199"/>
      <c r="M30" s="200">
        <f>ROUND(C30*1.03,2)</f>
        <v>114929.46</v>
      </c>
    </row>
    <row r="31" spans="1:13" x14ac:dyDescent="0.25">
      <c r="A31" s="175"/>
      <c r="B31" s="176"/>
      <c r="C31" s="177"/>
      <c r="D31" s="177"/>
      <c r="E31" s="177"/>
      <c r="F31" s="202"/>
      <c r="G31" s="196">
        <f t="shared" si="0"/>
        <v>0</v>
      </c>
      <c r="H31" s="197">
        <f t="shared" si="1"/>
        <v>0</v>
      </c>
      <c r="I31" s="169">
        <f t="shared" si="2"/>
        <v>0</v>
      </c>
      <c r="J31" s="198">
        <f t="shared" si="3"/>
        <v>0</v>
      </c>
      <c r="K31" s="173">
        <f t="shared" si="4"/>
        <v>0</v>
      </c>
      <c r="L31" s="203"/>
      <c r="M31" s="204"/>
    </row>
    <row r="32" spans="1:13" ht="71.25" x14ac:dyDescent="0.25">
      <c r="A32" s="180">
        <v>2.0799999999999983</v>
      </c>
      <c r="B32" s="181" t="s">
        <v>255</v>
      </c>
      <c r="C32" s="182">
        <v>3291</v>
      </c>
      <c r="D32" s="182" t="s">
        <v>105</v>
      </c>
      <c r="E32" s="182">
        <v>48</v>
      </c>
      <c r="F32" s="183">
        <f>ROUND($C32*E32,0)</f>
        <v>157968</v>
      </c>
      <c r="G32" s="196">
        <f t="shared" si="0"/>
        <v>3.84</v>
      </c>
      <c r="H32" s="197">
        <f t="shared" si="1"/>
        <v>1.92</v>
      </c>
      <c r="I32" s="169">
        <f t="shared" si="2"/>
        <v>32.64</v>
      </c>
      <c r="J32" s="198">
        <f t="shared" si="3"/>
        <v>9.6</v>
      </c>
      <c r="K32" s="173">
        <f t="shared" si="4"/>
        <v>48</v>
      </c>
      <c r="L32" s="199">
        <f>ROUND(C32*1.54/7/1.25*0.17,2)</f>
        <v>98.47</v>
      </c>
      <c r="M32" s="205"/>
    </row>
    <row r="33" spans="1:13" x14ac:dyDescent="0.25">
      <c r="A33" s="170"/>
      <c r="B33" s="136"/>
      <c r="C33" s="163"/>
      <c r="D33" s="163"/>
      <c r="E33" s="163"/>
      <c r="F33" s="201"/>
      <c r="G33" s="196">
        <f t="shared" si="0"/>
        <v>0</v>
      </c>
      <c r="H33" s="197">
        <f t="shared" si="1"/>
        <v>0</v>
      </c>
      <c r="I33" s="169">
        <f t="shared" si="2"/>
        <v>0</v>
      </c>
      <c r="J33" s="198">
        <f t="shared" si="3"/>
        <v>0</v>
      </c>
      <c r="K33" s="173">
        <f t="shared" si="4"/>
        <v>0</v>
      </c>
      <c r="L33" s="199"/>
      <c r="M33" s="200"/>
    </row>
    <row r="34" spans="1:13" ht="57" x14ac:dyDescent="0.25">
      <c r="A34" s="170">
        <v>2.0899999999999981</v>
      </c>
      <c r="B34" s="136" t="s">
        <v>256</v>
      </c>
      <c r="C34" s="163">
        <v>55452</v>
      </c>
      <c r="D34" s="163" t="s">
        <v>105</v>
      </c>
      <c r="E34" s="163">
        <v>11</v>
      </c>
      <c r="F34" s="164">
        <f>ROUND($C34*E34,0)</f>
        <v>609972</v>
      </c>
      <c r="G34" s="196">
        <f t="shared" si="0"/>
        <v>0.88</v>
      </c>
      <c r="H34" s="197">
        <f t="shared" si="1"/>
        <v>0.44</v>
      </c>
      <c r="I34" s="169">
        <f t="shared" si="2"/>
        <v>7.48</v>
      </c>
      <c r="J34" s="198">
        <f t="shared" si="3"/>
        <v>2.2000000000000002</v>
      </c>
      <c r="K34" s="173">
        <f t="shared" si="4"/>
        <v>11</v>
      </c>
      <c r="L34" s="199"/>
      <c r="M34" s="200"/>
    </row>
    <row r="35" spans="1:13" x14ac:dyDescent="0.25">
      <c r="A35" s="170"/>
      <c r="B35" s="136"/>
      <c r="C35" s="163"/>
      <c r="D35" s="163"/>
      <c r="E35" s="163"/>
      <c r="F35" s="201"/>
      <c r="G35" s="196">
        <f t="shared" si="0"/>
        <v>0</v>
      </c>
      <c r="H35" s="197">
        <f t="shared" si="1"/>
        <v>0</v>
      </c>
      <c r="I35" s="169">
        <f t="shared" si="2"/>
        <v>0</v>
      </c>
      <c r="J35" s="198">
        <f t="shared" si="3"/>
        <v>0</v>
      </c>
      <c r="K35" s="173">
        <f t="shared" si="4"/>
        <v>0</v>
      </c>
      <c r="L35" s="199"/>
      <c r="M35" s="200"/>
    </row>
    <row r="36" spans="1:13" ht="71.25" x14ac:dyDescent="0.25">
      <c r="A36" s="170">
        <v>2.0999999999999979</v>
      </c>
      <c r="B36" s="136" t="s">
        <v>257</v>
      </c>
      <c r="C36" s="163">
        <v>52932</v>
      </c>
      <c r="D36" s="163" t="s">
        <v>105</v>
      </c>
      <c r="E36" s="163">
        <v>20</v>
      </c>
      <c r="F36" s="164">
        <f>ROUND($C36*E36,0)</f>
        <v>1058640</v>
      </c>
      <c r="G36" s="196">
        <f t="shared" si="0"/>
        <v>1.6</v>
      </c>
      <c r="H36" s="197">
        <f t="shared" si="1"/>
        <v>0.8</v>
      </c>
      <c r="I36" s="169">
        <f t="shared" si="2"/>
        <v>13.6</v>
      </c>
      <c r="J36" s="198">
        <f t="shared" si="3"/>
        <v>4</v>
      </c>
      <c r="K36" s="173">
        <f t="shared" si="4"/>
        <v>20</v>
      </c>
      <c r="L36" s="199"/>
      <c r="M36" s="200"/>
    </row>
    <row r="37" spans="1:13" x14ac:dyDescent="0.25">
      <c r="A37" s="170"/>
      <c r="B37" s="136"/>
      <c r="C37" s="163"/>
      <c r="D37" s="163"/>
      <c r="E37" s="163"/>
      <c r="F37" s="201"/>
      <c r="G37" s="196">
        <f t="shared" si="0"/>
        <v>0</v>
      </c>
      <c r="H37" s="197">
        <f t="shared" si="1"/>
        <v>0</v>
      </c>
      <c r="I37" s="169">
        <f t="shared" si="2"/>
        <v>0</v>
      </c>
      <c r="J37" s="198">
        <f t="shared" si="3"/>
        <v>0</v>
      </c>
      <c r="K37" s="173">
        <f t="shared" si="4"/>
        <v>0</v>
      </c>
      <c r="L37" s="199"/>
      <c r="M37" s="200"/>
    </row>
    <row r="38" spans="1:13" ht="99.75" x14ac:dyDescent="0.25">
      <c r="A38" s="170">
        <v>2.1099999999999977</v>
      </c>
      <c r="B38" s="136" t="s">
        <v>258</v>
      </c>
      <c r="C38" s="163">
        <v>88</v>
      </c>
      <c r="D38" s="163" t="s">
        <v>85</v>
      </c>
      <c r="E38" s="163">
        <v>144</v>
      </c>
      <c r="F38" s="164">
        <f>ROUND($C38*E38,0)</f>
        <v>12672</v>
      </c>
      <c r="G38" s="196">
        <f t="shared" si="0"/>
        <v>11.52</v>
      </c>
      <c r="H38" s="197">
        <f t="shared" si="1"/>
        <v>5.76</v>
      </c>
      <c r="I38" s="169">
        <f t="shared" si="2"/>
        <v>97.92</v>
      </c>
      <c r="J38" s="198">
        <f t="shared" si="3"/>
        <v>28.8</v>
      </c>
      <c r="K38" s="173">
        <f t="shared" si="4"/>
        <v>144</v>
      </c>
      <c r="L38" s="199"/>
      <c r="M38" s="200"/>
    </row>
    <row r="39" spans="1:13" x14ac:dyDescent="0.25">
      <c r="A39" s="170"/>
      <c r="B39" s="136"/>
      <c r="C39" s="163"/>
      <c r="D39" s="163"/>
      <c r="E39" s="163"/>
      <c r="F39" s="201"/>
      <c r="G39" s="196">
        <f t="shared" si="0"/>
        <v>0</v>
      </c>
      <c r="H39" s="197">
        <f t="shared" si="1"/>
        <v>0</v>
      </c>
      <c r="I39" s="169">
        <f t="shared" si="2"/>
        <v>0</v>
      </c>
      <c r="J39" s="198">
        <f t="shared" si="3"/>
        <v>0</v>
      </c>
      <c r="K39" s="173">
        <f t="shared" si="4"/>
        <v>0</v>
      </c>
      <c r="L39" s="199"/>
      <c r="M39" s="200"/>
    </row>
    <row r="40" spans="1:13" ht="44.25" customHeight="1" x14ac:dyDescent="0.25">
      <c r="A40" s="170">
        <v>2.1199999999999974</v>
      </c>
      <c r="B40" s="136" t="s">
        <v>259</v>
      </c>
      <c r="C40" s="163">
        <v>210</v>
      </c>
      <c r="D40" s="163" t="s">
        <v>122</v>
      </c>
      <c r="E40" s="163">
        <v>238</v>
      </c>
      <c r="F40" s="164">
        <f>ROUND($C40*E40,0)</f>
        <v>49980</v>
      </c>
      <c r="G40" s="196">
        <f t="shared" si="0"/>
        <v>19.04</v>
      </c>
      <c r="H40" s="197">
        <f t="shared" si="1"/>
        <v>9.52</v>
      </c>
      <c r="I40" s="169">
        <f t="shared" si="2"/>
        <v>161.84</v>
      </c>
      <c r="J40" s="198">
        <f t="shared" si="3"/>
        <v>47.6</v>
      </c>
      <c r="K40" s="173">
        <f t="shared" si="4"/>
        <v>238</v>
      </c>
      <c r="L40" s="199"/>
      <c r="M40" s="200">
        <f>ROUND(C40*1.03,2)</f>
        <v>216.3</v>
      </c>
    </row>
    <row r="41" spans="1:13" x14ac:dyDescent="0.25">
      <c r="A41" s="170"/>
      <c r="B41" s="136"/>
      <c r="C41" s="163"/>
      <c r="D41" s="163"/>
      <c r="E41" s="163"/>
      <c r="F41" s="201"/>
      <c r="G41" s="196">
        <f t="shared" si="0"/>
        <v>0</v>
      </c>
      <c r="H41" s="197">
        <f t="shared" si="1"/>
        <v>0</v>
      </c>
      <c r="I41" s="169">
        <f t="shared" si="2"/>
        <v>0</v>
      </c>
      <c r="J41" s="198">
        <f t="shared" si="3"/>
        <v>0</v>
      </c>
      <c r="K41" s="173">
        <f t="shared" si="4"/>
        <v>0</v>
      </c>
      <c r="L41" s="199"/>
      <c r="M41" s="200"/>
    </row>
    <row r="42" spans="1:13" ht="15" x14ac:dyDescent="0.25">
      <c r="A42" s="207"/>
      <c r="B42" s="208"/>
      <c r="C42" s="188"/>
      <c r="D42" s="188"/>
      <c r="E42" s="189"/>
      <c r="F42" s="190"/>
      <c r="G42" s="196">
        <f t="shared" si="0"/>
        <v>0</v>
      </c>
      <c r="H42" s="197">
        <f t="shared" si="1"/>
        <v>0</v>
      </c>
      <c r="I42" s="169">
        <f t="shared" si="2"/>
        <v>0</v>
      </c>
      <c r="J42" s="198">
        <f t="shared" si="3"/>
        <v>0</v>
      </c>
      <c r="K42" s="173">
        <f t="shared" si="4"/>
        <v>0</v>
      </c>
      <c r="L42" s="209"/>
      <c r="M42" s="192"/>
    </row>
    <row r="43" spans="1:13" ht="143.25" customHeight="1" x14ac:dyDescent="0.25">
      <c r="A43" s="162">
        <v>3.01</v>
      </c>
      <c r="B43" s="136" t="s">
        <v>260</v>
      </c>
      <c r="C43" s="163"/>
      <c r="D43" s="163"/>
      <c r="E43" s="163"/>
      <c r="F43" s="210"/>
      <c r="G43" s="196">
        <f t="shared" si="0"/>
        <v>0</v>
      </c>
      <c r="H43" s="197">
        <f t="shared" si="1"/>
        <v>0</v>
      </c>
      <c r="I43" s="169">
        <f t="shared" si="2"/>
        <v>0</v>
      </c>
      <c r="J43" s="198">
        <f t="shared" si="3"/>
        <v>0</v>
      </c>
      <c r="K43" s="173">
        <f t="shared" si="4"/>
        <v>0</v>
      </c>
      <c r="L43" s="168"/>
      <c r="M43" s="169"/>
    </row>
    <row r="44" spans="1:13" x14ac:dyDescent="0.25">
      <c r="A44" s="206" t="s">
        <v>4</v>
      </c>
      <c r="B44" s="136" t="s">
        <v>261</v>
      </c>
      <c r="C44" s="163">
        <v>6956</v>
      </c>
      <c r="D44" s="163" t="s">
        <v>104</v>
      </c>
      <c r="E44" s="163">
        <v>333</v>
      </c>
      <c r="F44" s="164">
        <f t="shared" ref="F44:F51" si="5">ROUND($C44*E44,0)</f>
        <v>2316348</v>
      </c>
      <c r="G44" s="196">
        <f t="shared" si="0"/>
        <v>26.64</v>
      </c>
      <c r="H44" s="197">
        <f t="shared" si="1"/>
        <v>13.32</v>
      </c>
      <c r="I44" s="169">
        <f t="shared" si="2"/>
        <v>226.44</v>
      </c>
      <c r="J44" s="198">
        <f t="shared" si="3"/>
        <v>66.599999999999994</v>
      </c>
      <c r="K44" s="173">
        <f t="shared" si="4"/>
        <v>333</v>
      </c>
      <c r="L44" s="199">
        <f>ROUND(C44*1.54/7/1.25,2)</f>
        <v>1224.26</v>
      </c>
      <c r="M44" s="169"/>
    </row>
    <row r="45" spans="1:13" x14ac:dyDescent="0.25">
      <c r="A45" s="206" t="s">
        <v>48</v>
      </c>
      <c r="B45" s="136" t="s">
        <v>262</v>
      </c>
      <c r="C45" s="163">
        <v>7181</v>
      </c>
      <c r="D45" s="163" t="s">
        <v>104</v>
      </c>
      <c r="E45" s="163">
        <v>333</v>
      </c>
      <c r="F45" s="164">
        <f t="shared" si="5"/>
        <v>2391273</v>
      </c>
      <c r="G45" s="196">
        <f t="shared" si="0"/>
        <v>26.64</v>
      </c>
      <c r="H45" s="197">
        <f t="shared" si="1"/>
        <v>13.32</v>
      </c>
      <c r="I45" s="169">
        <f t="shared" si="2"/>
        <v>226.44</v>
      </c>
      <c r="J45" s="198">
        <f t="shared" si="3"/>
        <v>66.599999999999994</v>
      </c>
      <c r="K45" s="173">
        <f t="shared" si="4"/>
        <v>333</v>
      </c>
      <c r="L45" s="199">
        <f t="shared" ref="L45:L53" si="6">ROUND(C45*1.54/7/1.25,2)</f>
        <v>1263.8599999999999</v>
      </c>
      <c r="M45" s="169"/>
    </row>
    <row r="46" spans="1:13" x14ac:dyDescent="0.25">
      <c r="A46" s="206" t="s">
        <v>51</v>
      </c>
      <c r="B46" s="136" t="s">
        <v>263</v>
      </c>
      <c r="C46" s="163">
        <v>6647</v>
      </c>
      <c r="D46" s="163" t="s">
        <v>104</v>
      </c>
      <c r="E46" s="163">
        <v>333</v>
      </c>
      <c r="F46" s="164">
        <f t="shared" si="5"/>
        <v>2213451</v>
      </c>
      <c r="G46" s="196">
        <f t="shared" si="0"/>
        <v>26.64</v>
      </c>
      <c r="H46" s="197">
        <f t="shared" si="1"/>
        <v>13.32</v>
      </c>
      <c r="I46" s="169">
        <f t="shared" si="2"/>
        <v>226.44</v>
      </c>
      <c r="J46" s="198">
        <f t="shared" si="3"/>
        <v>66.599999999999994</v>
      </c>
      <c r="K46" s="173">
        <f t="shared" si="4"/>
        <v>333</v>
      </c>
      <c r="L46" s="199">
        <f t="shared" si="6"/>
        <v>1169.8699999999999</v>
      </c>
      <c r="M46" s="169"/>
    </row>
    <row r="47" spans="1:13" x14ac:dyDescent="0.25">
      <c r="A47" s="206" t="s">
        <v>52</v>
      </c>
      <c r="B47" s="136" t="s">
        <v>264</v>
      </c>
      <c r="C47" s="163">
        <v>10317</v>
      </c>
      <c r="D47" s="163" t="s">
        <v>104</v>
      </c>
      <c r="E47" s="163">
        <v>292</v>
      </c>
      <c r="F47" s="164">
        <f t="shared" si="5"/>
        <v>3012564</v>
      </c>
      <c r="G47" s="196">
        <f t="shared" si="0"/>
        <v>23.36</v>
      </c>
      <c r="H47" s="197">
        <f t="shared" si="1"/>
        <v>11.68</v>
      </c>
      <c r="I47" s="169">
        <f t="shared" si="2"/>
        <v>198.56</v>
      </c>
      <c r="J47" s="198">
        <f t="shared" si="3"/>
        <v>58.4</v>
      </c>
      <c r="K47" s="173">
        <f t="shared" si="4"/>
        <v>292</v>
      </c>
      <c r="L47" s="199">
        <f t="shared" si="6"/>
        <v>1815.79</v>
      </c>
      <c r="M47" s="169"/>
    </row>
    <row r="48" spans="1:13" x14ac:dyDescent="0.25">
      <c r="A48" s="206" t="s">
        <v>58</v>
      </c>
      <c r="B48" s="136" t="s">
        <v>265</v>
      </c>
      <c r="C48" s="163">
        <v>10872</v>
      </c>
      <c r="D48" s="163" t="s">
        <v>104</v>
      </c>
      <c r="E48" s="163">
        <v>292</v>
      </c>
      <c r="F48" s="164">
        <f t="shared" si="5"/>
        <v>3174624</v>
      </c>
      <c r="G48" s="196">
        <f t="shared" si="0"/>
        <v>23.36</v>
      </c>
      <c r="H48" s="197">
        <f t="shared" si="1"/>
        <v>11.68</v>
      </c>
      <c r="I48" s="169">
        <f t="shared" si="2"/>
        <v>198.56</v>
      </c>
      <c r="J48" s="198">
        <f t="shared" si="3"/>
        <v>58.4</v>
      </c>
      <c r="K48" s="173">
        <f t="shared" si="4"/>
        <v>292</v>
      </c>
      <c r="L48" s="199">
        <f t="shared" si="6"/>
        <v>1913.47</v>
      </c>
      <c r="M48" s="169"/>
    </row>
    <row r="49" spans="1:13" x14ac:dyDescent="0.25">
      <c r="A49" s="206" t="s">
        <v>161</v>
      </c>
      <c r="B49" s="136" t="s">
        <v>266</v>
      </c>
      <c r="C49" s="163">
        <v>9910</v>
      </c>
      <c r="D49" s="163" t="s">
        <v>104</v>
      </c>
      <c r="E49" s="163">
        <v>292</v>
      </c>
      <c r="F49" s="164">
        <f t="shared" si="5"/>
        <v>2893720</v>
      </c>
      <c r="G49" s="196">
        <f t="shared" si="0"/>
        <v>23.36</v>
      </c>
      <c r="H49" s="197">
        <f t="shared" si="1"/>
        <v>11.68</v>
      </c>
      <c r="I49" s="169">
        <f t="shared" si="2"/>
        <v>198.56</v>
      </c>
      <c r="J49" s="198">
        <f t="shared" si="3"/>
        <v>58.4</v>
      </c>
      <c r="K49" s="173">
        <f t="shared" si="4"/>
        <v>292</v>
      </c>
      <c r="L49" s="199">
        <f t="shared" si="6"/>
        <v>1744.16</v>
      </c>
      <c r="M49" s="169"/>
    </row>
    <row r="50" spans="1:13" x14ac:dyDescent="0.25">
      <c r="A50" s="206" t="s">
        <v>163</v>
      </c>
      <c r="B50" s="136" t="s">
        <v>267</v>
      </c>
      <c r="C50" s="163">
        <v>1071</v>
      </c>
      <c r="D50" s="163" t="s">
        <v>104</v>
      </c>
      <c r="E50" s="163">
        <v>380</v>
      </c>
      <c r="F50" s="164">
        <f t="shared" si="5"/>
        <v>406980</v>
      </c>
      <c r="G50" s="196">
        <f t="shared" si="0"/>
        <v>30.4</v>
      </c>
      <c r="H50" s="197">
        <f t="shared" si="1"/>
        <v>15.2</v>
      </c>
      <c r="I50" s="169">
        <f t="shared" si="2"/>
        <v>258.39999999999998</v>
      </c>
      <c r="J50" s="198">
        <f t="shared" si="3"/>
        <v>76</v>
      </c>
      <c r="K50" s="173">
        <f t="shared" si="4"/>
        <v>380</v>
      </c>
      <c r="L50" s="199">
        <f t="shared" si="6"/>
        <v>188.5</v>
      </c>
      <c r="M50" s="169"/>
    </row>
    <row r="51" spans="1:13" x14ac:dyDescent="0.25">
      <c r="A51" s="206" t="s">
        <v>268</v>
      </c>
      <c r="B51" s="136" t="s">
        <v>269</v>
      </c>
      <c r="C51" s="163">
        <v>1612</v>
      </c>
      <c r="D51" s="163" t="s">
        <v>104</v>
      </c>
      <c r="E51" s="163">
        <v>274</v>
      </c>
      <c r="F51" s="164">
        <f t="shared" si="5"/>
        <v>441688</v>
      </c>
      <c r="G51" s="196">
        <f t="shared" si="0"/>
        <v>21.92</v>
      </c>
      <c r="H51" s="197">
        <f t="shared" si="1"/>
        <v>10.96</v>
      </c>
      <c r="I51" s="169">
        <f t="shared" si="2"/>
        <v>186.32</v>
      </c>
      <c r="J51" s="198">
        <f t="shared" si="3"/>
        <v>54.8</v>
      </c>
      <c r="K51" s="173">
        <f t="shared" si="4"/>
        <v>274</v>
      </c>
      <c r="L51" s="199">
        <f t="shared" si="6"/>
        <v>283.70999999999998</v>
      </c>
      <c r="M51" s="169"/>
    </row>
    <row r="52" spans="1:13" ht="7.5" customHeight="1" x14ac:dyDescent="0.25">
      <c r="A52" s="175"/>
      <c r="B52" s="176"/>
      <c r="C52" s="177"/>
      <c r="D52" s="177"/>
      <c r="E52" s="177"/>
      <c r="F52" s="211"/>
      <c r="G52" s="196">
        <f t="shared" si="0"/>
        <v>0</v>
      </c>
      <c r="H52" s="197">
        <f t="shared" si="1"/>
        <v>0</v>
      </c>
      <c r="I52" s="169">
        <f t="shared" si="2"/>
        <v>0</v>
      </c>
      <c r="J52" s="198">
        <f t="shared" si="3"/>
        <v>0</v>
      </c>
      <c r="K52" s="173">
        <f t="shared" si="4"/>
        <v>0</v>
      </c>
      <c r="L52" s="185"/>
      <c r="M52" s="186"/>
    </row>
    <row r="53" spans="1:13" ht="114" customHeight="1" x14ac:dyDescent="0.25">
      <c r="A53" s="180">
        <v>3.0199999999999996</v>
      </c>
      <c r="B53" s="181" t="s">
        <v>270</v>
      </c>
      <c r="C53" s="182">
        <v>3065</v>
      </c>
      <c r="D53" s="182" t="s">
        <v>104</v>
      </c>
      <c r="E53" s="182">
        <v>375</v>
      </c>
      <c r="F53" s="183">
        <f>ROUND($C53*E53,0)</f>
        <v>1149375</v>
      </c>
      <c r="G53" s="196">
        <f t="shared" si="0"/>
        <v>30</v>
      </c>
      <c r="H53" s="197">
        <f t="shared" si="1"/>
        <v>15</v>
      </c>
      <c r="I53" s="169">
        <f t="shared" si="2"/>
        <v>255</v>
      </c>
      <c r="J53" s="198">
        <f t="shared" si="3"/>
        <v>75</v>
      </c>
      <c r="K53" s="173">
        <f t="shared" si="4"/>
        <v>375</v>
      </c>
      <c r="L53" s="199">
        <f t="shared" si="6"/>
        <v>539.44000000000005</v>
      </c>
      <c r="M53" s="166"/>
    </row>
    <row r="54" spans="1:13" x14ac:dyDescent="0.25">
      <c r="A54" s="206"/>
      <c r="B54" s="136"/>
      <c r="C54" s="163"/>
      <c r="D54" s="163"/>
      <c r="E54" s="163"/>
      <c r="F54" s="210"/>
      <c r="G54" s="196">
        <f t="shared" si="0"/>
        <v>0</v>
      </c>
      <c r="H54" s="197">
        <f t="shared" si="1"/>
        <v>0</v>
      </c>
      <c r="I54" s="169">
        <f t="shared" si="2"/>
        <v>0</v>
      </c>
      <c r="J54" s="198">
        <f t="shared" si="3"/>
        <v>0</v>
      </c>
      <c r="K54" s="173">
        <f t="shared" si="4"/>
        <v>0</v>
      </c>
      <c r="L54" s="168"/>
      <c r="M54" s="169"/>
    </row>
    <row r="55" spans="1:13" ht="144.75" customHeight="1" x14ac:dyDescent="0.25">
      <c r="A55" s="170">
        <v>3.0299999999999994</v>
      </c>
      <c r="B55" s="136" t="s">
        <v>271</v>
      </c>
      <c r="C55" s="163"/>
      <c r="D55" s="163"/>
      <c r="E55" s="163"/>
      <c r="F55" s="210"/>
      <c r="G55" s="196">
        <f t="shared" si="0"/>
        <v>0</v>
      </c>
      <c r="H55" s="197">
        <f t="shared" si="1"/>
        <v>0</v>
      </c>
      <c r="I55" s="169">
        <f t="shared" si="2"/>
        <v>0</v>
      </c>
      <c r="J55" s="198">
        <f t="shared" si="3"/>
        <v>0</v>
      </c>
      <c r="K55" s="173">
        <f t="shared" si="4"/>
        <v>0</v>
      </c>
      <c r="L55" s="168"/>
      <c r="M55" s="169"/>
    </row>
    <row r="56" spans="1:13" x14ac:dyDescent="0.25">
      <c r="A56" s="206" t="s">
        <v>4</v>
      </c>
      <c r="B56" s="136" t="s">
        <v>272</v>
      </c>
      <c r="C56" s="163">
        <v>11977</v>
      </c>
      <c r="D56" s="163" t="s">
        <v>104</v>
      </c>
      <c r="E56" s="163">
        <v>363</v>
      </c>
      <c r="F56" s="164">
        <f>ROUND($C56*E56,0)</f>
        <v>4347651</v>
      </c>
      <c r="G56" s="196">
        <f t="shared" si="0"/>
        <v>29.04</v>
      </c>
      <c r="H56" s="197">
        <f t="shared" si="1"/>
        <v>14.52</v>
      </c>
      <c r="I56" s="169">
        <f t="shared" si="2"/>
        <v>246.84</v>
      </c>
      <c r="J56" s="198">
        <f t="shared" si="3"/>
        <v>72.599999999999994</v>
      </c>
      <c r="K56" s="173">
        <f t="shared" si="4"/>
        <v>363</v>
      </c>
      <c r="L56" s="199">
        <f>ROUND(C56*1.54/7/1.25,2)</f>
        <v>2107.9499999999998</v>
      </c>
      <c r="M56" s="169"/>
    </row>
    <row r="57" spans="1:13" x14ac:dyDescent="0.25">
      <c r="A57" s="206" t="s">
        <v>48</v>
      </c>
      <c r="B57" s="136" t="s">
        <v>273</v>
      </c>
      <c r="C57" s="163">
        <v>3351</v>
      </c>
      <c r="D57" s="163" t="s">
        <v>104</v>
      </c>
      <c r="E57" s="163">
        <v>274</v>
      </c>
      <c r="F57" s="164">
        <f>ROUND($C57*E57,0)</f>
        <v>918174</v>
      </c>
      <c r="G57" s="196">
        <f t="shared" si="0"/>
        <v>21.92</v>
      </c>
      <c r="H57" s="197">
        <f t="shared" si="1"/>
        <v>10.96</v>
      </c>
      <c r="I57" s="169">
        <f t="shared" si="2"/>
        <v>186.32</v>
      </c>
      <c r="J57" s="198">
        <f t="shared" si="3"/>
        <v>54.8</v>
      </c>
      <c r="K57" s="173">
        <f t="shared" si="4"/>
        <v>274</v>
      </c>
      <c r="L57" s="199">
        <f>ROUND(C57*1.54/7/1.25,2)</f>
        <v>589.78</v>
      </c>
      <c r="M57" s="169"/>
    </row>
    <row r="58" spans="1:13" x14ac:dyDescent="0.25">
      <c r="A58" s="206" t="s">
        <v>51</v>
      </c>
      <c r="B58" s="136" t="s">
        <v>252</v>
      </c>
      <c r="C58" s="163">
        <v>1786</v>
      </c>
      <c r="D58" s="163" t="s">
        <v>104</v>
      </c>
      <c r="E58" s="163">
        <v>274</v>
      </c>
      <c r="F58" s="164">
        <f>ROUND($C58*E58,0)</f>
        <v>489364</v>
      </c>
      <c r="G58" s="196">
        <f t="shared" si="0"/>
        <v>21.92</v>
      </c>
      <c r="H58" s="197">
        <f t="shared" si="1"/>
        <v>10.96</v>
      </c>
      <c r="I58" s="169">
        <f t="shared" si="2"/>
        <v>186.32</v>
      </c>
      <c r="J58" s="198">
        <f t="shared" si="3"/>
        <v>54.8</v>
      </c>
      <c r="K58" s="173">
        <f t="shared" si="4"/>
        <v>274</v>
      </c>
      <c r="L58" s="199">
        <f>ROUND(C58*1.54/7/1.25,2)</f>
        <v>314.33999999999997</v>
      </c>
      <c r="M58" s="169"/>
    </row>
    <row r="59" spans="1:13" x14ac:dyDescent="0.25">
      <c r="A59" s="206" t="s">
        <v>52</v>
      </c>
      <c r="B59" s="136" t="s">
        <v>274</v>
      </c>
      <c r="C59" s="163">
        <v>916</v>
      </c>
      <c r="D59" s="163" t="s">
        <v>104</v>
      </c>
      <c r="E59" s="163">
        <v>280</v>
      </c>
      <c r="F59" s="164">
        <f>ROUND($C59*E59,0)</f>
        <v>256480</v>
      </c>
      <c r="G59" s="196">
        <f t="shared" si="0"/>
        <v>22.4</v>
      </c>
      <c r="H59" s="197">
        <f t="shared" si="1"/>
        <v>11.2</v>
      </c>
      <c r="I59" s="169">
        <f t="shared" si="2"/>
        <v>190.4</v>
      </c>
      <c r="J59" s="198">
        <f t="shared" si="3"/>
        <v>56</v>
      </c>
      <c r="K59" s="173">
        <f t="shared" si="4"/>
        <v>280</v>
      </c>
      <c r="L59" s="199">
        <f>ROUND(C59*1.54/7/1.25,2)</f>
        <v>161.22</v>
      </c>
      <c r="M59" s="169"/>
    </row>
    <row r="60" spans="1:13" x14ac:dyDescent="0.25">
      <c r="A60" s="206"/>
      <c r="B60" s="136"/>
      <c r="C60" s="163"/>
      <c r="D60" s="163"/>
      <c r="E60" s="163"/>
      <c r="F60" s="210"/>
      <c r="G60" s="196">
        <f t="shared" si="0"/>
        <v>0</v>
      </c>
      <c r="H60" s="197">
        <f t="shared" si="1"/>
        <v>0</v>
      </c>
      <c r="I60" s="169">
        <f t="shared" si="2"/>
        <v>0</v>
      </c>
      <c r="J60" s="198">
        <f t="shared" si="3"/>
        <v>0</v>
      </c>
      <c r="K60" s="173">
        <f t="shared" si="4"/>
        <v>0</v>
      </c>
      <c r="L60" s="168"/>
      <c r="M60" s="169"/>
    </row>
    <row r="61" spans="1:13" ht="85.5" customHeight="1" x14ac:dyDescent="0.25">
      <c r="A61" s="170">
        <v>3.0399999999999991</v>
      </c>
      <c r="B61" s="136" t="s">
        <v>254</v>
      </c>
      <c r="C61" s="163">
        <v>239591</v>
      </c>
      <c r="D61" s="163" t="s">
        <v>122</v>
      </c>
      <c r="E61" s="163">
        <v>116.65</v>
      </c>
      <c r="F61" s="164">
        <f>ROUND($C61*E61,0)</f>
        <v>27948290</v>
      </c>
      <c r="G61" s="196">
        <f t="shared" si="0"/>
        <v>9.33</v>
      </c>
      <c r="H61" s="197">
        <f t="shared" si="1"/>
        <v>4.67</v>
      </c>
      <c r="I61" s="169">
        <f t="shared" si="2"/>
        <v>79.319999999999993</v>
      </c>
      <c r="J61" s="198">
        <f t="shared" si="3"/>
        <v>23.33</v>
      </c>
      <c r="K61" s="173">
        <f t="shared" si="4"/>
        <v>116.64999999999999</v>
      </c>
      <c r="L61" s="168"/>
      <c r="M61" s="200">
        <f>ROUND(C61*1.03,2)</f>
        <v>246778.73</v>
      </c>
    </row>
    <row r="62" spans="1:13" x14ac:dyDescent="0.25">
      <c r="A62" s="206"/>
      <c r="B62" s="136"/>
      <c r="C62" s="163"/>
      <c r="D62" s="163"/>
      <c r="E62" s="163"/>
      <c r="F62" s="210"/>
      <c r="G62" s="196">
        <f t="shared" si="0"/>
        <v>0</v>
      </c>
      <c r="H62" s="197">
        <f t="shared" si="1"/>
        <v>0</v>
      </c>
      <c r="I62" s="169">
        <f t="shared" si="2"/>
        <v>0</v>
      </c>
      <c r="J62" s="198">
        <f t="shared" si="3"/>
        <v>0</v>
      </c>
      <c r="K62" s="173">
        <f t="shared" si="4"/>
        <v>0</v>
      </c>
      <c r="L62" s="168"/>
      <c r="M62" s="169"/>
    </row>
    <row r="63" spans="1:13" ht="9.9499999999999993" customHeight="1" x14ac:dyDescent="0.25">
      <c r="A63" s="187"/>
      <c r="B63" s="208"/>
      <c r="C63" s="188"/>
      <c r="D63" s="188"/>
      <c r="E63" s="189"/>
      <c r="F63" s="190"/>
      <c r="G63" s="196">
        <f t="shared" si="0"/>
        <v>0</v>
      </c>
      <c r="H63" s="197">
        <f t="shared" si="1"/>
        <v>0</v>
      </c>
      <c r="I63" s="169">
        <f t="shared" si="2"/>
        <v>0</v>
      </c>
      <c r="J63" s="198">
        <f t="shared" si="3"/>
        <v>0</v>
      </c>
      <c r="K63" s="173">
        <f t="shared" si="4"/>
        <v>0</v>
      </c>
      <c r="L63" s="212"/>
      <c r="M63" s="188"/>
    </row>
    <row r="64" spans="1:13" ht="96" customHeight="1" x14ac:dyDescent="0.25">
      <c r="A64" s="162">
        <v>4.01</v>
      </c>
      <c r="B64" s="136" t="s">
        <v>275</v>
      </c>
      <c r="C64" s="163">
        <v>46734</v>
      </c>
      <c r="D64" s="163" t="s">
        <v>104</v>
      </c>
      <c r="E64" s="163">
        <v>208</v>
      </c>
      <c r="F64" s="164">
        <f>ROUND($C64*E64,0)</f>
        <v>9720672</v>
      </c>
      <c r="G64" s="196">
        <f t="shared" si="0"/>
        <v>16.64</v>
      </c>
      <c r="H64" s="197">
        <f t="shared" si="1"/>
        <v>8.32</v>
      </c>
      <c r="I64" s="169">
        <f t="shared" si="2"/>
        <v>141.44</v>
      </c>
      <c r="J64" s="198">
        <f t="shared" si="3"/>
        <v>41.6</v>
      </c>
      <c r="K64" s="173">
        <f t="shared" si="4"/>
        <v>208</v>
      </c>
      <c r="L64" s="199">
        <f>ROUND(C64*1.54/10/1.25,2)</f>
        <v>5757.63</v>
      </c>
      <c r="M64" s="163"/>
    </row>
    <row r="65" spans="1:17" x14ac:dyDescent="0.25">
      <c r="A65" s="206"/>
      <c r="B65" s="136"/>
      <c r="C65" s="163"/>
      <c r="D65" s="163"/>
      <c r="E65" s="163"/>
      <c r="F65" s="210"/>
      <c r="G65" s="196">
        <f t="shared" si="0"/>
        <v>0</v>
      </c>
      <c r="H65" s="197">
        <f t="shared" si="1"/>
        <v>0</v>
      </c>
      <c r="I65" s="169">
        <f t="shared" si="2"/>
        <v>0</v>
      </c>
      <c r="J65" s="198">
        <f t="shared" si="3"/>
        <v>0</v>
      </c>
      <c r="K65" s="173">
        <f t="shared" si="4"/>
        <v>0</v>
      </c>
      <c r="L65" s="168"/>
      <c r="M65" s="169"/>
    </row>
    <row r="66" spans="1:17" ht="15" customHeight="1" x14ac:dyDescent="0.25">
      <c r="A66" s="213"/>
      <c r="B66" s="214"/>
      <c r="C66" s="215"/>
      <c r="D66" s="215"/>
      <c r="E66" s="216"/>
      <c r="F66" s="217"/>
      <c r="G66" s="196">
        <f t="shared" si="0"/>
        <v>0</v>
      </c>
      <c r="H66" s="197">
        <f t="shared" si="1"/>
        <v>0</v>
      </c>
      <c r="I66" s="169">
        <f t="shared" si="2"/>
        <v>0</v>
      </c>
      <c r="J66" s="198">
        <f t="shared" si="3"/>
        <v>0</v>
      </c>
      <c r="K66" s="173">
        <f t="shared" si="4"/>
        <v>0</v>
      </c>
      <c r="L66" s="218"/>
      <c r="M66" s="215"/>
    </row>
    <row r="67" spans="1:17" ht="128.25" x14ac:dyDescent="0.25">
      <c r="A67" s="162">
        <v>5.01</v>
      </c>
      <c r="B67" s="136" t="s">
        <v>276</v>
      </c>
      <c r="C67" s="163">
        <v>356</v>
      </c>
      <c r="D67" s="163" t="s">
        <v>85</v>
      </c>
      <c r="E67" s="163">
        <v>1388</v>
      </c>
      <c r="F67" s="164">
        <f>ROUND($C67*E67,0)</f>
        <v>494128</v>
      </c>
      <c r="G67" s="196">
        <f t="shared" si="0"/>
        <v>111.04</v>
      </c>
      <c r="H67" s="197">
        <f t="shared" si="1"/>
        <v>55.52</v>
      </c>
      <c r="I67" s="169">
        <f t="shared" si="2"/>
        <v>943.84</v>
      </c>
      <c r="J67" s="198">
        <f t="shared" si="3"/>
        <v>277.60000000000002</v>
      </c>
      <c r="K67" s="173">
        <f t="shared" si="4"/>
        <v>1388</v>
      </c>
      <c r="L67" s="168"/>
      <c r="M67" s="200">
        <f>ROUND(C67*3,2)</f>
        <v>1068</v>
      </c>
    </row>
    <row r="68" spans="1:17" ht="15" x14ac:dyDescent="0.25">
      <c r="A68" s="187"/>
      <c r="B68" s="208"/>
      <c r="C68" s="188"/>
      <c r="D68" s="188"/>
      <c r="E68" s="189"/>
      <c r="F68" s="190"/>
      <c r="G68" s="196">
        <f t="shared" si="0"/>
        <v>0</v>
      </c>
      <c r="H68" s="197">
        <f t="shared" si="1"/>
        <v>0</v>
      </c>
      <c r="I68" s="169">
        <f t="shared" si="2"/>
        <v>0</v>
      </c>
      <c r="J68" s="198">
        <f t="shared" si="3"/>
        <v>0</v>
      </c>
      <c r="K68" s="173">
        <f t="shared" si="4"/>
        <v>0</v>
      </c>
      <c r="L68" s="212"/>
      <c r="M68" s="188"/>
    </row>
    <row r="69" spans="1:17" ht="102.75" customHeight="1" x14ac:dyDescent="0.25">
      <c r="A69" s="162">
        <v>5.0199999999999996</v>
      </c>
      <c r="B69" s="136" t="s">
        <v>277</v>
      </c>
      <c r="C69" s="163">
        <v>24</v>
      </c>
      <c r="D69" s="163" t="s">
        <v>85</v>
      </c>
      <c r="E69" s="163">
        <v>694</v>
      </c>
      <c r="F69" s="164">
        <f>ROUND($C69*E69,0)</f>
        <v>16656</v>
      </c>
      <c r="G69" s="196">
        <f t="shared" si="0"/>
        <v>55.52</v>
      </c>
      <c r="H69" s="197">
        <f t="shared" si="1"/>
        <v>27.76</v>
      </c>
      <c r="I69" s="169">
        <f t="shared" si="2"/>
        <v>471.92</v>
      </c>
      <c r="J69" s="198">
        <f t="shared" si="3"/>
        <v>138.80000000000001</v>
      </c>
      <c r="K69" s="173">
        <f t="shared" si="4"/>
        <v>694</v>
      </c>
      <c r="L69" s="168"/>
      <c r="M69" s="200">
        <f>ROUND(C69*0.5,2)</f>
        <v>12</v>
      </c>
    </row>
    <row r="70" spans="1:17" ht="15" x14ac:dyDescent="0.25">
      <c r="A70" s="219"/>
      <c r="B70" s="220"/>
      <c r="C70" s="221"/>
      <c r="D70" s="221"/>
      <c r="E70" s="222"/>
      <c r="F70" s="223"/>
      <c r="G70" s="196">
        <f t="shared" si="0"/>
        <v>0</v>
      </c>
      <c r="H70" s="197">
        <f t="shared" si="1"/>
        <v>0</v>
      </c>
      <c r="I70" s="169">
        <f t="shared" si="2"/>
        <v>0</v>
      </c>
      <c r="J70" s="198">
        <f t="shared" si="3"/>
        <v>0</v>
      </c>
      <c r="K70" s="173">
        <f t="shared" si="4"/>
        <v>0</v>
      </c>
      <c r="L70" s="224"/>
      <c r="M70" s="221"/>
    </row>
    <row r="71" spans="1:17" ht="161.25" customHeight="1" x14ac:dyDescent="0.25">
      <c r="A71" s="225">
        <v>5.0299999999999994</v>
      </c>
      <c r="B71" s="181" t="s">
        <v>278</v>
      </c>
      <c r="C71" s="182">
        <v>5653</v>
      </c>
      <c r="D71" s="182" t="s">
        <v>279</v>
      </c>
      <c r="E71" s="182">
        <v>183.31</v>
      </c>
      <c r="F71" s="183">
        <f>ROUND($C71*E71,0)</f>
        <v>1036251</v>
      </c>
      <c r="G71" s="196">
        <f t="shared" si="0"/>
        <v>14.66</v>
      </c>
      <c r="H71" s="197">
        <f t="shared" si="1"/>
        <v>7.33</v>
      </c>
      <c r="I71" s="169">
        <f t="shared" si="2"/>
        <v>124.65</v>
      </c>
      <c r="J71" s="198">
        <f t="shared" si="3"/>
        <v>36.659999999999997</v>
      </c>
      <c r="K71" s="173">
        <f t="shared" si="4"/>
        <v>183.3</v>
      </c>
      <c r="L71" s="184"/>
      <c r="M71" s="166">
        <f>ROUND(C71*1.03,0)</f>
        <v>5823</v>
      </c>
    </row>
    <row r="72" spans="1:17" x14ac:dyDescent="0.25">
      <c r="A72" s="162"/>
      <c r="B72" s="136"/>
      <c r="C72" s="163"/>
      <c r="D72" s="163"/>
      <c r="E72" s="163"/>
      <c r="F72" s="210"/>
      <c r="G72" s="196">
        <f t="shared" si="0"/>
        <v>0</v>
      </c>
      <c r="H72" s="197">
        <f t="shared" si="1"/>
        <v>0</v>
      </c>
      <c r="I72" s="169">
        <f t="shared" si="2"/>
        <v>0</v>
      </c>
      <c r="J72" s="198">
        <f t="shared" si="3"/>
        <v>0</v>
      </c>
      <c r="K72" s="173">
        <f t="shared" si="4"/>
        <v>0</v>
      </c>
      <c r="L72" s="168"/>
      <c r="M72" s="169"/>
    </row>
    <row r="73" spans="1:17" ht="144.75" customHeight="1" x14ac:dyDescent="0.25">
      <c r="A73" s="162">
        <v>5.0399999999999991</v>
      </c>
      <c r="B73" s="136" t="s">
        <v>280</v>
      </c>
      <c r="C73" s="163">
        <v>539</v>
      </c>
      <c r="D73" s="163" t="s">
        <v>10</v>
      </c>
      <c r="E73" s="226">
        <v>150</v>
      </c>
      <c r="F73" s="164">
        <f>ROUND($C73*E73,0)</f>
        <v>80850</v>
      </c>
      <c r="G73" s="196">
        <f t="shared" si="0"/>
        <v>12</v>
      </c>
      <c r="H73" s="197">
        <f t="shared" si="1"/>
        <v>6</v>
      </c>
      <c r="I73" s="169">
        <f t="shared" si="2"/>
        <v>102</v>
      </c>
      <c r="J73" s="198">
        <f t="shared" si="3"/>
        <v>30</v>
      </c>
      <c r="K73" s="173">
        <f t="shared" si="4"/>
        <v>150</v>
      </c>
      <c r="L73" s="227"/>
      <c r="M73" s="166">
        <f>ROUND(C73*3*1.03,0)</f>
        <v>1666</v>
      </c>
    </row>
    <row r="74" spans="1:17" x14ac:dyDescent="0.25">
      <c r="A74" s="206"/>
      <c r="B74" s="136"/>
      <c r="C74" s="163"/>
      <c r="D74" s="163"/>
      <c r="E74" s="163"/>
      <c r="F74" s="210"/>
      <c r="G74" s="196">
        <f t="shared" si="0"/>
        <v>0</v>
      </c>
      <c r="H74" s="197">
        <f t="shared" si="1"/>
        <v>0</v>
      </c>
      <c r="I74" s="169">
        <f t="shared" si="2"/>
        <v>0</v>
      </c>
      <c r="J74" s="198">
        <f t="shared" si="3"/>
        <v>0</v>
      </c>
      <c r="K74" s="173">
        <f t="shared" si="4"/>
        <v>0</v>
      </c>
      <c r="L74" s="168"/>
      <c r="M74" s="169"/>
    </row>
    <row r="75" spans="1:17" ht="15" x14ac:dyDescent="0.25">
      <c r="A75" s="213"/>
      <c r="B75" s="228" t="s">
        <v>281</v>
      </c>
      <c r="C75" s="215"/>
      <c r="D75" s="215"/>
      <c r="E75" s="216"/>
      <c r="F75" s="217"/>
      <c r="G75" s="196">
        <f t="shared" si="0"/>
        <v>0</v>
      </c>
      <c r="H75" s="197">
        <f t="shared" si="1"/>
        <v>0</v>
      </c>
      <c r="I75" s="169">
        <f t="shared" si="2"/>
        <v>0</v>
      </c>
      <c r="J75" s="198">
        <f t="shared" si="3"/>
        <v>0</v>
      </c>
      <c r="K75" s="173">
        <f t="shared" si="4"/>
        <v>0</v>
      </c>
      <c r="L75" s="218"/>
      <c r="M75" s="215"/>
    </row>
    <row r="76" spans="1:17" ht="128.25" customHeight="1" x14ac:dyDescent="0.25">
      <c r="A76" s="162">
        <v>6.01</v>
      </c>
      <c r="B76" s="136" t="s">
        <v>282</v>
      </c>
      <c r="C76" s="163">
        <v>272134</v>
      </c>
      <c r="D76" s="163" t="s">
        <v>105</v>
      </c>
      <c r="E76" s="163">
        <v>32</v>
      </c>
      <c r="F76" s="210">
        <f>ROUND($C76*E76,0)</f>
        <v>8708288</v>
      </c>
      <c r="G76" s="196">
        <f t="shared" si="0"/>
        <v>2.56</v>
      </c>
      <c r="H76" s="197">
        <f t="shared" si="1"/>
        <v>1.28</v>
      </c>
      <c r="I76" s="169">
        <f t="shared" si="2"/>
        <v>21.76</v>
      </c>
      <c r="J76" s="198">
        <f t="shared" si="3"/>
        <v>6.4</v>
      </c>
      <c r="K76" s="173">
        <f t="shared" si="4"/>
        <v>32</v>
      </c>
      <c r="L76" s="199">
        <f>ROUND(C76*1.34/100,2)</f>
        <v>3646.6</v>
      </c>
      <c r="M76" s="163"/>
    </row>
    <row r="77" spans="1:17" ht="15" x14ac:dyDescent="0.25">
      <c r="A77" s="187"/>
      <c r="B77" s="229"/>
      <c r="C77" s="188"/>
      <c r="D77" s="188"/>
      <c r="E77" s="189"/>
      <c r="F77" s="190"/>
      <c r="G77" s="196">
        <f t="shared" si="0"/>
        <v>0</v>
      </c>
      <c r="H77" s="197">
        <f t="shared" si="1"/>
        <v>0</v>
      </c>
      <c r="I77" s="169">
        <f t="shared" si="2"/>
        <v>0</v>
      </c>
      <c r="J77" s="198">
        <f t="shared" si="3"/>
        <v>0</v>
      </c>
      <c r="K77" s="173">
        <f t="shared" si="4"/>
        <v>0</v>
      </c>
      <c r="L77" s="212"/>
      <c r="M77" s="188"/>
    </row>
    <row r="78" spans="1:17" ht="131.25" customHeight="1" x14ac:dyDescent="0.25">
      <c r="A78" s="162">
        <v>6.02</v>
      </c>
      <c r="B78" s="136" t="s">
        <v>283</v>
      </c>
      <c r="C78" s="163">
        <v>40501</v>
      </c>
      <c r="D78" s="163" t="s">
        <v>105</v>
      </c>
      <c r="E78" s="163">
        <v>38</v>
      </c>
      <c r="F78" s="210">
        <f>ROUND($C78*E78,0)</f>
        <v>1539038</v>
      </c>
      <c r="G78" s="196">
        <f t="shared" ref="G78:G141" si="7">IFERROR((ROUND(E78/1.25*10%,2)),0)</f>
        <v>3.04</v>
      </c>
      <c r="H78" s="197">
        <f t="shared" ref="H78:H141" si="8">IFERROR((ROUND(E78/1.25*5%,2)),0)</f>
        <v>1.52</v>
      </c>
      <c r="I78" s="169">
        <f t="shared" ref="I78:I141" si="9">IFERROR((ROUND(E78/1.25*85%,2)),0)</f>
        <v>25.84</v>
      </c>
      <c r="J78" s="198">
        <f t="shared" ref="J78:J141" si="10">IFERROR((ROUND(E78-(E78/1.25),2)),0)</f>
        <v>7.6</v>
      </c>
      <c r="K78" s="173">
        <f t="shared" ref="K78:K141" si="11">SUM(G78:J78)</f>
        <v>38</v>
      </c>
      <c r="L78" s="199">
        <f>ROUND(C78*2.02/100,2)</f>
        <v>818.12</v>
      </c>
      <c r="M78" s="163"/>
    </row>
    <row r="79" spans="1:17" ht="15" x14ac:dyDescent="0.25">
      <c r="A79" s="219"/>
      <c r="B79" s="230"/>
      <c r="C79" s="221"/>
      <c r="D79" s="221"/>
      <c r="E79" s="222"/>
      <c r="F79" s="223"/>
      <c r="G79" s="196">
        <f t="shared" si="7"/>
        <v>0</v>
      </c>
      <c r="H79" s="197">
        <f t="shared" si="8"/>
        <v>0</v>
      </c>
      <c r="I79" s="169">
        <f t="shared" si="9"/>
        <v>0</v>
      </c>
      <c r="J79" s="198">
        <f t="shared" si="10"/>
        <v>0</v>
      </c>
      <c r="K79" s="173">
        <f t="shared" si="11"/>
        <v>0</v>
      </c>
      <c r="L79" s="224"/>
      <c r="M79" s="221"/>
    </row>
    <row r="80" spans="1:17" ht="144" customHeight="1" x14ac:dyDescent="0.25">
      <c r="A80" s="225">
        <v>6.0299999999999994</v>
      </c>
      <c r="B80" s="181" t="s">
        <v>284</v>
      </c>
      <c r="C80" s="182">
        <v>153</v>
      </c>
      <c r="D80" s="182" t="s">
        <v>105</v>
      </c>
      <c r="E80" s="182">
        <v>150</v>
      </c>
      <c r="F80" s="231">
        <f>ROUND($C80*E80,0)</f>
        <v>22950</v>
      </c>
      <c r="G80" s="196">
        <f t="shared" si="7"/>
        <v>12</v>
      </c>
      <c r="H80" s="197">
        <f t="shared" si="8"/>
        <v>6</v>
      </c>
      <c r="I80" s="169">
        <f t="shared" si="9"/>
        <v>102</v>
      </c>
      <c r="J80" s="198">
        <f t="shared" si="10"/>
        <v>30</v>
      </c>
      <c r="K80" s="173">
        <f t="shared" si="11"/>
        <v>150</v>
      </c>
      <c r="L80" s="232">
        <f>ROUND(C80*2.02/100,2)</f>
        <v>3.09</v>
      </c>
      <c r="M80" s="182"/>
      <c r="O80" s="153">
        <v>0.2</v>
      </c>
      <c r="P80" s="153">
        <f>O80/10.76</f>
        <v>1.858736059479554E-2</v>
      </c>
      <c r="Q80" s="153">
        <f>P80*100</f>
        <v>1.8587360594795539</v>
      </c>
    </row>
    <row r="81" spans="1:13" ht="9.9499999999999993" customHeight="1" x14ac:dyDescent="0.25">
      <c r="A81" s="187"/>
      <c r="B81" s="229"/>
      <c r="C81" s="188"/>
      <c r="D81" s="188"/>
      <c r="E81" s="189"/>
      <c r="F81" s="190"/>
      <c r="G81" s="196">
        <f t="shared" si="7"/>
        <v>0</v>
      </c>
      <c r="H81" s="197">
        <f t="shared" si="8"/>
        <v>0</v>
      </c>
      <c r="I81" s="169">
        <f t="shared" si="9"/>
        <v>0</v>
      </c>
      <c r="J81" s="198">
        <f t="shared" si="10"/>
        <v>0</v>
      </c>
      <c r="K81" s="173">
        <f t="shared" si="11"/>
        <v>0</v>
      </c>
      <c r="L81" s="212"/>
      <c r="M81" s="188"/>
    </row>
    <row r="82" spans="1:13" ht="99.75" x14ac:dyDescent="0.25">
      <c r="A82" s="162">
        <v>6.0399999999999991</v>
      </c>
      <c r="B82" s="136" t="s">
        <v>285</v>
      </c>
      <c r="C82" s="163"/>
      <c r="D82" s="163"/>
      <c r="E82" s="163"/>
      <c r="F82" s="210"/>
      <c r="G82" s="196">
        <f t="shared" si="7"/>
        <v>0</v>
      </c>
      <c r="H82" s="197">
        <f t="shared" si="8"/>
        <v>0</v>
      </c>
      <c r="I82" s="169">
        <f t="shared" si="9"/>
        <v>0</v>
      </c>
      <c r="J82" s="198">
        <f t="shared" si="10"/>
        <v>0</v>
      </c>
      <c r="K82" s="173">
        <f t="shared" si="11"/>
        <v>0</v>
      </c>
      <c r="L82" s="174"/>
      <c r="M82" s="163"/>
    </row>
    <row r="83" spans="1:13" x14ac:dyDescent="0.25">
      <c r="A83" s="233" t="s">
        <v>4</v>
      </c>
      <c r="B83" s="136" t="s">
        <v>286</v>
      </c>
      <c r="C83" s="163">
        <v>104</v>
      </c>
      <c r="D83" s="163" t="s">
        <v>287</v>
      </c>
      <c r="E83" s="163">
        <v>130</v>
      </c>
      <c r="F83" s="210">
        <f>ROUND($C83*E83,0)</f>
        <v>13520</v>
      </c>
      <c r="G83" s="196">
        <f t="shared" si="7"/>
        <v>10.4</v>
      </c>
      <c r="H83" s="197">
        <f t="shared" si="8"/>
        <v>5.2</v>
      </c>
      <c r="I83" s="169">
        <f t="shared" si="9"/>
        <v>88.4</v>
      </c>
      <c r="J83" s="198">
        <f t="shared" si="10"/>
        <v>26</v>
      </c>
      <c r="K83" s="173">
        <f t="shared" si="11"/>
        <v>130</v>
      </c>
      <c r="L83" s="232">
        <f>ROUND(C83*2.02/100*0.25,2)</f>
        <v>0.53</v>
      </c>
      <c r="M83" s="163"/>
    </row>
    <row r="84" spans="1:13" x14ac:dyDescent="0.25">
      <c r="A84" s="234" t="s">
        <v>48</v>
      </c>
      <c r="B84" s="235" t="s">
        <v>288</v>
      </c>
      <c r="C84" s="236">
        <v>2001</v>
      </c>
      <c r="D84" s="236" t="s">
        <v>287</v>
      </c>
      <c r="E84" s="163">
        <v>180</v>
      </c>
      <c r="F84" s="210">
        <f>ROUND($C84*E84,0)</f>
        <v>360180</v>
      </c>
      <c r="G84" s="196">
        <f t="shared" si="7"/>
        <v>14.4</v>
      </c>
      <c r="H84" s="197">
        <f t="shared" si="8"/>
        <v>7.2</v>
      </c>
      <c r="I84" s="169">
        <f t="shared" si="9"/>
        <v>122.4</v>
      </c>
      <c r="J84" s="198">
        <f t="shared" si="10"/>
        <v>36</v>
      </c>
      <c r="K84" s="173">
        <f t="shared" si="11"/>
        <v>180</v>
      </c>
      <c r="L84" s="232">
        <f>ROUND(C84*2.02/100*0.75,2)</f>
        <v>30.32</v>
      </c>
      <c r="M84" s="163"/>
    </row>
    <row r="85" spans="1:13" ht="15" x14ac:dyDescent="0.25">
      <c r="A85" s="187"/>
      <c r="B85" s="235"/>
      <c r="C85" s="192"/>
      <c r="D85" s="188"/>
      <c r="E85" s="189"/>
      <c r="F85" s="190"/>
      <c r="G85" s="196">
        <f t="shared" si="7"/>
        <v>0</v>
      </c>
      <c r="H85" s="197">
        <f t="shared" si="8"/>
        <v>0</v>
      </c>
      <c r="I85" s="169">
        <f t="shared" si="9"/>
        <v>0</v>
      </c>
      <c r="J85" s="198">
        <f t="shared" si="10"/>
        <v>0</v>
      </c>
      <c r="K85" s="173">
        <f t="shared" si="11"/>
        <v>0</v>
      </c>
      <c r="L85" s="212"/>
      <c r="M85" s="188"/>
    </row>
    <row r="86" spans="1:13" ht="15" x14ac:dyDescent="0.25">
      <c r="A86" s="187"/>
      <c r="B86" s="237" t="s">
        <v>289</v>
      </c>
      <c r="C86" s="188"/>
      <c r="D86" s="188"/>
      <c r="E86" s="189"/>
      <c r="F86" s="190"/>
      <c r="G86" s="196">
        <f t="shared" si="7"/>
        <v>0</v>
      </c>
      <c r="H86" s="197">
        <f t="shared" si="8"/>
        <v>0</v>
      </c>
      <c r="I86" s="169">
        <f t="shared" si="9"/>
        <v>0</v>
      </c>
      <c r="J86" s="198">
        <f t="shared" si="10"/>
        <v>0</v>
      </c>
      <c r="K86" s="173">
        <f t="shared" si="11"/>
        <v>0</v>
      </c>
      <c r="L86" s="212"/>
      <c r="M86" s="188"/>
    </row>
    <row r="87" spans="1:13" ht="141.75" customHeight="1" x14ac:dyDescent="0.25">
      <c r="A87" s="162">
        <v>6.0499999999999989</v>
      </c>
      <c r="B87" s="136" t="s">
        <v>290</v>
      </c>
      <c r="C87" s="163">
        <v>147644</v>
      </c>
      <c r="D87" s="163" t="s">
        <v>105</v>
      </c>
      <c r="E87" s="163">
        <v>30</v>
      </c>
      <c r="F87" s="210">
        <f>ROUND($C87*E87,0)</f>
        <v>4429320</v>
      </c>
      <c r="G87" s="196">
        <f t="shared" si="7"/>
        <v>2.4</v>
      </c>
      <c r="H87" s="197">
        <f t="shared" si="8"/>
        <v>1.2</v>
      </c>
      <c r="I87" s="169">
        <f t="shared" si="9"/>
        <v>20.399999999999999</v>
      </c>
      <c r="J87" s="198">
        <f t="shared" si="10"/>
        <v>6</v>
      </c>
      <c r="K87" s="173">
        <f t="shared" si="11"/>
        <v>30</v>
      </c>
      <c r="L87" s="174"/>
      <c r="M87" s="163"/>
    </row>
    <row r="88" spans="1:13" ht="9.9499999999999993" customHeight="1" x14ac:dyDescent="0.25">
      <c r="A88" s="187"/>
      <c r="B88" s="208"/>
      <c r="C88" s="188"/>
      <c r="D88" s="188"/>
      <c r="E88" s="189"/>
      <c r="F88" s="190"/>
      <c r="G88" s="196">
        <f t="shared" si="7"/>
        <v>0</v>
      </c>
      <c r="H88" s="197">
        <f t="shared" si="8"/>
        <v>0</v>
      </c>
      <c r="I88" s="169">
        <f t="shared" si="9"/>
        <v>0</v>
      </c>
      <c r="J88" s="198">
        <f t="shared" si="10"/>
        <v>0</v>
      </c>
      <c r="K88" s="173">
        <f t="shared" si="11"/>
        <v>0</v>
      </c>
      <c r="L88" s="212"/>
      <c r="M88" s="188"/>
    </row>
    <row r="89" spans="1:13" ht="142.5" x14ac:dyDescent="0.25">
      <c r="A89" s="238">
        <v>6.0599999999999987</v>
      </c>
      <c r="B89" s="176" t="s">
        <v>291</v>
      </c>
      <c r="C89" s="177">
        <v>63799</v>
      </c>
      <c r="D89" s="177" t="s">
        <v>105</v>
      </c>
      <c r="E89" s="177">
        <v>30</v>
      </c>
      <c r="F89" s="239">
        <f>ROUND($C89*E89,0)</f>
        <v>1913970</v>
      </c>
      <c r="G89" s="196">
        <f t="shared" si="7"/>
        <v>2.4</v>
      </c>
      <c r="H89" s="197">
        <f t="shared" si="8"/>
        <v>1.2</v>
      </c>
      <c r="I89" s="169">
        <f t="shared" si="9"/>
        <v>20.399999999999999</v>
      </c>
      <c r="J89" s="198">
        <f t="shared" si="10"/>
        <v>6</v>
      </c>
      <c r="K89" s="173">
        <f t="shared" si="11"/>
        <v>30</v>
      </c>
      <c r="L89" s="179"/>
      <c r="M89" s="177"/>
    </row>
    <row r="90" spans="1:13" ht="9.9499999999999993" customHeight="1" x14ac:dyDescent="0.25">
      <c r="A90" s="213"/>
      <c r="B90" s="214"/>
      <c r="C90" s="215"/>
      <c r="D90" s="215"/>
      <c r="E90" s="216"/>
      <c r="F90" s="217"/>
      <c r="G90" s="196">
        <f t="shared" si="7"/>
        <v>0</v>
      </c>
      <c r="H90" s="197">
        <f t="shared" si="8"/>
        <v>0</v>
      </c>
      <c r="I90" s="169">
        <f t="shared" si="9"/>
        <v>0</v>
      </c>
      <c r="J90" s="198">
        <f t="shared" si="10"/>
        <v>0</v>
      </c>
      <c r="K90" s="173">
        <f t="shared" si="11"/>
        <v>0</v>
      </c>
      <c r="L90" s="218"/>
      <c r="M90" s="215"/>
    </row>
    <row r="91" spans="1:13" ht="142.5" customHeight="1" x14ac:dyDescent="0.25">
      <c r="A91" s="162">
        <v>6.0699999999999985</v>
      </c>
      <c r="B91" s="136" t="s">
        <v>292</v>
      </c>
      <c r="C91" s="163">
        <v>17662</v>
      </c>
      <c r="D91" s="163" t="s">
        <v>105</v>
      </c>
      <c r="E91" s="163">
        <v>45</v>
      </c>
      <c r="F91" s="210">
        <f>ROUND($C91*E91,0)</f>
        <v>794790</v>
      </c>
      <c r="G91" s="196">
        <f t="shared" si="7"/>
        <v>3.6</v>
      </c>
      <c r="H91" s="197">
        <f t="shared" si="8"/>
        <v>1.8</v>
      </c>
      <c r="I91" s="169">
        <f t="shared" si="9"/>
        <v>30.6</v>
      </c>
      <c r="J91" s="198">
        <f t="shared" si="10"/>
        <v>9</v>
      </c>
      <c r="K91" s="173">
        <f t="shared" si="11"/>
        <v>45</v>
      </c>
      <c r="L91" s="174"/>
      <c r="M91" s="163"/>
    </row>
    <row r="92" spans="1:13" ht="9.9499999999999993" customHeight="1" x14ac:dyDescent="0.25">
      <c r="A92" s="187"/>
      <c r="B92" s="208"/>
      <c r="C92" s="188"/>
      <c r="D92" s="188"/>
      <c r="E92" s="189"/>
      <c r="F92" s="190"/>
      <c r="G92" s="196">
        <f t="shared" si="7"/>
        <v>0</v>
      </c>
      <c r="H92" s="197">
        <f t="shared" si="8"/>
        <v>0</v>
      </c>
      <c r="I92" s="169">
        <f t="shared" si="9"/>
        <v>0</v>
      </c>
      <c r="J92" s="198">
        <f t="shared" si="10"/>
        <v>0</v>
      </c>
      <c r="K92" s="173">
        <f t="shared" si="11"/>
        <v>0</v>
      </c>
      <c r="L92" s="212"/>
      <c r="M92" s="188"/>
    </row>
    <row r="93" spans="1:13" ht="128.25" x14ac:dyDescent="0.25">
      <c r="A93" s="162">
        <v>6.0799999999999983</v>
      </c>
      <c r="B93" s="136" t="s">
        <v>293</v>
      </c>
      <c r="C93" s="163">
        <v>51488</v>
      </c>
      <c r="D93" s="163" t="s">
        <v>105</v>
      </c>
      <c r="E93" s="163">
        <v>38</v>
      </c>
      <c r="F93" s="210">
        <f>ROUND($C93*E93,0)</f>
        <v>1956544</v>
      </c>
      <c r="G93" s="196">
        <f t="shared" si="7"/>
        <v>3.04</v>
      </c>
      <c r="H93" s="197">
        <f t="shared" si="8"/>
        <v>1.52</v>
      </c>
      <c r="I93" s="169">
        <f t="shared" si="9"/>
        <v>25.84</v>
      </c>
      <c r="J93" s="198">
        <f t="shared" si="10"/>
        <v>7.6</v>
      </c>
      <c r="K93" s="173">
        <f t="shared" si="11"/>
        <v>38</v>
      </c>
      <c r="L93" s="174"/>
      <c r="M93" s="163"/>
    </row>
    <row r="94" spans="1:13" ht="9.9499999999999993" customHeight="1" x14ac:dyDescent="0.25">
      <c r="A94" s="187"/>
      <c r="B94" s="208"/>
      <c r="C94" s="188"/>
      <c r="D94" s="188"/>
      <c r="E94" s="189"/>
      <c r="F94" s="190"/>
      <c r="G94" s="196">
        <f t="shared" si="7"/>
        <v>0</v>
      </c>
      <c r="H94" s="197">
        <f t="shared" si="8"/>
        <v>0</v>
      </c>
      <c r="I94" s="169">
        <f t="shared" si="9"/>
        <v>0</v>
      </c>
      <c r="J94" s="198">
        <f t="shared" si="10"/>
        <v>0</v>
      </c>
      <c r="K94" s="173">
        <f t="shared" si="11"/>
        <v>0</v>
      </c>
      <c r="L94" s="212"/>
      <c r="M94" s="188"/>
    </row>
    <row r="95" spans="1:13" ht="15" x14ac:dyDescent="0.25">
      <c r="A95" s="187"/>
      <c r="B95" s="237" t="s">
        <v>294</v>
      </c>
      <c r="C95" s="188"/>
      <c r="D95" s="188"/>
      <c r="E95" s="189"/>
      <c r="F95" s="190"/>
      <c r="G95" s="196">
        <f t="shared" si="7"/>
        <v>0</v>
      </c>
      <c r="H95" s="197">
        <f t="shared" si="8"/>
        <v>0</v>
      </c>
      <c r="I95" s="169">
        <f t="shared" si="9"/>
        <v>0</v>
      </c>
      <c r="J95" s="198">
        <f t="shared" si="10"/>
        <v>0</v>
      </c>
      <c r="K95" s="173">
        <f t="shared" si="11"/>
        <v>0</v>
      </c>
      <c r="L95" s="212"/>
      <c r="M95" s="188"/>
    </row>
    <row r="96" spans="1:13" ht="132.75" customHeight="1" x14ac:dyDescent="0.25">
      <c r="A96" s="162">
        <v>6.0899999999999981</v>
      </c>
      <c r="B96" s="136" t="s">
        <v>295</v>
      </c>
      <c r="C96" s="163"/>
      <c r="D96" s="163"/>
      <c r="E96" s="163"/>
      <c r="F96" s="210"/>
      <c r="G96" s="196">
        <f t="shared" si="7"/>
        <v>0</v>
      </c>
      <c r="H96" s="197">
        <f t="shared" si="8"/>
        <v>0</v>
      </c>
      <c r="I96" s="169">
        <f t="shared" si="9"/>
        <v>0</v>
      </c>
      <c r="J96" s="198">
        <f t="shared" si="10"/>
        <v>0</v>
      </c>
      <c r="K96" s="173">
        <f t="shared" si="11"/>
        <v>0</v>
      </c>
      <c r="L96" s="174"/>
      <c r="M96" s="163"/>
    </row>
    <row r="97" spans="1:13" ht="28.5" x14ac:dyDescent="0.25">
      <c r="A97" s="233" t="s">
        <v>4</v>
      </c>
      <c r="B97" s="136" t="s">
        <v>296</v>
      </c>
      <c r="C97" s="163">
        <v>56322</v>
      </c>
      <c r="D97" s="163" t="s">
        <v>105</v>
      </c>
      <c r="E97" s="163">
        <v>208</v>
      </c>
      <c r="F97" s="210">
        <f>ROUND($C97*E97,0)</f>
        <v>11714976</v>
      </c>
      <c r="G97" s="196">
        <f t="shared" si="7"/>
        <v>16.64</v>
      </c>
      <c r="H97" s="197">
        <f t="shared" si="8"/>
        <v>8.32</v>
      </c>
      <c r="I97" s="169">
        <f t="shared" si="9"/>
        <v>141.44</v>
      </c>
      <c r="J97" s="198">
        <f t="shared" si="10"/>
        <v>41.6</v>
      </c>
      <c r="K97" s="173">
        <f t="shared" si="11"/>
        <v>208</v>
      </c>
      <c r="L97" s="232">
        <f>ROUND(C97*2.4/100,2)</f>
        <v>1351.73</v>
      </c>
      <c r="M97" s="163"/>
    </row>
    <row r="98" spans="1:13" x14ac:dyDescent="0.25">
      <c r="A98" s="233" t="s">
        <v>48</v>
      </c>
      <c r="B98" s="136" t="s">
        <v>297</v>
      </c>
      <c r="C98" s="163">
        <v>35988</v>
      </c>
      <c r="D98" s="163" t="s">
        <v>105</v>
      </c>
      <c r="E98" s="163">
        <v>195</v>
      </c>
      <c r="F98" s="210">
        <f>ROUND($C98*E98,0)</f>
        <v>7017660</v>
      </c>
      <c r="G98" s="196">
        <f t="shared" si="7"/>
        <v>15.6</v>
      </c>
      <c r="H98" s="197">
        <f t="shared" si="8"/>
        <v>7.8</v>
      </c>
      <c r="I98" s="169">
        <f t="shared" si="9"/>
        <v>132.6</v>
      </c>
      <c r="J98" s="198">
        <f t="shared" si="10"/>
        <v>39</v>
      </c>
      <c r="K98" s="173">
        <f t="shared" si="11"/>
        <v>195</v>
      </c>
      <c r="L98" s="232">
        <f>ROUND(C98*2.02/100,2)</f>
        <v>726.96</v>
      </c>
      <c r="M98" s="163"/>
    </row>
    <row r="99" spans="1:13" x14ac:dyDescent="0.25">
      <c r="A99" s="233" t="s">
        <v>51</v>
      </c>
      <c r="B99" s="136" t="s">
        <v>298</v>
      </c>
      <c r="C99" s="163">
        <v>447</v>
      </c>
      <c r="D99" s="163" t="s">
        <v>105</v>
      </c>
      <c r="E99" s="163">
        <v>200</v>
      </c>
      <c r="F99" s="210">
        <f>ROUND($C99*E99,0)</f>
        <v>89400</v>
      </c>
      <c r="G99" s="196">
        <f t="shared" si="7"/>
        <v>16</v>
      </c>
      <c r="H99" s="197">
        <f t="shared" si="8"/>
        <v>8</v>
      </c>
      <c r="I99" s="169">
        <f t="shared" si="9"/>
        <v>136</v>
      </c>
      <c r="J99" s="198">
        <f t="shared" si="10"/>
        <v>40</v>
      </c>
      <c r="K99" s="173">
        <f t="shared" si="11"/>
        <v>200</v>
      </c>
      <c r="L99" s="232">
        <f>ROUND(C99*2.02/100,2)</f>
        <v>9.0299999999999994</v>
      </c>
      <c r="M99" s="163"/>
    </row>
    <row r="100" spans="1:13" ht="9.9499999999999993" customHeight="1" x14ac:dyDescent="0.25">
      <c r="A100" s="240"/>
      <c r="B100" s="176"/>
      <c r="C100" s="177"/>
      <c r="D100" s="177"/>
      <c r="E100" s="177"/>
      <c r="F100" s="239"/>
      <c r="G100" s="196">
        <f t="shared" si="7"/>
        <v>0</v>
      </c>
      <c r="H100" s="197">
        <f t="shared" si="8"/>
        <v>0</v>
      </c>
      <c r="I100" s="169">
        <f t="shared" si="9"/>
        <v>0</v>
      </c>
      <c r="J100" s="198">
        <f t="shared" si="10"/>
        <v>0</v>
      </c>
      <c r="K100" s="173">
        <f t="shared" si="11"/>
        <v>0</v>
      </c>
      <c r="L100" s="185"/>
      <c r="M100" s="186"/>
    </row>
    <row r="101" spans="1:13" ht="116.25" customHeight="1" x14ac:dyDescent="0.25">
      <c r="A101" s="241">
        <v>6.0999999999999979</v>
      </c>
      <c r="B101" s="181" t="s">
        <v>299</v>
      </c>
      <c r="C101" s="182"/>
      <c r="D101" s="182"/>
      <c r="E101" s="182"/>
      <c r="F101" s="231"/>
      <c r="G101" s="196">
        <f t="shared" si="7"/>
        <v>0</v>
      </c>
      <c r="H101" s="197">
        <f t="shared" si="8"/>
        <v>0</v>
      </c>
      <c r="I101" s="169">
        <f t="shared" si="9"/>
        <v>0</v>
      </c>
      <c r="J101" s="198">
        <f t="shared" si="10"/>
        <v>0</v>
      </c>
      <c r="K101" s="173">
        <f t="shared" si="11"/>
        <v>0</v>
      </c>
      <c r="L101" s="184"/>
      <c r="M101" s="166"/>
    </row>
    <row r="102" spans="1:13" ht="28.5" x14ac:dyDescent="0.25">
      <c r="A102" s="233" t="s">
        <v>4</v>
      </c>
      <c r="B102" s="136" t="s">
        <v>300</v>
      </c>
      <c r="C102" s="163">
        <v>1092</v>
      </c>
      <c r="D102" s="163" t="s">
        <v>105</v>
      </c>
      <c r="E102" s="163">
        <v>302.14</v>
      </c>
      <c r="F102" s="210">
        <f>ROUND($C102*E102,0)</f>
        <v>329937</v>
      </c>
      <c r="G102" s="196">
        <f t="shared" si="7"/>
        <v>24.17</v>
      </c>
      <c r="H102" s="197">
        <f t="shared" si="8"/>
        <v>12.09</v>
      </c>
      <c r="I102" s="169">
        <f t="shared" si="9"/>
        <v>205.46</v>
      </c>
      <c r="J102" s="198">
        <f t="shared" si="10"/>
        <v>60.43</v>
      </c>
      <c r="K102" s="173">
        <f t="shared" si="11"/>
        <v>302.15000000000003</v>
      </c>
      <c r="L102" s="232">
        <f>ROUND(C102*2.4/100,2)</f>
        <v>26.21</v>
      </c>
      <c r="M102" s="169"/>
    </row>
    <row r="103" spans="1:13" ht="48" customHeight="1" x14ac:dyDescent="0.25">
      <c r="A103" s="233" t="s">
        <v>48</v>
      </c>
      <c r="B103" s="136" t="s">
        <v>301</v>
      </c>
      <c r="C103" s="163">
        <v>1782</v>
      </c>
      <c r="D103" s="163" t="s">
        <v>105</v>
      </c>
      <c r="E103" s="163">
        <v>299.02</v>
      </c>
      <c r="F103" s="210">
        <f>ROUND($C103*E103,0)</f>
        <v>532854</v>
      </c>
      <c r="G103" s="196">
        <f t="shared" si="7"/>
        <v>23.92</v>
      </c>
      <c r="H103" s="197">
        <f t="shared" si="8"/>
        <v>11.96</v>
      </c>
      <c r="I103" s="169">
        <f t="shared" si="9"/>
        <v>203.33</v>
      </c>
      <c r="J103" s="198">
        <f t="shared" si="10"/>
        <v>59.8</v>
      </c>
      <c r="K103" s="173">
        <f t="shared" si="11"/>
        <v>299.01</v>
      </c>
      <c r="L103" s="232">
        <f>ROUND(C103*2.02/100,2)</f>
        <v>36</v>
      </c>
      <c r="M103" s="169"/>
    </row>
    <row r="104" spans="1:13" ht="9.9499999999999993" customHeight="1" x14ac:dyDescent="0.25">
      <c r="A104" s="187"/>
      <c r="B104" s="208"/>
      <c r="C104" s="188"/>
      <c r="D104" s="188"/>
      <c r="E104" s="189"/>
      <c r="F104" s="190"/>
      <c r="G104" s="196">
        <f t="shared" si="7"/>
        <v>0</v>
      </c>
      <c r="H104" s="197">
        <f t="shared" si="8"/>
        <v>0</v>
      </c>
      <c r="I104" s="169">
        <f t="shared" si="9"/>
        <v>0</v>
      </c>
      <c r="J104" s="198">
        <f t="shared" si="10"/>
        <v>0</v>
      </c>
      <c r="K104" s="173">
        <f t="shared" si="11"/>
        <v>0</v>
      </c>
      <c r="L104" s="212"/>
      <c r="M104" s="188"/>
    </row>
    <row r="105" spans="1:13" ht="145.5" customHeight="1" x14ac:dyDescent="0.25">
      <c r="A105" s="162">
        <v>6.1099999999999977</v>
      </c>
      <c r="B105" s="136" t="s">
        <v>302</v>
      </c>
      <c r="C105" s="163"/>
      <c r="D105" s="163"/>
      <c r="E105" s="163"/>
      <c r="F105" s="210"/>
      <c r="G105" s="196">
        <f t="shared" si="7"/>
        <v>0</v>
      </c>
      <c r="H105" s="197">
        <f t="shared" si="8"/>
        <v>0</v>
      </c>
      <c r="I105" s="169">
        <f t="shared" si="9"/>
        <v>0</v>
      </c>
      <c r="J105" s="198">
        <f t="shared" si="10"/>
        <v>0</v>
      </c>
      <c r="K105" s="173">
        <f t="shared" si="11"/>
        <v>0</v>
      </c>
      <c r="L105" s="174"/>
      <c r="M105" s="163"/>
    </row>
    <row r="106" spans="1:13" ht="28.5" x14ac:dyDescent="0.25">
      <c r="A106" s="162" t="s">
        <v>4</v>
      </c>
      <c r="B106" s="136" t="s">
        <v>303</v>
      </c>
      <c r="C106" s="163">
        <v>2505</v>
      </c>
      <c r="D106" s="163" t="s">
        <v>105</v>
      </c>
      <c r="E106" s="163">
        <v>763.39</v>
      </c>
      <c r="F106" s="210">
        <f>ROUND($C106*E106,0)</f>
        <v>1912292</v>
      </c>
      <c r="G106" s="196">
        <f t="shared" si="7"/>
        <v>61.07</v>
      </c>
      <c r="H106" s="197">
        <f t="shared" si="8"/>
        <v>30.54</v>
      </c>
      <c r="I106" s="169">
        <f t="shared" si="9"/>
        <v>519.11</v>
      </c>
      <c r="J106" s="198">
        <f t="shared" si="10"/>
        <v>152.68</v>
      </c>
      <c r="K106" s="173">
        <f t="shared" si="11"/>
        <v>763.40000000000009</v>
      </c>
      <c r="L106" s="232">
        <f>ROUND(C106*2.4/100,2)</f>
        <v>60.12</v>
      </c>
      <c r="M106" s="169"/>
    </row>
    <row r="107" spans="1:13" x14ac:dyDescent="0.2">
      <c r="A107" s="242" t="s">
        <v>48</v>
      </c>
      <c r="B107" s="243" t="s">
        <v>304</v>
      </c>
      <c r="C107" s="163">
        <v>1966</v>
      </c>
      <c r="D107" s="163" t="s">
        <v>105</v>
      </c>
      <c r="E107" s="163">
        <v>447.77</v>
      </c>
      <c r="F107" s="210">
        <f>ROUND($C107*E107,0)</f>
        <v>880316</v>
      </c>
      <c r="G107" s="196">
        <f t="shared" si="7"/>
        <v>35.82</v>
      </c>
      <c r="H107" s="197">
        <f t="shared" si="8"/>
        <v>17.91</v>
      </c>
      <c r="I107" s="169">
        <f t="shared" si="9"/>
        <v>304.48</v>
      </c>
      <c r="J107" s="198">
        <f t="shared" si="10"/>
        <v>89.55</v>
      </c>
      <c r="K107" s="173">
        <f t="shared" si="11"/>
        <v>447.76000000000005</v>
      </c>
      <c r="L107" s="232">
        <f>ROUND(C107*2.02/100,2)</f>
        <v>39.71</v>
      </c>
      <c r="M107" s="169"/>
    </row>
    <row r="108" spans="1:13" ht="15" x14ac:dyDescent="0.25">
      <c r="A108" s="187"/>
      <c r="B108" s="208"/>
      <c r="C108" s="188"/>
      <c r="D108" s="188"/>
      <c r="E108" s="189"/>
      <c r="F108" s="190"/>
      <c r="G108" s="196">
        <f t="shared" si="7"/>
        <v>0</v>
      </c>
      <c r="H108" s="197">
        <f t="shared" si="8"/>
        <v>0</v>
      </c>
      <c r="I108" s="169">
        <f t="shared" si="9"/>
        <v>0</v>
      </c>
      <c r="J108" s="198">
        <f t="shared" si="10"/>
        <v>0</v>
      </c>
      <c r="K108" s="173">
        <f t="shared" si="11"/>
        <v>0</v>
      </c>
      <c r="L108" s="212"/>
      <c r="M108" s="188"/>
    </row>
    <row r="109" spans="1:13" ht="144.75" customHeight="1" x14ac:dyDescent="0.25">
      <c r="A109" s="162">
        <v>6.1199999999999974</v>
      </c>
      <c r="B109" s="136" t="s">
        <v>305</v>
      </c>
      <c r="C109" s="163">
        <v>2095</v>
      </c>
      <c r="D109" s="163" t="s">
        <v>105</v>
      </c>
      <c r="E109" s="163">
        <v>763.39</v>
      </c>
      <c r="F109" s="210">
        <f>ROUND($C109*E109,0)</f>
        <v>1599302</v>
      </c>
      <c r="G109" s="196">
        <f t="shared" si="7"/>
        <v>61.07</v>
      </c>
      <c r="H109" s="197">
        <f t="shared" si="8"/>
        <v>30.54</v>
      </c>
      <c r="I109" s="169">
        <f t="shared" si="9"/>
        <v>519.11</v>
      </c>
      <c r="J109" s="198">
        <f t="shared" si="10"/>
        <v>152.68</v>
      </c>
      <c r="K109" s="173">
        <f t="shared" si="11"/>
        <v>763.40000000000009</v>
      </c>
      <c r="L109" s="232">
        <f>ROUND(C109*2.4/100,2)</f>
        <v>50.28</v>
      </c>
      <c r="M109" s="169"/>
    </row>
    <row r="110" spans="1:13" ht="15" x14ac:dyDescent="0.25">
      <c r="A110" s="219"/>
      <c r="B110" s="220"/>
      <c r="C110" s="221"/>
      <c r="D110" s="221"/>
      <c r="E110" s="222"/>
      <c r="F110" s="223"/>
      <c r="G110" s="196">
        <f t="shared" si="7"/>
        <v>0</v>
      </c>
      <c r="H110" s="197">
        <f t="shared" si="8"/>
        <v>0</v>
      </c>
      <c r="I110" s="169">
        <f t="shared" si="9"/>
        <v>0</v>
      </c>
      <c r="J110" s="198">
        <f t="shared" si="10"/>
        <v>0</v>
      </c>
      <c r="K110" s="173">
        <f t="shared" si="11"/>
        <v>0</v>
      </c>
      <c r="L110" s="224"/>
      <c r="M110" s="221"/>
    </row>
    <row r="111" spans="1:13" ht="156.75" customHeight="1" x14ac:dyDescent="0.25">
      <c r="A111" s="225">
        <v>6.1299999999999972</v>
      </c>
      <c r="B111" s="181" t="s">
        <v>306</v>
      </c>
      <c r="C111" s="182">
        <v>598</v>
      </c>
      <c r="D111" s="182" t="s">
        <v>105</v>
      </c>
      <c r="E111" s="182">
        <v>510.27</v>
      </c>
      <c r="F111" s="231">
        <f>ROUND($C111*E111,0)</f>
        <v>305141</v>
      </c>
      <c r="G111" s="196">
        <f t="shared" si="7"/>
        <v>40.82</v>
      </c>
      <c r="H111" s="197">
        <f t="shared" si="8"/>
        <v>20.41</v>
      </c>
      <c r="I111" s="169">
        <f t="shared" si="9"/>
        <v>346.98</v>
      </c>
      <c r="J111" s="198">
        <f t="shared" si="10"/>
        <v>102.05</v>
      </c>
      <c r="K111" s="173">
        <f t="shared" si="11"/>
        <v>510.26000000000005</v>
      </c>
      <c r="L111" s="232">
        <f>ROUND(C111*2.02/100,2)</f>
        <v>12.08</v>
      </c>
      <c r="M111" s="166"/>
    </row>
    <row r="112" spans="1:13" ht="6.95" customHeight="1" x14ac:dyDescent="0.25">
      <c r="A112" s="187"/>
      <c r="B112" s="208"/>
      <c r="C112" s="188"/>
      <c r="D112" s="188"/>
      <c r="E112" s="189"/>
      <c r="F112" s="190"/>
      <c r="G112" s="196">
        <f t="shared" si="7"/>
        <v>0</v>
      </c>
      <c r="H112" s="197">
        <f t="shared" si="8"/>
        <v>0</v>
      </c>
      <c r="I112" s="169">
        <f t="shared" si="9"/>
        <v>0</v>
      </c>
      <c r="J112" s="198">
        <f t="shared" si="10"/>
        <v>0</v>
      </c>
      <c r="K112" s="173">
        <f t="shared" si="11"/>
        <v>0</v>
      </c>
      <c r="L112" s="212"/>
      <c r="M112" s="188"/>
    </row>
    <row r="113" spans="1:13" ht="159" customHeight="1" x14ac:dyDescent="0.25">
      <c r="A113" s="162">
        <v>6.139999999999997</v>
      </c>
      <c r="B113" s="136" t="s">
        <v>307</v>
      </c>
      <c r="C113" s="163">
        <v>407</v>
      </c>
      <c r="D113" s="163" t="s">
        <v>105</v>
      </c>
      <c r="E113" s="163">
        <v>763.39</v>
      </c>
      <c r="F113" s="210">
        <f>ROUND($C113*E113,0)</f>
        <v>310700</v>
      </c>
      <c r="G113" s="196">
        <f t="shared" si="7"/>
        <v>61.07</v>
      </c>
      <c r="H113" s="197">
        <f t="shared" si="8"/>
        <v>30.54</v>
      </c>
      <c r="I113" s="169">
        <f t="shared" si="9"/>
        <v>519.11</v>
      </c>
      <c r="J113" s="198">
        <f t="shared" si="10"/>
        <v>152.68</v>
      </c>
      <c r="K113" s="173">
        <f t="shared" si="11"/>
        <v>763.40000000000009</v>
      </c>
      <c r="L113" s="232">
        <f>ROUND(C113*2.4/100,2)</f>
        <v>9.77</v>
      </c>
      <c r="M113" s="169"/>
    </row>
    <row r="114" spans="1:13" ht="6.95" customHeight="1" x14ac:dyDescent="0.25">
      <c r="A114" s="187"/>
      <c r="B114" s="208"/>
      <c r="C114" s="188"/>
      <c r="D114" s="188"/>
      <c r="E114" s="189"/>
      <c r="F114" s="190"/>
      <c r="G114" s="196">
        <f t="shared" si="7"/>
        <v>0</v>
      </c>
      <c r="H114" s="197">
        <f t="shared" si="8"/>
        <v>0</v>
      </c>
      <c r="I114" s="169">
        <f t="shared" si="9"/>
        <v>0</v>
      </c>
      <c r="J114" s="198">
        <f t="shared" si="10"/>
        <v>0</v>
      </c>
      <c r="K114" s="173">
        <f t="shared" si="11"/>
        <v>0</v>
      </c>
      <c r="L114" s="212"/>
      <c r="M114" s="188"/>
    </row>
    <row r="115" spans="1:13" ht="157.5" customHeight="1" x14ac:dyDescent="0.25">
      <c r="A115" s="162">
        <v>6.1499999999999968</v>
      </c>
      <c r="B115" s="136" t="s">
        <v>308</v>
      </c>
      <c r="C115" s="163">
        <v>632</v>
      </c>
      <c r="D115" s="163" t="s">
        <v>105</v>
      </c>
      <c r="E115" s="163">
        <v>500</v>
      </c>
      <c r="F115" s="210">
        <f>ROUND($C115*E115,0)</f>
        <v>316000</v>
      </c>
      <c r="G115" s="196">
        <f t="shared" si="7"/>
        <v>40</v>
      </c>
      <c r="H115" s="197">
        <f t="shared" si="8"/>
        <v>20</v>
      </c>
      <c r="I115" s="169">
        <f t="shared" si="9"/>
        <v>340</v>
      </c>
      <c r="J115" s="198">
        <f t="shared" si="10"/>
        <v>100</v>
      </c>
      <c r="K115" s="173">
        <f t="shared" si="11"/>
        <v>500</v>
      </c>
      <c r="L115" s="232">
        <f>ROUND(C115*2.4/100,2)</f>
        <v>15.17</v>
      </c>
      <c r="M115" s="163"/>
    </row>
    <row r="116" spans="1:13" x14ac:dyDescent="0.25">
      <c r="A116" s="238"/>
      <c r="B116" s="176"/>
      <c r="C116" s="177"/>
      <c r="D116" s="177"/>
      <c r="E116" s="177"/>
      <c r="F116" s="239"/>
      <c r="G116" s="196">
        <f t="shared" si="7"/>
        <v>0</v>
      </c>
      <c r="H116" s="197">
        <f t="shared" si="8"/>
        <v>0</v>
      </c>
      <c r="I116" s="169">
        <f t="shared" si="9"/>
        <v>0</v>
      </c>
      <c r="J116" s="198">
        <f t="shared" si="10"/>
        <v>0</v>
      </c>
      <c r="K116" s="173">
        <f t="shared" si="11"/>
        <v>0</v>
      </c>
      <c r="L116" s="179"/>
      <c r="M116" s="177"/>
    </row>
    <row r="117" spans="1:13" ht="156.75" x14ac:dyDescent="0.25">
      <c r="A117" s="225">
        <v>6.1599999999999966</v>
      </c>
      <c r="B117" s="181" t="s">
        <v>309</v>
      </c>
      <c r="C117" s="182">
        <v>396</v>
      </c>
      <c r="D117" s="182" t="s">
        <v>105</v>
      </c>
      <c r="E117" s="182">
        <v>736.39</v>
      </c>
      <c r="F117" s="231">
        <f>ROUND($C117*E117,0)</f>
        <v>291610</v>
      </c>
      <c r="G117" s="196">
        <f t="shared" si="7"/>
        <v>58.91</v>
      </c>
      <c r="H117" s="197">
        <f t="shared" si="8"/>
        <v>29.46</v>
      </c>
      <c r="I117" s="169">
        <f t="shared" si="9"/>
        <v>500.75</v>
      </c>
      <c r="J117" s="198">
        <f t="shared" si="10"/>
        <v>147.28</v>
      </c>
      <c r="K117" s="173">
        <f t="shared" si="11"/>
        <v>736.4</v>
      </c>
      <c r="L117" s="232">
        <f>ROUND(C117*2.4/100,2)</f>
        <v>9.5</v>
      </c>
      <c r="M117" s="166"/>
    </row>
    <row r="118" spans="1:13" ht="15" x14ac:dyDescent="0.25">
      <c r="A118" s="187"/>
      <c r="B118" s="208"/>
      <c r="C118" s="188"/>
      <c r="D118" s="188"/>
      <c r="E118" s="189"/>
      <c r="F118" s="190"/>
      <c r="G118" s="196">
        <f t="shared" si="7"/>
        <v>0</v>
      </c>
      <c r="H118" s="197">
        <f t="shared" si="8"/>
        <v>0</v>
      </c>
      <c r="I118" s="169">
        <f t="shared" si="9"/>
        <v>0</v>
      </c>
      <c r="J118" s="198">
        <f t="shared" si="10"/>
        <v>0</v>
      </c>
      <c r="K118" s="173">
        <f t="shared" si="11"/>
        <v>0</v>
      </c>
      <c r="L118" s="212"/>
      <c r="M118" s="188"/>
    </row>
    <row r="119" spans="1:13" ht="114.75" customHeight="1" x14ac:dyDescent="0.25">
      <c r="A119" s="162">
        <v>6.1699999999999964</v>
      </c>
      <c r="B119" s="136" t="s">
        <v>310</v>
      </c>
      <c r="C119" s="163">
        <v>1294</v>
      </c>
      <c r="D119" s="163" t="s">
        <v>105</v>
      </c>
      <c r="E119" s="163">
        <v>120</v>
      </c>
      <c r="F119" s="210">
        <f>ROUND($C119*E119,0)</f>
        <v>155280</v>
      </c>
      <c r="G119" s="196">
        <f t="shared" si="7"/>
        <v>9.6</v>
      </c>
      <c r="H119" s="197">
        <f t="shared" si="8"/>
        <v>4.8</v>
      </c>
      <c r="I119" s="169">
        <f t="shared" si="9"/>
        <v>81.599999999999994</v>
      </c>
      <c r="J119" s="198">
        <f t="shared" si="10"/>
        <v>24</v>
      </c>
      <c r="K119" s="173">
        <f t="shared" si="11"/>
        <v>120</v>
      </c>
      <c r="L119" s="232">
        <f>ROUND(C119*2.4/100,2)</f>
        <v>31.06</v>
      </c>
      <c r="M119" s="163"/>
    </row>
    <row r="120" spans="1:13" x14ac:dyDescent="0.25">
      <c r="A120" s="162"/>
      <c r="B120" s="136"/>
      <c r="C120" s="163"/>
      <c r="D120" s="163"/>
      <c r="E120" s="163"/>
      <c r="F120" s="210"/>
      <c r="G120" s="196">
        <f t="shared" si="7"/>
        <v>0</v>
      </c>
      <c r="H120" s="197">
        <f t="shared" si="8"/>
        <v>0</v>
      </c>
      <c r="I120" s="169">
        <f t="shared" si="9"/>
        <v>0</v>
      </c>
      <c r="J120" s="198">
        <f t="shared" si="10"/>
        <v>0</v>
      </c>
      <c r="K120" s="173">
        <f t="shared" si="11"/>
        <v>0</v>
      </c>
      <c r="L120" s="174"/>
      <c r="M120" s="163"/>
    </row>
    <row r="121" spans="1:13" ht="99.75" x14ac:dyDescent="0.25">
      <c r="A121" s="162">
        <v>6.1799999999999962</v>
      </c>
      <c r="B121" s="136" t="s">
        <v>311</v>
      </c>
      <c r="C121" s="163"/>
      <c r="D121" s="163"/>
      <c r="E121" s="163"/>
      <c r="F121" s="210"/>
      <c r="G121" s="196">
        <f t="shared" si="7"/>
        <v>0</v>
      </c>
      <c r="H121" s="197">
        <f t="shared" si="8"/>
        <v>0</v>
      </c>
      <c r="I121" s="169">
        <f t="shared" si="9"/>
        <v>0</v>
      </c>
      <c r="J121" s="198">
        <f t="shared" si="10"/>
        <v>0</v>
      </c>
      <c r="K121" s="173">
        <f t="shared" si="11"/>
        <v>0</v>
      </c>
      <c r="L121" s="174"/>
      <c r="M121" s="163"/>
    </row>
    <row r="122" spans="1:13" x14ac:dyDescent="0.25">
      <c r="A122" s="233" t="s">
        <v>4</v>
      </c>
      <c r="B122" s="136" t="s">
        <v>312</v>
      </c>
      <c r="C122" s="163">
        <v>1188</v>
      </c>
      <c r="D122" s="163" t="s">
        <v>105</v>
      </c>
      <c r="E122" s="163">
        <v>250</v>
      </c>
      <c r="F122" s="210">
        <f>ROUND($C122*E122,0)</f>
        <v>297000</v>
      </c>
      <c r="G122" s="196">
        <f t="shared" si="7"/>
        <v>20</v>
      </c>
      <c r="H122" s="197">
        <f t="shared" si="8"/>
        <v>10</v>
      </c>
      <c r="I122" s="169">
        <f t="shared" si="9"/>
        <v>170</v>
      </c>
      <c r="J122" s="198">
        <f t="shared" si="10"/>
        <v>50</v>
      </c>
      <c r="K122" s="173">
        <f t="shared" si="11"/>
        <v>250</v>
      </c>
      <c r="L122" s="174"/>
      <c r="M122" s="163"/>
    </row>
    <row r="123" spans="1:13" x14ac:dyDescent="0.25">
      <c r="A123" s="233" t="s">
        <v>48</v>
      </c>
      <c r="B123" s="136" t="s">
        <v>313</v>
      </c>
      <c r="C123" s="163">
        <v>336</v>
      </c>
      <c r="D123" s="163" t="s">
        <v>105</v>
      </c>
      <c r="E123" s="163">
        <v>210</v>
      </c>
      <c r="F123" s="210">
        <f>ROUND($C123*E123,0)</f>
        <v>70560</v>
      </c>
      <c r="G123" s="196">
        <f t="shared" si="7"/>
        <v>16.8</v>
      </c>
      <c r="H123" s="197">
        <f t="shared" si="8"/>
        <v>8.4</v>
      </c>
      <c r="I123" s="169">
        <f t="shared" si="9"/>
        <v>142.80000000000001</v>
      </c>
      <c r="J123" s="198">
        <f t="shared" si="10"/>
        <v>42</v>
      </c>
      <c r="K123" s="173">
        <f t="shared" si="11"/>
        <v>210</v>
      </c>
      <c r="L123" s="174"/>
      <c r="M123" s="163"/>
    </row>
    <row r="124" spans="1:13" ht="6.95" customHeight="1" x14ac:dyDescent="0.25">
      <c r="A124" s="233"/>
      <c r="B124" s="136"/>
      <c r="C124" s="163"/>
      <c r="D124" s="163"/>
      <c r="E124" s="163"/>
      <c r="F124" s="210"/>
      <c r="G124" s="196">
        <f t="shared" si="7"/>
        <v>0</v>
      </c>
      <c r="H124" s="197">
        <f t="shared" si="8"/>
        <v>0</v>
      </c>
      <c r="I124" s="169">
        <f t="shared" si="9"/>
        <v>0</v>
      </c>
      <c r="J124" s="198">
        <f t="shared" si="10"/>
        <v>0</v>
      </c>
      <c r="K124" s="173">
        <f t="shared" si="11"/>
        <v>0</v>
      </c>
      <c r="L124" s="174"/>
      <c r="M124" s="163"/>
    </row>
    <row r="125" spans="1:13" ht="71.25" x14ac:dyDescent="0.25">
      <c r="A125" s="162">
        <v>6.1899999999999959</v>
      </c>
      <c r="B125" s="136" t="s">
        <v>314</v>
      </c>
      <c r="C125" s="163">
        <v>7405</v>
      </c>
      <c r="D125" s="163" t="s">
        <v>105</v>
      </c>
      <c r="E125" s="163">
        <v>350</v>
      </c>
      <c r="F125" s="210">
        <f>ROUND($C125*E125,0)</f>
        <v>2591750</v>
      </c>
      <c r="G125" s="196">
        <f t="shared" si="7"/>
        <v>28</v>
      </c>
      <c r="H125" s="197">
        <f t="shared" si="8"/>
        <v>14</v>
      </c>
      <c r="I125" s="169">
        <f t="shared" si="9"/>
        <v>238</v>
      </c>
      <c r="J125" s="198">
        <f t="shared" si="10"/>
        <v>70</v>
      </c>
      <c r="K125" s="173">
        <f t="shared" si="11"/>
        <v>350</v>
      </c>
      <c r="L125" s="174"/>
      <c r="M125" s="163"/>
    </row>
    <row r="126" spans="1:13" ht="6.95" customHeight="1" x14ac:dyDescent="0.25">
      <c r="A126" s="162"/>
      <c r="B126" s="136"/>
      <c r="C126" s="163"/>
      <c r="D126" s="163"/>
      <c r="E126" s="163"/>
      <c r="F126" s="210"/>
      <c r="G126" s="196">
        <f t="shared" si="7"/>
        <v>0</v>
      </c>
      <c r="H126" s="197">
        <f t="shared" si="8"/>
        <v>0</v>
      </c>
      <c r="I126" s="169">
        <f t="shared" si="9"/>
        <v>0</v>
      </c>
      <c r="J126" s="198">
        <f t="shared" si="10"/>
        <v>0</v>
      </c>
      <c r="K126" s="173">
        <f t="shared" si="11"/>
        <v>0</v>
      </c>
      <c r="L126" s="174"/>
      <c r="M126" s="163"/>
    </row>
    <row r="127" spans="1:13" ht="87" customHeight="1" x14ac:dyDescent="0.25">
      <c r="A127" s="162">
        <v>6.1999999999999957</v>
      </c>
      <c r="B127" s="136" t="s">
        <v>315</v>
      </c>
      <c r="C127" s="163">
        <v>1431</v>
      </c>
      <c r="D127" s="163" t="s">
        <v>105</v>
      </c>
      <c r="E127" s="163">
        <v>58</v>
      </c>
      <c r="F127" s="210">
        <f>ROUND($C127*E127,0)</f>
        <v>82998</v>
      </c>
      <c r="G127" s="196">
        <f t="shared" si="7"/>
        <v>4.6399999999999997</v>
      </c>
      <c r="H127" s="197">
        <f t="shared" si="8"/>
        <v>2.3199999999999998</v>
      </c>
      <c r="I127" s="169">
        <f t="shared" si="9"/>
        <v>39.44</v>
      </c>
      <c r="J127" s="198">
        <f t="shared" si="10"/>
        <v>11.6</v>
      </c>
      <c r="K127" s="173">
        <f t="shared" si="11"/>
        <v>58</v>
      </c>
      <c r="L127" s="232">
        <f>ROUND((C127*0.25)*1.54/7/1.25,2)</f>
        <v>62.96</v>
      </c>
      <c r="M127" s="163"/>
    </row>
    <row r="128" spans="1:13" ht="6.95" customHeight="1" x14ac:dyDescent="0.25">
      <c r="A128" s="238"/>
      <c r="B128" s="176"/>
      <c r="C128" s="177"/>
      <c r="D128" s="177"/>
      <c r="E128" s="177"/>
      <c r="F128" s="239"/>
      <c r="G128" s="196">
        <f t="shared" si="7"/>
        <v>0</v>
      </c>
      <c r="H128" s="197">
        <f t="shared" si="8"/>
        <v>0</v>
      </c>
      <c r="I128" s="169">
        <f t="shared" si="9"/>
        <v>0</v>
      </c>
      <c r="J128" s="198">
        <f t="shared" si="10"/>
        <v>0</v>
      </c>
      <c r="K128" s="173">
        <f t="shared" si="11"/>
        <v>0</v>
      </c>
      <c r="L128" s="179"/>
      <c r="M128" s="177"/>
    </row>
    <row r="129" spans="1:13" s="249" customFormat="1" ht="15" x14ac:dyDescent="0.25">
      <c r="A129" s="244"/>
      <c r="B129" s="228" t="s">
        <v>316</v>
      </c>
      <c r="C129" s="245"/>
      <c r="D129" s="245"/>
      <c r="E129" s="246"/>
      <c r="F129" s="247"/>
      <c r="G129" s="196">
        <f t="shared" si="7"/>
        <v>0</v>
      </c>
      <c r="H129" s="197">
        <f t="shared" si="8"/>
        <v>0</v>
      </c>
      <c r="I129" s="169">
        <f t="shared" si="9"/>
        <v>0</v>
      </c>
      <c r="J129" s="198">
        <f t="shared" si="10"/>
        <v>0</v>
      </c>
      <c r="K129" s="173">
        <f t="shared" si="11"/>
        <v>0</v>
      </c>
      <c r="L129" s="248"/>
      <c r="M129" s="245"/>
    </row>
    <row r="130" spans="1:13" ht="60" customHeight="1" x14ac:dyDescent="0.25">
      <c r="A130" s="162">
        <v>6.2099999999999955</v>
      </c>
      <c r="B130" s="136" t="s">
        <v>317</v>
      </c>
      <c r="C130" s="163">
        <v>433</v>
      </c>
      <c r="D130" s="163" t="s">
        <v>105</v>
      </c>
      <c r="E130" s="163">
        <v>250</v>
      </c>
      <c r="F130" s="210">
        <f>ROUND($C130*E130,0)</f>
        <v>108250</v>
      </c>
      <c r="G130" s="196">
        <f t="shared" si="7"/>
        <v>20</v>
      </c>
      <c r="H130" s="197">
        <f t="shared" si="8"/>
        <v>10</v>
      </c>
      <c r="I130" s="169">
        <f t="shared" si="9"/>
        <v>170</v>
      </c>
      <c r="J130" s="198">
        <f t="shared" si="10"/>
        <v>50</v>
      </c>
      <c r="K130" s="173">
        <f t="shared" si="11"/>
        <v>250</v>
      </c>
      <c r="L130" s="174"/>
      <c r="M130" s="163"/>
    </row>
    <row r="131" spans="1:13" ht="6.95" customHeight="1" x14ac:dyDescent="0.25">
      <c r="A131" s="162"/>
      <c r="B131" s="136"/>
      <c r="C131" s="163"/>
      <c r="D131" s="163"/>
      <c r="E131" s="163"/>
      <c r="F131" s="210"/>
      <c r="G131" s="196">
        <f t="shared" si="7"/>
        <v>0</v>
      </c>
      <c r="H131" s="197">
        <f t="shared" si="8"/>
        <v>0</v>
      </c>
      <c r="I131" s="169">
        <f t="shared" si="9"/>
        <v>0</v>
      </c>
      <c r="J131" s="198">
        <f t="shared" si="10"/>
        <v>0</v>
      </c>
      <c r="K131" s="173">
        <f t="shared" si="11"/>
        <v>0</v>
      </c>
      <c r="L131" s="174"/>
      <c r="M131" s="163"/>
    </row>
    <row r="132" spans="1:13" ht="173.25" customHeight="1" x14ac:dyDescent="0.25">
      <c r="A132" s="162">
        <v>6.2199999999999953</v>
      </c>
      <c r="B132" s="136" t="s">
        <v>318</v>
      </c>
      <c r="C132" s="163">
        <v>276</v>
      </c>
      <c r="D132" s="163" t="s">
        <v>104</v>
      </c>
      <c r="E132" s="163">
        <v>7000</v>
      </c>
      <c r="F132" s="210">
        <f>ROUND($C132*E132,0)</f>
        <v>1932000</v>
      </c>
      <c r="G132" s="196">
        <f t="shared" si="7"/>
        <v>560</v>
      </c>
      <c r="H132" s="197">
        <f t="shared" si="8"/>
        <v>280</v>
      </c>
      <c r="I132" s="169">
        <f t="shared" si="9"/>
        <v>4760</v>
      </c>
      <c r="J132" s="198">
        <f t="shared" si="10"/>
        <v>1400</v>
      </c>
      <c r="K132" s="173">
        <f t="shared" si="11"/>
        <v>7000</v>
      </c>
      <c r="L132" s="174"/>
      <c r="M132" s="163"/>
    </row>
    <row r="133" spans="1:13" ht="6.95" customHeight="1" x14ac:dyDescent="0.25">
      <c r="A133" s="187"/>
      <c r="B133" s="208"/>
      <c r="C133" s="188"/>
      <c r="D133" s="188"/>
      <c r="E133" s="189"/>
      <c r="F133" s="190"/>
      <c r="G133" s="196">
        <f t="shared" si="7"/>
        <v>0</v>
      </c>
      <c r="H133" s="197">
        <f t="shared" si="8"/>
        <v>0</v>
      </c>
      <c r="I133" s="169">
        <f t="shared" si="9"/>
        <v>0</v>
      </c>
      <c r="J133" s="198">
        <f t="shared" si="10"/>
        <v>0</v>
      </c>
      <c r="K133" s="173">
        <f t="shared" si="11"/>
        <v>0</v>
      </c>
      <c r="L133" s="212"/>
      <c r="M133" s="188"/>
    </row>
    <row r="134" spans="1:13" ht="60" customHeight="1" x14ac:dyDescent="0.25">
      <c r="A134" s="162">
        <v>6.2299999999999951</v>
      </c>
      <c r="B134" s="136" t="s">
        <v>319</v>
      </c>
      <c r="C134" s="163">
        <v>8628</v>
      </c>
      <c r="D134" s="163" t="s">
        <v>105</v>
      </c>
      <c r="E134" s="163">
        <v>75</v>
      </c>
      <c r="F134" s="210">
        <f>ROUND($C134*E134,0)</f>
        <v>647100</v>
      </c>
      <c r="G134" s="196">
        <f t="shared" si="7"/>
        <v>6</v>
      </c>
      <c r="H134" s="197">
        <f t="shared" si="8"/>
        <v>3</v>
      </c>
      <c r="I134" s="169">
        <f t="shared" si="9"/>
        <v>51</v>
      </c>
      <c r="J134" s="198">
        <f t="shared" si="10"/>
        <v>15</v>
      </c>
      <c r="K134" s="173">
        <f t="shared" si="11"/>
        <v>75</v>
      </c>
      <c r="L134" s="174"/>
      <c r="M134" s="163"/>
    </row>
    <row r="135" spans="1:13" ht="15" x14ac:dyDescent="0.25">
      <c r="A135" s="187"/>
      <c r="B135" s="208"/>
      <c r="C135" s="188"/>
      <c r="D135" s="188"/>
      <c r="E135" s="189"/>
      <c r="F135" s="190"/>
      <c r="G135" s="196">
        <f t="shared" si="7"/>
        <v>0</v>
      </c>
      <c r="H135" s="197">
        <f t="shared" si="8"/>
        <v>0</v>
      </c>
      <c r="I135" s="169">
        <f t="shared" si="9"/>
        <v>0</v>
      </c>
      <c r="J135" s="198">
        <f t="shared" si="10"/>
        <v>0</v>
      </c>
      <c r="K135" s="173">
        <f t="shared" si="11"/>
        <v>0</v>
      </c>
      <c r="L135" s="212"/>
      <c r="M135" s="188"/>
    </row>
    <row r="136" spans="1:13" ht="130.5" customHeight="1" x14ac:dyDescent="0.25">
      <c r="A136" s="162">
        <v>6.2399999999999949</v>
      </c>
      <c r="B136" s="136" t="s">
        <v>320</v>
      </c>
      <c r="C136" s="163">
        <v>16594</v>
      </c>
      <c r="D136" s="163" t="s">
        <v>105</v>
      </c>
      <c r="E136" s="163">
        <v>96</v>
      </c>
      <c r="F136" s="210">
        <f>ROUND($C136*E136,0)</f>
        <v>1593024</v>
      </c>
      <c r="G136" s="196">
        <f t="shared" si="7"/>
        <v>7.68</v>
      </c>
      <c r="H136" s="197">
        <f t="shared" si="8"/>
        <v>3.84</v>
      </c>
      <c r="I136" s="169">
        <f t="shared" si="9"/>
        <v>65.28</v>
      </c>
      <c r="J136" s="198">
        <f t="shared" si="10"/>
        <v>19.2</v>
      </c>
      <c r="K136" s="173">
        <f t="shared" si="11"/>
        <v>96</v>
      </c>
      <c r="L136" s="232"/>
      <c r="M136" s="163"/>
    </row>
    <row r="137" spans="1:13" ht="9.9499999999999993" customHeight="1" x14ac:dyDescent="0.25">
      <c r="A137" s="219"/>
      <c r="B137" s="220"/>
      <c r="C137" s="221"/>
      <c r="D137" s="221"/>
      <c r="E137" s="222"/>
      <c r="F137" s="223"/>
      <c r="G137" s="196">
        <f t="shared" si="7"/>
        <v>0</v>
      </c>
      <c r="H137" s="197">
        <f t="shared" si="8"/>
        <v>0</v>
      </c>
      <c r="I137" s="169">
        <f t="shared" si="9"/>
        <v>0</v>
      </c>
      <c r="J137" s="198">
        <f t="shared" si="10"/>
        <v>0</v>
      </c>
      <c r="K137" s="173">
        <f t="shared" si="11"/>
        <v>0</v>
      </c>
      <c r="L137" s="224"/>
      <c r="M137" s="221"/>
    </row>
    <row r="138" spans="1:13" ht="177.75" customHeight="1" x14ac:dyDescent="0.25">
      <c r="A138" s="225">
        <v>6.2499999999999947</v>
      </c>
      <c r="B138" s="181" t="s">
        <v>321</v>
      </c>
      <c r="C138" s="182">
        <v>1869</v>
      </c>
      <c r="D138" s="182" t="s">
        <v>105</v>
      </c>
      <c r="E138" s="182">
        <v>155.27000000000001</v>
      </c>
      <c r="F138" s="231">
        <f>ROUND($C138*E138,0)</f>
        <v>290200</v>
      </c>
      <c r="G138" s="196">
        <f t="shared" si="7"/>
        <v>12.42</v>
      </c>
      <c r="H138" s="197">
        <f t="shared" si="8"/>
        <v>6.21</v>
      </c>
      <c r="I138" s="169">
        <f t="shared" si="9"/>
        <v>105.58</v>
      </c>
      <c r="J138" s="198">
        <f t="shared" si="10"/>
        <v>31.05</v>
      </c>
      <c r="K138" s="173">
        <f t="shared" si="11"/>
        <v>155.26</v>
      </c>
      <c r="L138" s="232">
        <f>(ROUND(C138*2.02/100,2))+(ROUND(C138*0.08*1.54/7/1.25,2))</f>
        <v>64.069999999999993</v>
      </c>
      <c r="M138" s="166"/>
    </row>
    <row r="139" spans="1:13" ht="9.9499999999999993" customHeight="1" x14ac:dyDescent="0.25">
      <c r="A139" s="162"/>
      <c r="B139" s="136"/>
      <c r="C139" s="163"/>
      <c r="D139" s="163"/>
      <c r="E139" s="163"/>
      <c r="F139" s="164"/>
      <c r="G139" s="196">
        <f t="shared" si="7"/>
        <v>0</v>
      </c>
      <c r="H139" s="197">
        <f t="shared" si="8"/>
        <v>0</v>
      </c>
      <c r="I139" s="169">
        <f t="shared" si="9"/>
        <v>0</v>
      </c>
      <c r="J139" s="198">
        <f t="shared" si="10"/>
        <v>0</v>
      </c>
      <c r="K139" s="173">
        <f t="shared" si="11"/>
        <v>0</v>
      </c>
      <c r="L139" s="174"/>
      <c r="M139" s="163"/>
    </row>
    <row r="140" spans="1:13" ht="128.25" x14ac:dyDescent="0.25">
      <c r="A140" s="162">
        <v>6.2599999999999945</v>
      </c>
      <c r="B140" s="136" t="s">
        <v>322</v>
      </c>
      <c r="C140" s="163">
        <v>9099</v>
      </c>
      <c r="D140" s="163" t="s">
        <v>105</v>
      </c>
      <c r="E140" s="163">
        <v>145.88999999999999</v>
      </c>
      <c r="F140" s="210">
        <f>ROUND($C140*E140,0)</f>
        <v>1327453</v>
      </c>
      <c r="G140" s="196">
        <f t="shared" si="7"/>
        <v>11.67</v>
      </c>
      <c r="H140" s="197">
        <f t="shared" si="8"/>
        <v>5.84</v>
      </c>
      <c r="I140" s="169">
        <f t="shared" si="9"/>
        <v>99.21</v>
      </c>
      <c r="J140" s="198">
        <f t="shared" si="10"/>
        <v>29.18</v>
      </c>
      <c r="K140" s="173">
        <f t="shared" si="11"/>
        <v>145.9</v>
      </c>
      <c r="L140" s="232">
        <f>ROUND(C140*2.4/100,2)</f>
        <v>218.38</v>
      </c>
      <c r="M140" s="169"/>
    </row>
    <row r="141" spans="1:13" ht="9.9499999999999993" customHeight="1" x14ac:dyDescent="0.25">
      <c r="A141" s="162"/>
      <c r="B141" s="136"/>
      <c r="C141" s="163"/>
      <c r="D141" s="163"/>
      <c r="E141" s="163"/>
      <c r="F141" s="164"/>
      <c r="G141" s="196">
        <f t="shared" si="7"/>
        <v>0</v>
      </c>
      <c r="H141" s="197">
        <f t="shared" si="8"/>
        <v>0</v>
      </c>
      <c r="I141" s="169">
        <f t="shared" si="9"/>
        <v>0</v>
      </c>
      <c r="J141" s="198">
        <f t="shared" si="10"/>
        <v>0</v>
      </c>
      <c r="K141" s="173">
        <f t="shared" si="11"/>
        <v>0</v>
      </c>
      <c r="L141" s="174"/>
      <c r="M141" s="163"/>
    </row>
    <row r="142" spans="1:13" ht="235.5" customHeight="1" x14ac:dyDescent="0.25">
      <c r="A142" s="162">
        <v>6.2699999999999942</v>
      </c>
      <c r="B142" s="136" t="s">
        <v>323</v>
      </c>
      <c r="C142" s="163">
        <v>1533</v>
      </c>
      <c r="D142" s="163" t="s">
        <v>105</v>
      </c>
      <c r="E142" s="163">
        <v>1000</v>
      </c>
      <c r="F142" s="210">
        <f>ROUND($C142*E142,0)</f>
        <v>1533000</v>
      </c>
      <c r="G142" s="196">
        <f t="shared" ref="G142:G205" si="12">IFERROR((ROUND(E142/1.25*10%,2)),0)</f>
        <v>80</v>
      </c>
      <c r="H142" s="197">
        <f t="shared" ref="H142:H205" si="13">IFERROR((ROUND(E142/1.25*5%,2)),0)</f>
        <v>40</v>
      </c>
      <c r="I142" s="169">
        <f t="shared" ref="I142:I205" si="14">IFERROR((ROUND(E142/1.25*85%,2)),0)</f>
        <v>680</v>
      </c>
      <c r="J142" s="198">
        <f t="shared" ref="J142:J205" si="15">IFERROR((ROUND(E142-(E142/1.25),2)),0)</f>
        <v>200</v>
      </c>
      <c r="K142" s="173">
        <f t="shared" ref="K142:K205" si="16">SUM(G142:J142)</f>
        <v>1000</v>
      </c>
      <c r="L142" s="174"/>
      <c r="M142" s="163"/>
    </row>
    <row r="143" spans="1:13" ht="9.9499999999999993" customHeight="1" x14ac:dyDescent="0.25">
      <c r="A143" s="238"/>
      <c r="B143" s="176"/>
      <c r="C143" s="177"/>
      <c r="D143" s="177"/>
      <c r="E143" s="177"/>
      <c r="F143" s="250"/>
      <c r="G143" s="196">
        <f t="shared" si="12"/>
        <v>0</v>
      </c>
      <c r="H143" s="197">
        <f t="shared" si="13"/>
        <v>0</v>
      </c>
      <c r="I143" s="169">
        <f t="shared" si="14"/>
        <v>0</v>
      </c>
      <c r="J143" s="198">
        <f t="shared" si="15"/>
        <v>0</v>
      </c>
      <c r="K143" s="173">
        <f t="shared" si="16"/>
        <v>0</v>
      </c>
      <c r="L143" s="179"/>
      <c r="M143" s="177"/>
    </row>
    <row r="144" spans="1:13" ht="57" x14ac:dyDescent="0.25">
      <c r="A144" s="225">
        <v>6.279999999999994</v>
      </c>
      <c r="B144" s="181" t="s">
        <v>324</v>
      </c>
      <c r="C144" s="182"/>
      <c r="D144" s="182"/>
      <c r="E144" s="182"/>
      <c r="F144" s="183"/>
      <c r="G144" s="196">
        <f t="shared" si="12"/>
        <v>0</v>
      </c>
      <c r="H144" s="197">
        <f t="shared" si="13"/>
        <v>0</v>
      </c>
      <c r="I144" s="169">
        <f t="shared" si="14"/>
        <v>0</v>
      </c>
      <c r="J144" s="198">
        <f t="shared" si="15"/>
        <v>0</v>
      </c>
      <c r="K144" s="173">
        <f t="shared" si="16"/>
        <v>0</v>
      </c>
      <c r="L144" s="251"/>
      <c r="M144" s="182"/>
    </row>
    <row r="145" spans="1:13" x14ac:dyDescent="0.25">
      <c r="A145" s="233" t="s">
        <v>4</v>
      </c>
      <c r="B145" s="136" t="s">
        <v>325</v>
      </c>
      <c r="C145" s="163">
        <v>62</v>
      </c>
      <c r="D145" s="163" t="s">
        <v>326</v>
      </c>
      <c r="E145" s="252">
        <v>800</v>
      </c>
      <c r="F145" s="210">
        <f>ROUND($C145*E145,0)</f>
        <v>49600</v>
      </c>
      <c r="G145" s="196">
        <f t="shared" si="12"/>
        <v>64</v>
      </c>
      <c r="H145" s="197">
        <f t="shared" si="13"/>
        <v>32</v>
      </c>
      <c r="I145" s="169">
        <f t="shared" si="14"/>
        <v>544</v>
      </c>
      <c r="J145" s="198">
        <f t="shared" si="15"/>
        <v>160</v>
      </c>
      <c r="K145" s="173">
        <f t="shared" si="16"/>
        <v>800</v>
      </c>
      <c r="L145" s="253"/>
      <c r="M145" s="252"/>
    </row>
    <row r="146" spans="1:13" x14ac:dyDescent="0.25">
      <c r="A146" s="233" t="s">
        <v>48</v>
      </c>
      <c r="B146" s="136" t="s">
        <v>327</v>
      </c>
      <c r="C146" s="163">
        <v>1</v>
      </c>
      <c r="D146" s="163" t="s">
        <v>86</v>
      </c>
      <c r="E146" s="252">
        <v>6000</v>
      </c>
      <c r="F146" s="210">
        <f>ROUND($C146*E146,0)</f>
        <v>6000</v>
      </c>
      <c r="G146" s="196">
        <f t="shared" si="12"/>
        <v>480</v>
      </c>
      <c r="H146" s="197">
        <f t="shared" si="13"/>
        <v>240</v>
      </c>
      <c r="I146" s="169">
        <f t="shared" si="14"/>
        <v>4080</v>
      </c>
      <c r="J146" s="198">
        <f t="shared" si="15"/>
        <v>1200</v>
      </c>
      <c r="K146" s="173">
        <f t="shared" si="16"/>
        <v>6000</v>
      </c>
      <c r="L146" s="253"/>
      <c r="M146" s="252"/>
    </row>
    <row r="147" spans="1:13" x14ac:dyDescent="0.25">
      <c r="A147" s="233" t="s">
        <v>51</v>
      </c>
      <c r="B147" s="136" t="s">
        <v>328</v>
      </c>
      <c r="C147" s="163">
        <v>2</v>
      </c>
      <c r="D147" s="163" t="s">
        <v>326</v>
      </c>
      <c r="E147" s="252">
        <v>1000</v>
      </c>
      <c r="F147" s="210">
        <f>ROUND($C147*E147,0)</f>
        <v>2000</v>
      </c>
      <c r="G147" s="196">
        <f t="shared" si="12"/>
        <v>80</v>
      </c>
      <c r="H147" s="197">
        <f t="shared" si="13"/>
        <v>40</v>
      </c>
      <c r="I147" s="169">
        <f t="shared" si="14"/>
        <v>680</v>
      </c>
      <c r="J147" s="198">
        <f t="shared" si="15"/>
        <v>200</v>
      </c>
      <c r="K147" s="173">
        <f t="shared" si="16"/>
        <v>1000</v>
      </c>
      <c r="L147" s="253"/>
      <c r="M147" s="252"/>
    </row>
    <row r="148" spans="1:13" x14ac:dyDescent="0.25">
      <c r="A148" s="233" t="s">
        <v>52</v>
      </c>
      <c r="B148" s="136" t="s">
        <v>329</v>
      </c>
      <c r="C148" s="163">
        <v>14</v>
      </c>
      <c r="D148" s="163" t="s">
        <v>326</v>
      </c>
      <c r="E148" s="252">
        <v>800</v>
      </c>
      <c r="F148" s="210">
        <f>ROUND($C148*E148,0)</f>
        <v>11200</v>
      </c>
      <c r="G148" s="196">
        <f t="shared" si="12"/>
        <v>64</v>
      </c>
      <c r="H148" s="197">
        <f t="shared" si="13"/>
        <v>32</v>
      </c>
      <c r="I148" s="169">
        <f t="shared" si="14"/>
        <v>544</v>
      </c>
      <c r="J148" s="198">
        <f t="shared" si="15"/>
        <v>160</v>
      </c>
      <c r="K148" s="173">
        <f t="shared" si="16"/>
        <v>800</v>
      </c>
      <c r="L148" s="253"/>
      <c r="M148" s="252"/>
    </row>
    <row r="149" spans="1:13" ht="15" x14ac:dyDescent="0.25">
      <c r="A149" s="233"/>
      <c r="B149" s="136"/>
      <c r="C149" s="163"/>
      <c r="D149" s="163"/>
      <c r="E149" s="189"/>
      <c r="F149" s="164"/>
      <c r="G149" s="196">
        <f t="shared" si="12"/>
        <v>0</v>
      </c>
      <c r="H149" s="197">
        <f t="shared" si="13"/>
        <v>0</v>
      </c>
      <c r="I149" s="169">
        <f t="shared" si="14"/>
        <v>0</v>
      </c>
      <c r="J149" s="198">
        <f t="shared" si="15"/>
        <v>0</v>
      </c>
      <c r="K149" s="173">
        <f t="shared" si="16"/>
        <v>0</v>
      </c>
      <c r="L149" s="212"/>
      <c r="M149" s="188"/>
    </row>
    <row r="150" spans="1:13" ht="101.25" customHeight="1" x14ac:dyDescent="0.25">
      <c r="A150" s="162">
        <v>6.2899999999999938</v>
      </c>
      <c r="B150" s="136" t="s">
        <v>330</v>
      </c>
      <c r="C150" s="163">
        <v>1</v>
      </c>
      <c r="D150" s="163" t="s">
        <v>331</v>
      </c>
      <c r="E150" s="163">
        <v>200000</v>
      </c>
      <c r="F150" s="210">
        <f>ROUND($C150*E150,0)</f>
        <v>200000</v>
      </c>
      <c r="G150" s="196">
        <f t="shared" si="12"/>
        <v>16000</v>
      </c>
      <c r="H150" s="197">
        <f t="shared" si="13"/>
        <v>8000</v>
      </c>
      <c r="I150" s="169">
        <f t="shared" si="14"/>
        <v>136000</v>
      </c>
      <c r="J150" s="198">
        <f t="shared" si="15"/>
        <v>40000</v>
      </c>
      <c r="K150" s="173">
        <f t="shared" si="16"/>
        <v>200000</v>
      </c>
      <c r="L150" s="174"/>
      <c r="M150" s="163"/>
    </row>
    <row r="151" spans="1:13" ht="15" x14ac:dyDescent="0.25">
      <c r="A151" s="187"/>
      <c r="B151" s="208"/>
      <c r="C151" s="188"/>
      <c r="D151" s="188"/>
      <c r="E151" s="189"/>
      <c r="F151" s="190"/>
      <c r="G151" s="196">
        <f t="shared" si="12"/>
        <v>0</v>
      </c>
      <c r="H151" s="197">
        <f t="shared" si="13"/>
        <v>0</v>
      </c>
      <c r="I151" s="169">
        <f t="shared" si="14"/>
        <v>0</v>
      </c>
      <c r="J151" s="198">
        <f t="shared" si="15"/>
        <v>0</v>
      </c>
      <c r="K151" s="173">
        <f t="shared" si="16"/>
        <v>0</v>
      </c>
      <c r="L151" s="212"/>
      <c r="M151" s="188"/>
    </row>
    <row r="152" spans="1:13" ht="87.75" customHeight="1" x14ac:dyDescent="0.25">
      <c r="A152" s="162">
        <v>6.2999999999999936</v>
      </c>
      <c r="B152" s="136" t="s">
        <v>332</v>
      </c>
      <c r="C152" s="163">
        <v>847</v>
      </c>
      <c r="D152" s="163" t="s">
        <v>105</v>
      </c>
      <c r="E152" s="163">
        <v>18000</v>
      </c>
      <c r="F152" s="210">
        <f>ROUND($C152*E152,0)</f>
        <v>15246000</v>
      </c>
      <c r="G152" s="196">
        <f t="shared" si="12"/>
        <v>1440</v>
      </c>
      <c r="H152" s="197">
        <f t="shared" si="13"/>
        <v>720</v>
      </c>
      <c r="I152" s="169">
        <f t="shared" si="14"/>
        <v>12240</v>
      </c>
      <c r="J152" s="198">
        <f t="shared" si="15"/>
        <v>3600</v>
      </c>
      <c r="K152" s="173">
        <f t="shared" si="16"/>
        <v>18000</v>
      </c>
      <c r="L152" s="174"/>
      <c r="M152" s="163"/>
    </row>
    <row r="153" spans="1:13" ht="9.9499999999999993" customHeight="1" x14ac:dyDescent="0.25">
      <c r="A153" s="187"/>
      <c r="B153" s="208"/>
      <c r="C153" s="188"/>
      <c r="D153" s="188"/>
      <c r="E153" s="189"/>
      <c r="F153" s="190"/>
      <c r="G153" s="196">
        <f t="shared" si="12"/>
        <v>0</v>
      </c>
      <c r="H153" s="197">
        <f t="shared" si="13"/>
        <v>0</v>
      </c>
      <c r="I153" s="169">
        <f t="shared" si="14"/>
        <v>0</v>
      </c>
      <c r="J153" s="198">
        <f t="shared" si="15"/>
        <v>0</v>
      </c>
      <c r="K153" s="173">
        <f t="shared" si="16"/>
        <v>0</v>
      </c>
      <c r="L153" s="212"/>
      <c r="M153" s="188"/>
    </row>
    <row r="154" spans="1:13" ht="76.5" customHeight="1" x14ac:dyDescent="0.25">
      <c r="A154" s="162">
        <v>6.3099999999999934</v>
      </c>
      <c r="B154" s="136" t="s">
        <v>333</v>
      </c>
      <c r="C154" s="163">
        <v>945</v>
      </c>
      <c r="D154" s="163" t="s">
        <v>10</v>
      </c>
      <c r="E154" s="163">
        <v>220</v>
      </c>
      <c r="F154" s="210">
        <f>ROUND($C154*E154,0)</f>
        <v>207900</v>
      </c>
      <c r="G154" s="196">
        <f t="shared" si="12"/>
        <v>17.600000000000001</v>
      </c>
      <c r="H154" s="197">
        <f t="shared" si="13"/>
        <v>8.8000000000000007</v>
      </c>
      <c r="I154" s="169">
        <f t="shared" si="14"/>
        <v>149.6</v>
      </c>
      <c r="J154" s="198">
        <f t="shared" si="15"/>
        <v>44</v>
      </c>
      <c r="K154" s="173">
        <f t="shared" si="16"/>
        <v>220</v>
      </c>
      <c r="L154" s="174"/>
      <c r="M154" s="163"/>
    </row>
    <row r="155" spans="1:13" ht="9.9499999999999993" customHeight="1" x14ac:dyDescent="0.25">
      <c r="A155" s="219"/>
      <c r="B155" s="220"/>
      <c r="C155" s="221"/>
      <c r="D155" s="221"/>
      <c r="E155" s="222"/>
      <c r="F155" s="223"/>
      <c r="G155" s="196">
        <f t="shared" si="12"/>
        <v>0</v>
      </c>
      <c r="H155" s="197">
        <f t="shared" si="13"/>
        <v>0</v>
      </c>
      <c r="I155" s="169">
        <f t="shared" si="14"/>
        <v>0</v>
      </c>
      <c r="J155" s="198">
        <f t="shared" si="15"/>
        <v>0</v>
      </c>
      <c r="K155" s="173">
        <f t="shared" si="16"/>
        <v>0</v>
      </c>
      <c r="L155" s="224"/>
      <c r="M155" s="221"/>
    </row>
    <row r="156" spans="1:13" s="249" customFormat="1" ht="15" x14ac:dyDescent="0.25">
      <c r="A156" s="244"/>
      <c r="B156" s="228" t="s">
        <v>334</v>
      </c>
      <c r="C156" s="245"/>
      <c r="D156" s="245"/>
      <c r="E156" s="246"/>
      <c r="F156" s="247"/>
      <c r="G156" s="196">
        <f t="shared" si="12"/>
        <v>0</v>
      </c>
      <c r="H156" s="197">
        <f t="shared" si="13"/>
        <v>0</v>
      </c>
      <c r="I156" s="169">
        <f t="shared" si="14"/>
        <v>0</v>
      </c>
      <c r="J156" s="198">
        <f t="shared" si="15"/>
        <v>0</v>
      </c>
      <c r="K156" s="173">
        <f t="shared" si="16"/>
        <v>0</v>
      </c>
      <c r="L156" s="248"/>
      <c r="M156" s="245"/>
    </row>
    <row r="157" spans="1:13" ht="298.5" customHeight="1" x14ac:dyDescent="0.25">
      <c r="A157" s="162">
        <v>6.3199999999999932</v>
      </c>
      <c r="B157" s="136" t="s">
        <v>335</v>
      </c>
      <c r="C157" s="163"/>
      <c r="D157" s="163"/>
      <c r="E157" s="163"/>
      <c r="F157" s="164"/>
      <c r="G157" s="196">
        <f t="shared" si="12"/>
        <v>0</v>
      </c>
      <c r="H157" s="197">
        <f t="shared" si="13"/>
        <v>0</v>
      </c>
      <c r="I157" s="169">
        <f t="shared" si="14"/>
        <v>0</v>
      </c>
      <c r="J157" s="198">
        <f t="shared" si="15"/>
        <v>0</v>
      </c>
      <c r="K157" s="173">
        <f t="shared" si="16"/>
        <v>0</v>
      </c>
      <c r="L157" s="174"/>
      <c r="M157" s="163"/>
    </row>
    <row r="158" spans="1:13" ht="28.5" x14ac:dyDescent="0.25">
      <c r="A158" s="233" t="s">
        <v>4</v>
      </c>
      <c r="B158" s="254" t="s">
        <v>336</v>
      </c>
      <c r="C158" s="163">
        <v>9685</v>
      </c>
      <c r="D158" s="163" t="s">
        <v>105</v>
      </c>
      <c r="E158" s="163">
        <v>150</v>
      </c>
      <c r="F158" s="210">
        <f>ROUND($C158*E158,0)</f>
        <v>1452750</v>
      </c>
      <c r="G158" s="196">
        <f t="shared" si="12"/>
        <v>12</v>
      </c>
      <c r="H158" s="197">
        <f t="shared" si="13"/>
        <v>6</v>
      </c>
      <c r="I158" s="169">
        <f t="shared" si="14"/>
        <v>102</v>
      </c>
      <c r="J158" s="198">
        <f t="shared" si="15"/>
        <v>30</v>
      </c>
      <c r="K158" s="173">
        <f t="shared" si="16"/>
        <v>150</v>
      </c>
      <c r="L158" s="174"/>
      <c r="M158" s="163"/>
    </row>
    <row r="159" spans="1:13" ht="28.5" x14ac:dyDescent="0.25">
      <c r="A159" s="233" t="s">
        <v>48</v>
      </c>
      <c r="B159" s="136" t="s">
        <v>337</v>
      </c>
      <c r="C159" s="163">
        <v>11000</v>
      </c>
      <c r="D159" s="163" t="s">
        <v>105</v>
      </c>
      <c r="E159" s="163">
        <v>150</v>
      </c>
      <c r="F159" s="210">
        <f>ROUND($C159*E159,0)</f>
        <v>1650000</v>
      </c>
      <c r="G159" s="196">
        <f t="shared" si="12"/>
        <v>12</v>
      </c>
      <c r="H159" s="197">
        <f t="shared" si="13"/>
        <v>6</v>
      </c>
      <c r="I159" s="169">
        <f t="shared" si="14"/>
        <v>102</v>
      </c>
      <c r="J159" s="198">
        <f t="shared" si="15"/>
        <v>30</v>
      </c>
      <c r="K159" s="173">
        <f t="shared" si="16"/>
        <v>150</v>
      </c>
      <c r="L159" s="174"/>
      <c r="M159" s="163"/>
    </row>
    <row r="160" spans="1:13" ht="28.5" x14ac:dyDescent="0.25">
      <c r="A160" s="233" t="s">
        <v>51</v>
      </c>
      <c r="B160" s="136" t="s">
        <v>338</v>
      </c>
      <c r="C160" s="163">
        <v>11720</v>
      </c>
      <c r="D160" s="163" t="s">
        <v>105</v>
      </c>
      <c r="E160" s="163">
        <v>170</v>
      </c>
      <c r="F160" s="210">
        <f>ROUND($C160*E160,0)</f>
        <v>1992400</v>
      </c>
      <c r="G160" s="196">
        <f t="shared" si="12"/>
        <v>13.6</v>
      </c>
      <c r="H160" s="197">
        <f t="shared" si="13"/>
        <v>6.8</v>
      </c>
      <c r="I160" s="169">
        <f t="shared" si="14"/>
        <v>115.6</v>
      </c>
      <c r="J160" s="198">
        <f t="shared" si="15"/>
        <v>34</v>
      </c>
      <c r="K160" s="173">
        <f t="shared" si="16"/>
        <v>170</v>
      </c>
      <c r="L160" s="174"/>
      <c r="M160" s="163"/>
    </row>
    <row r="161" spans="1:13" ht="9" customHeight="1" x14ac:dyDescent="0.25">
      <c r="A161" s="162"/>
      <c r="B161" s="136"/>
      <c r="C161" s="163"/>
      <c r="D161" s="163"/>
      <c r="E161" s="163"/>
      <c r="F161" s="164"/>
      <c r="G161" s="196">
        <f t="shared" si="12"/>
        <v>0</v>
      </c>
      <c r="H161" s="197">
        <f t="shared" si="13"/>
        <v>0</v>
      </c>
      <c r="I161" s="169">
        <f t="shared" si="14"/>
        <v>0</v>
      </c>
      <c r="J161" s="198">
        <f t="shared" si="15"/>
        <v>0</v>
      </c>
      <c r="K161" s="173">
        <f t="shared" si="16"/>
        <v>0</v>
      </c>
      <c r="L161" s="174"/>
      <c r="M161" s="163"/>
    </row>
    <row r="162" spans="1:13" ht="118.5" customHeight="1" x14ac:dyDescent="0.25">
      <c r="A162" s="162">
        <v>6.329999999999993</v>
      </c>
      <c r="B162" s="136" t="s">
        <v>339</v>
      </c>
      <c r="C162" s="163">
        <v>2824</v>
      </c>
      <c r="D162" s="163" t="s">
        <v>105</v>
      </c>
      <c r="E162" s="163">
        <v>155</v>
      </c>
      <c r="F162" s="210">
        <f>ROUND($C162*E162,0)</f>
        <v>437720</v>
      </c>
      <c r="G162" s="196">
        <f t="shared" si="12"/>
        <v>12.4</v>
      </c>
      <c r="H162" s="197">
        <f t="shared" si="13"/>
        <v>6.2</v>
      </c>
      <c r="I162" s="169">
        <f t="shared" si="14"/>
        <v>105.4</v>
      </c>
      <c r="J162" s="198">
        <f t="shared" si="15"/>
        <v>31</v>
      </c>
      <c r="K162" s="173">
        <f t="shared" si="16"/>
        <v>155</v>
      </c>
      <c r="L162" s="174"/>
      <c r="M162" s="163"/>
    </row>
    <row r="163" spans="1:13" x14ac:dyDescent="0.25">
      <c r="A163" s="206"/>
      <c r="B163" s="136"/>
      <c r="C163" s="163"/>
      <c r="D163" s="163"/>
      <c r="E163" s="163"/>
      <c r="F163" s="210"/>
      <c r="G163" s="196">
        <f t="shared" si="12"/>
        <v>0</v>
      </c>
      <c r="H163" s="197">
        <f t="shared" si="13"/>
        <v>0</v>
      </c>
      <c r="I163" s="169">
        <f t="shared" si="14"/>
        <v>0</v>
      </c>
      <c r="J163" s="198">
        <f t="shared" si="15"/>
        <v>0</v>
      </c>
      <c r="K163" s="173">
        <f t="shared" si="16"/>
        <v>0</v>
      </c>
      <c r="L163" s="168"/>
      <c r="M163" s="169"/>
    </row>
    <row r="164" spans="1:13" ht="11.25" customHeight="1" x14ac:dyDescent="0.25">
      <c r="A164" s="213"/>
      <c r="B164" s="214"/>
      <c r="C164" s="215"/>
      <c r="D164" s="215"/>
      <c r="E164" s="216"/>
      <c r="F164" s="217"/>
      <c r="G164" s="196">
        <f t="shared" si="12"/>
        <v>0</v>
      </c>
      <c r="H164" s="197">
        <f t="shared" si="13"/>
        <v>0</v>
      </c>
      <c r="I164" s="169">
        <f t="shared" si="14"/>
        <v>0</v>
      </c>
      <c r="J164" s="198">
        <f t="shared" si="15"/>
        <v>0</v>
      </c>
      <c r="K164" s="173">
        <f t="shared" si="16"/>
        <v>0</v>
      </c>
      <c r="L164" s="218"/>
      <c r="M164" s="215"/>
    </row>
    <row r="165" spans="1:13" ht="276.75" customHeight="1" x14ac:dyDescent="0.25">
      <c r="A165" s="255">
        <v>7.01</v>
      </c>
      <c r="B165" s="136" t="s">
        <v>340</v>
      </c>
      <c r="C165" s="163"/>
      <c r="D165" s="163"/>
      <c r="E165" s="163"/>
      <c r="F165" s="210"/>
      <c r="G165" s="196">
        <f t="shared" si="12"/>
        <v>0</v>
      </c>
      <c r="H165" s="197">
        <f t="shared" si="13"/>
        <v>0</v>
      </c>
      <c r="I165" s="169">
        <f t="shared" si="14"/>
        <v>0</v>
      </c>
      <c r="J165" s="198">
        <f t="shared" si="15"/>
        <v>0</v>
      </c>
      <c r="K165" s="173">
        <f t="shared" si="16"/>
        <v>0</v>
      </c>
      <c r="L165" s="174"/>
      <c r="M165" s="163"/>
    </row>
    <row r="166" spans="1:13" ht="57" x14ac:dyDescent="0.25">
      <c r="A166" s="256" t="s">
        <v>4</v>
      </c>
      <c r="B166" s="176" t="s">
        <v>341</v>
      </c>
      <c r="C166" s="177">
        <v>840</v>
      </c>
      <c r="D166" s="177" t="s">
        <v>10</v>
      </c>
      <c r="E166" s="177">
        <v>731</v>
      </c>
      <c r="F166" s="239">
        <f>ROUND($C166*E166,0)</f>
        <v>614040</v>
      </c>
      <c r="G166" s="196">
        <f t="shared" si="12"/>
        <v>58.48</v>
      </c>
      <c r="H166" s="197">
        <f t="shared" si="13"/>
        <v>29.24</v>
      </c>
      <c r="I166" s="169">
        <f t="shared" si="14"/>
        <v>497.08</v>
      </c>
      <c r="J166" s="198">
        <f t="shared" si="15"/>
        <v>146.19999999999999</v>
      </c>
      <c r="K166" s="173">
        <f t="shared" si="16"/>
        <v>731</v>
      </c>
      <c r="L166" s="179"/>
      <c r="M166" s="177"/>
    </row>
    <row r="167" spans="1:13" ht="57" x14ac:dyDescent="0.25">
      <c r="A167" s="257" t="s">
        <v>48</v>
      </c>
      <c r="B167" s="181" t="s">
        <v>342</v>
      </c>
      <c r="C167" s="182">
        <v>92</v>
      </c>
      <c r="D167" s="182" t="s">
        <v>10</v>
      </c>
      <c r="E167" s="182">
        <v>731</v>
      </c>
      <c r="F167" s="231">
        <f>ROUND($C167*E167,0)</f>
        <v>67252</v>
      </c>
      <c r="G167" s="196">
        <f t="shared" si="12"/>
        <v>58.48</v>
      </c>
      <c r="H167" s="197">
        <f t="shared" si="13"/>
        <v>29.24</v>
      </c>
      <c r="I167" s="169">
        <f t="shared" si="14"/>
        <v>497.08</v>
      </c>
      <c r="J167" s="198">
        <f t="shared" si="15"/>
        <v>146.19999999999999</v>
      </c>
      <c r="K167" s="173">
        <f t="shared" si="16"/>
        <v>731</v>
      </c>
      <c r="L167" s="251"/>
      <c r="M167" s="182"/>
    </row>
    <row r="168" spans="1:13" ht="57" x14ac:dyDescent="0.25">
      <c r="A168" s="258" t="s">
        <v>51</v>
      </c>
      <c r="B168" s="136" t="s">
        <v>343</v>
      </c>
      <c r="C168" s="163">
        <v>3047</v>
      </c>
      <c r="D168" s="163" t="s">
        <v>10</v>
      </c>
      <c r="E168" s="163">
        <v>731</v>
      </c>
      <c r="F168" s="210">
        <f>ROUND($C168*E168,0)</f>
        <v>2227357</v>
      </c>
      <c r="G168" s="196">
        <f t="shared" si="12"/>
        <v>58.48</v>
      </c>
      <c r="H168" s="197">
        <f t="shared" si="13"/>
        <v>29.24</v>
      </c>
      <c r="I168" s="169">
        <f t="shared" si="14"/>
        <v>497.08</v>
      </c>
      <c r="J168" s="198">
        <f t="shared" si="15"/>
        <v>146.19999999999999</v>
      </c>
      <c r="K168" s="173">
        <f t="shared" si="16"/>
        <v>731</v>
      </c>
      <c r="L168" s="174"/>
      <c r="M168" s="163"/>
    </row>
    <row r="169" spans="1:13" ht="47.25" customHeight="1" x14ac:dyDescent="0.25">
      <c r="A169" s="258" t="s">
        <v>52</v>
      </c>
      <c r="B169" s="136" t="s">
        <v>344</v>
      </c>
      <c r="C169" s="163">
        <v>528</v>
      </c>
      <c r="D169" s="163" t="s">
        <v>10</v>
      </c>
      <c r="E169" s="163">
        <v>731</v>
      </c>
      <c r="F169" s="210">
        <f>ROUND($C169*E169,0)</f>
        <v>385968</v>
      </c>
      <c r="G169" s="196">
        <f t="shared" si="12"/>
        <v>58.48</v>
      </c>
      <c r="H169" s="197">
        <f t="shared" si="13"/>
        <v>29.24</v>
      </c>
      <c r="I169" s="169">
        <f t="shared" si="14"/>
        <v>497.08</v>
      </c>
      <c r="J169" s="198">
        <f t="shared" si="15"/>
        <v>146.19999999999999</v>
      </c>
      <c r="K169" s="173">
        <f t="shared" si="16"/>
        <v>731</v>
      </c>
      <c r="L169" s="174"/>
      <c r="M169" s="163"/>
    </row>
    <row r="170" spans="1:13" ht="28.5" x14ac:dyDescent="0.25">
      <c r="A170" s="258" t="s">
        <v>58</v>
      </c>
      <c r="B170" s="136" t="s">
        <v>345</v>
      </c>
      <c r="C170" s="163">
        <v>176</v>
      </c>
      <c r="D170" s="163" t="s">
        <v>10</v>
      </c>
      <c r="E170" s="163">
        <v>731</v>
      </c>
      <c r="F170" s="210">
        <f>ROUND($C170*E170,0)</f>
        <v>128656</v>
      </c>
      <c r="G170" s="196">
        <f t="shared" si="12"/>
        <v>58.48</v>
      </c>
      <c r="H170" s="197">
        <f t="shared" si="13"/>
        <v>29.24</v>
      </c>
      <c r="I170" s="169">
        <f t="shared" si="14"/>
        <v>497.08</v>
      </c>
      <c r="J170" s="198">
        <f t="shared" si="15"/>
        <v>146.19999999999999</v>
      </c>
      <c r="K170" s="173">
        <f t="shared" si="16"/>
        <v>731</v>
      </c>
      <c r="L170" s="174"/>
      <c r="M170" s="163"/>
    </row>
    <row r="171" spans="1:13" ht="8.25" customHeight="1" x14ac:dyDescent="0.25">
      <c r="A171" s="259"/>
      <c r="B171" s="208"/>
      <c r="C171" s="188"/>
      <c r="D171" s="188"/>
      <c r="E171" s="189"/>
      <c r="F171" s="190"/>
      <c r="G171" s="196">
        <f t="shared" si="12"/>
        <v>0</v>
      </c>
      <c r="H171" s="197">
        <f t="shared" si="13"/>
        <v>0</v>
      </c>
      <c r="I171" s="169">
        <f t="shared" si="14"/>
        <v>0</v>
      </c>
      <c r="J171" s="198">
        <f t="shared" si="15"/>
        <v>0</v>
      </c>
      <c r="K171" s="173">
        <f t="shared" si="16"/>
        <v>0</v>
      </c>
      <c r="L171" s="212"/>
      <c r="M171" s="188"/>
    </row>
    <row r="172" spans="1:13" ht="145.5" customHeight="1" x14ac:dyDescent="0.25">
      <c r="A172" s="255">
        <v>7.02</v>
      </c>
      <c r="B172" s="136" t="s">
        <v>346</v>
      </c>
      <c r="C172" s="163">
        <v>468</v>
      </c>
      <c r="D172" s="163" t="s">
        <v>11</v>
      </c>
      <c r="E172" s="163">
        <v>6962</v>
      </c>
      <c r="F172" s="210">
        <f>ROUND($C172*E172,0)</f>
        <v>3258216</v>
      </c>
      <c r="G172" s="196">
        <f t="shared" si="12"/>
        <v>556.96</v>
      </c>
      <c r="H172" s="197">
        <f t="shared" si="13"/>
        <v>278.48</v>
      </c>
      <c r="I172" s="169">
        <f t="shared" si="14"/>
        <v>4734.16</v>
      </c>
      <c r="J172" s="198">
        <f t="shared" si="15"/>
        <v>1392.4</v>
      </c>
      <c r="K172" s="173">
        <f t="shared" si="16"/>
        <v>6962</v>
      </c>
      <c r="L172" s="174"/>
      <c r="M172" s="163"/>
    </row>
    <row r="173" spans="1:13" ht="8.25" customHeight="1" x14ac:dyDescent="0.25">
      <c r="A173" s="255"/>
      <c r="B173" s="136"/>
      <c r="C173" s="163"/>
      <c r="D173" s="163"/>
      <c r="E173" s="163"/>
      <c r="F173" s="210"/>
      <c r="G173" s="196">
        <f t="shared" si="12"/>
        <v>0</v>
      </c>
      <c r="H173" s="197">
        <f t="shared" si="13"/>
        <v>0</v>
      </c>
      <c r="I173" s="169">
        <f t="shared" si="14"/>
        <v>0</v>
      </c>
      <c r="J173" s="198">
        <f t="shared" si="15"/>
        <v>0</v>
      </c>
      <c r="K173" s="173">
        <f t="shared" si="16"/>
        <v>0</v>
      </c>
      <c r="L173" s="174"/>
      <c r="M173" s="163"/>
    </row>
    <row r="174" spans="1:13" ht="109.5" customHeight="1" x14ac:dyDescent="0.25">
      <c r="A174" s="255">
        <v>7.0299999999999994</v>
      </c>
      <c r="B174" s="136" t="s">
        <v>347</v>
      </c>
      <c r="C174" s="163">
        <v>6939</v>
      </c>
      <c r="D174" s="163" t="s">
        <v>287</v>
      </c>
      <c r="E174" s="163">
        <v>167</v>
      </c>
      <c r="F174" s="210">
        <f>ROUND($C174*E174,0)</f>
        <v>1158813</v>
      </c>
      <c r="G174" s="196">
        <f t="shared" si="12"/>
        <v>13.36</v>
      </c>
      <c r="H174" s="197">
        <f t="shared" si="13"/>
        <v>6.68</v>
      </c>
      <c r="I174" s="169">
        <f t="shared" si="14"/>
        <v>113.56</v>
      </c>
      <c r="J174" s="198">
        <f t="shared" si="15"/>
        <v>33.4</v>
      </c>
      <c r="K174" s="173">
        <f t="shared" si="16"/>
        <v>167</v>
      </c>
      <c r="L174" s="174"/>
      <c r="M174" s="163"/>
    </row>
    <row r="175" spans="1:13" ht="8.25" customHeight="1" x14ac:dyDescent="0.25">
      <c r="A175" s="255"/>
      <c r="B175" s="136"/>
      <c r="C175" s="163"/>
      <c r="D175" s="163"/>
      <c r="E175" s="163"/>
      <c r="F175" s="210"/>
      <c r="G175" s="196">
        <f t="shared" si="12"/>
        <v>0</v>
      </c>
      <c r="H175" s="197">
        <f t="shared" si="13"/>
        <v>0</v>
      </c>
      <c r="I175" s="169">
        <f t="shared" si="14"/>
        <v>0</v>
      </c>
      <c r="J175" s="198">
        <f t="shared" si="15"/>
        <v>0</v>
      </c>
      <c r="K175" s="173">
        <f t="shared" si="16"/>
        <v>0</v>
      </c>
      <c r="L175" s="174"/>
      <c r="M175" s="163"/>
    </row>
    <row r="176" spans="1:13" ht="131.25" customHeight="1" x14ac:dyDescent="0.25">
      <c r="A176" s="260">
        <v>7.0399999999999991</v>
      </c>
      <c r="B176" s="176" t="s">
        <v>348</v>
      </c>
      <c r="C176" s="177">
        <v>28</v>
      </c>
      <c r="D176" s="177" t="s">
        <v>11</v>
      </c>
      <c r="E176" s="177">
        <v>20243</v>
      </c>
      <c r="F176" s="239">
        <f>ROUND($C176*E176,0)</f>
        <v>566804</v>
      </c>
      <c r="G176" s="196">
        <f t="shared" si="12"/>
        <v>1619.44</v>
      </c>
      <c r="H176" s="197">
        <f t="shared" si="13"/>
        <v>809.72</v>
      </c>
      <c r="I176" s="169">
        <f t="shared" si="14"/>
        <v>13765.24</v>
      </c>
      <c r="J176" s="198">
        <f t="shared" si="15"/>
        <v>4048.6</v>
      </c>
      <c r="K176" s="173">
        <f t="shared" si="16"/>
        <v>20243</v>
      </c>
      <c r="L176" s="179"/>
      <c r="M176" s="177"/>
    </row>
    <row r="177" spans="1:13" ht="8.25" customHeight="1" x14ac:dyDescent="0.25">
      <c r="A177" s="261"/>
      <c r="B177" s="181"/>
      <c r="C177" s="182"/>
      <c r="D177" s="182"/>
      <c r="E177" s="182"/>
      <c r="F177" s="231"/>
      <c r="G177" s="196">
        <f t="shared" si="12"/>
        <v>0</v>
      </c>
      <c r="H177" s="197">
        <f t="shared" si="13"/>
        <v>0</v>
      </c>
      <c r="I177" s="169">
        <f t="shared" si="14"/>
        <v>0</v>
      </c>
      <c r="J177" s="198">
        <f t="shared" si="15"/>
        <v>0</v>
      </c>
      <c r="K177" s="173">
        <f t="shared" si="16"/>
        <v>0</v>
      </c>
      <c r="L177" s="251"/>
      <c r="M177" s="182"/>
    </row>
    <row r="178" spans="1:13" ht="102.75" customHeight="1" x14ac:dyDescent="0.25">
      <c r="A178" s="255">
        <v>7.0499999999999989</v>
      </c>
      <c r="B178" s="136" t="s">
        <v>349</v>
      </c>
      <c r="C178" s="163">
        <v>132</v>
      </c>
      <c r="D178" s="163" t="s">
        <v>287</v>
      </c>
      <c r="E178" s="163">
        <v>444</v>
      </c>
      <c r="F178" s="210">
        <f>ROUND($C178*E178,0)</f>
        <v>58608</v>
      </c>
      <c r="G178" s="196">
        <f t="shared" si="12"/>
        <v>35.520000000000003</v>
      </c>
      <c r="H178" s="197">
        <f t="shared" si="13"/>
        <v>17.760000000000002</v>
      </c>
      <c r="I178" s="169">
        <f t="shared" si="14"/>
        <v>301.92</v>
      </c>
      <c r="J178" s="198">
        <f t="shared" si="15"/>
        <v>88.8</v>
      </c>
      <c r="K178" s="173">
        <f t="shared" si="16"/>
        <v>444.00000000000006</v>
      </c>
      <c r="L178" s="174"/>
      <c r="M178" s="163"/>
    </row>
    <row r="179" spans="1:13" ht="8.25" customHeight="1" x14ac:dyDescent="0.25">
      <c r="A179" s="255"/>
      <c r="B179" s="136"/>
      <c r="C179" s="163"/>
      <c r="D179" s="163"/>
      <c r="E179" s="163"/>
      <c r="F179" s="210"/>
      <c r="G179" s="196">
        <f t="shared" si="12"/>
        <v>0</v>
      </c>
      <c r="H179" s="197">
        <f t="shared" si="13"/>
        <v>0</v>
      </c>
      <c r="I179" s="169">
        <f t="shared" si="14"/>
        <v>0</v>
      </c>
      <c r="J179" s="198">
        <f t="shared" si="15"/>
        <v>0</v>
      </c>
      <c r="K179" s="173">
        <f t="shared" si="16"/>
        <v>0</v>
      </c>
      <c r="L179" s="174"/>
      <c r="M179" s="163"/>
    </row>
    <row r="180" spans="1:13" ht="114" x14ac:dyDescent="0.25">
      <c r="A180" s="255">
        <v>7.0599999999999987</v>
      </c>
      <c r="B180" s="136" t="s">
        <v>350</v>
      </c>
      <c r="C180" s="163">
        <v>216</v>
      </c>
      <c r="D180" s="163" t="s">
        <v>10</v>
      </c>
      <c r="E180" s="163">
        <v>2741</v>
      </c>
      <c r="F180" s="210">
        <f>ROUND($C180*E180,0)</f>
        <v>592056</v>
      </c>
      <c r="G180" s="196">
        <f t="shared" si="12"/>
        <v>219.28</v>
      </c>
      <c r="H180" s="197">
        <f t="shared" si="13"/>
        <v>109.64</v>
      </c>
      <c r="I180" s="169">
        <f t="shared" si="14"/>
        <v>1863.88</v>
      </c>
      <c r="J180" s="198">
        <f t="shared" si="15"/>
        <v>548.20000000000005</v>
      </c>
      <c r="K180" s="173">
        <f t="shared" si="16"/>
        <v>2741</v>
      </c>
      <c r="L180" s="174"/>
      <c r="M180" s="163"/>
    </row>
    <row r="181" spans="1:13" ht="8.25" customHeight="1" x14ac:dyDescent="0.25">
      <c r="A181" s="255"/>
      <c r="B181" s="136"/>
      <c r="C181" s="163"/>
      <c r="D181" s="163"/>
      <c r="E181" s="163"/>
      <c r="F181" s="210"/>
      <c r="G181" s="196">
        <f t="shared" si="12"/>
        <v>0</v>
      </c>
      <c r="H181" s="197">
        <f t="shared" si="13"/>
        <v>0</v>
      </c>
      <c r="I181" s="169">
        <f t="shared" si="14"/>
        <v>0</v>
      </c>
      <c r="J181" s="198">
        <f t="shared" si="15"/>
        <v>0</v>
      </c>
      <c r="K181" s="173">
        <f t="shared" si="16"/>
        <v>0</v>
      </c>
      <c r="L181" s="174"/>
      <c r="M181" s="163"/>
    </row>
    <row r="182" spans="1:13" ht="145.5" customHeight="1" x14ac:dyDescent="0.25">
      <c r="A182" s="255">
        <v>7.0699999999999985</v>
      </c>
      <c r="B182" s="136" t="s">
        <v>351</v>
      </c>
      <c r="C182" s="163"/>
      <c r="D182" s="163"/>
      <c r="E182" s="163"/>
      <c r="F182" s="210"/>
      <c r="G182" s="196">
        <f t="shared" si="12"/>
        <v>0</v>
      </c>
      <c r="H182" s="197">
        <f t="shared" si="13"/>
        <v>0</v>
      </c>
      <c r="I182" s="169">
        <f t="shared" si="14"/>
        <v>0</v>
      </c>
      <c r="J182" s="198">
        <f t="shared" si="15"/>
        <v>0</v>
      </c>
      <c r="K182" s="173">
        <f t="shared" si="16"/>
        <v>0</v>
      </c>
      <c r="L182" s="174"/>
      <c r="M182" s="163"/>
    </row>
    <row r="183" spans="1:13" ht="28.5" x14ac:dyDescent="0.25">
      <c r="A183" s="258" t="s">
        <v>4</v>
      </c>
      <c r="B183" s="136" t="s">
        <v>352</v>
      </c>
      <c r="C183" s="163">
        <v>660</v>
      </c>
      <c r="D183" s="163" t="s">
        <v>10</v>
      </c>
      <c r="E183" s="163">
        <v>1540</v>
      </c>
      <c r="F183" s="210">
        <f>ROUND($C183*E183,0)</f>
        <v>1016400</v>
      </c>
      <c r="G183" s="196">
        <f t="shared" si="12"/>
        <v>123.2</v>
      </c>
      <c r="H183" s="197">
        <f t="shared" si="13"/>
        <v>61.6</v>
      </c>
      <c r="I183" s="169">
        <f t="shared" si="14"/>
        <v>1047.2</v>
      </c>
      <c r="J183" s="198">
        <f t="shared" si="15"/>
        <v>308</v>
      </c>
      <c r="K183" s="173">
        <f t="shared" si="16"/>
        <v>1540</v>
      </c>
      <c r="L183" s="174"/>
      <c r="M183" s="163"/>
    </row>
    <row r="184" spans="1:13" ht="8.25" customHeight="1" x14ac:dyDescent="0.25">
      <c r="A184" s="258"/>
      <c r="B184" s="136"/>
      <c r="C184" s="163"/>
      <c r="D184" s="163"/>
      <c r="E184" s="163"/>
      <c r="F184" s="210"/>
      <c r="G184" s="196">
        <f t="shared" si="12"/>
        <v>0</v>
      </c>
      <c r="H184" s="197">
        <f t="shared" si="13"/>
        <v>0</v>
      </c>
      <c r="I184" s="169">
        <f t="shared" si="14"/>
        <v>0</v>
      </c>
      <c r="J184" s="198">
        <f t="shared" si="15"/>
        <v>0</v>
      </c>
      <c r="K184" s="173">
        <f t="shared" si="16"/>
        <v>0</v>
      </c>
      <c r="L184" s="174"/>
      <c r="M184" s="163"/>
    </row>
    <row r="185" spans="1:13" ht="134.25" customHeight="1" x14ac:dyDescent="0.25">
      <c r="A185" s="255">
        <v>7.0799999999999983</v>
      </c>
      <c r="B185" s="136" t="s">
        <v>353</v>
      </c>
      <c r="C185" s="163"/>
      <c r="D185" s="163"/>
      <c r="E185" s="163"/>
      <c r="F185" s="210"/>
      <c r="G185" s="196">
        <f t="shared" si="12"/>
        <v>0</v>
      </c>
      <c r="H185" s="197">
        <f t="shared" si="13"/>
        <v>0</v>
      </c>
      <c r="I185" s="169">
        <f t="shared" si="14"/>
        <v>0</v>
      </c>
      <c r="J185" s="198">
        <f t="shared" si="15"/>
        <v>0</v>
      </c>
      <c r="K185" s="173">
        <f t="shared" si="16"/>
        <v>0</v>
      </c>
      <c r="L185" s="174"/>
      <c r="M185" s="163"/>
    </row>
    <row r="186" spans="1:13" ht="28.5" x14ac:dyDescent="0.25">
      <c r="A186" s="256" t="s">
        <v>4</v>
      </c>
      <c r="B186" s="176" t="s">
        <v>354</v>
      </c>
      <c r="C186" s="177">
        <v>4822</v>
      </c>
      <c r="D186" s="177" t="s">
        <v>10</v>
      </c>
      <c r="E186" s="177">
        <v>1700</v>
      </c>
      <c r="F186" s="239">
        <f>ROUND($C186*E186,0)</f>
        <v>8197400</v>
      </c>
      <c r="G186" s="196">
        <f t="shared" si="12"/>
        <v>136</v>
      </c>
      <c r="H186" s="197">
        <f t="shared" si="13"/>
        <v>68</v>
      </c>
      <c r="I186" s="169">
        <f t="shared" si="14"/>
        <v>1156</v>
      </c>
      <c r="J186" s="198">
        <f t="shared" si="15"/>
        <v>340</v>
      </c>
      <c r="K186" s="173">
        <f t="shared" si="16"/>
        <v>1700</v>
      </c>
      <c r="L186" s="179"/>
      <c r="M186" s="177"/>
    </row>
    <row r="187" spans="1:13" ht="28.5" x14ac:dyDescent="0.25">
      <c r="A187" s="257" t="s">
        <v>48</v>
      </c>
      <c r="B187" s="181" t="s">
        <v>355</v>
      </c>
      <c r="C187" s="182">
        <v>327</v>
      </c>
      <c r="D187" s="182" t="s">
        <v>10</v>
      </c>
      <c r="E187" s="182">
        <v>1700</v>
      </c>
      <c r="F187" s="231">
        <f>ROUND($C187*E187,0)</f>
        <v>555900</v>
      </c>
      <c r="G187" s="196">
        <f t="shared" si="12"/>
        <v>136</v>
      </c>
      <c r="H187" s="197">
        <f t="shared" si="13"/>
        <v>68</v>
      </c>
      <c r="I187" s="169">
        <f t="shared" si="14"/>
        <v>1156</v>
      </c>
      <c r="J187" s="198">
        <f t="shared" si="15"/>
        <v>340</v>
      </c>
      <c r="K187" s="173">
        <f t="shared" si="16"/>
        <v>1700</v>
      </c>
      <c r="L187" s="251"/>
      <c r="M187" s="182"/>
    </row>
    <row r="188" spans="1:13" x14ac:dyDescent="0.25">
      <c r="A188" s="258" t="s">
        <v>51</v>
      </c>
      <c r="B188" s="136" t="s">
        <v>356</v>
      </c>
      <c r="C188" s="163">
        <v>203</v>
      </c>
      <c r="D188" s="163" t="s">
        <v>10</v>
      </c>
      <c r="E188" s="163">
        <v>1700</v>
      </c>
      <c r="F188" s="210">
        <f>ROUND($C188*E188,0)</f>
        <v>345100</v>
      </c>
      <c r="G188" s="196">
        <f t="shared" si="12"/>
        <v>136</v>
      </c>
      <c r="H188" s="197">
        <f t="shared" si="13"/>
        <v>68</v>
      </c>
      <c r="I188" s="169">
        <f t="shared" si="14"/>
        <v>1156</v>
      </c>
      <c r="J188" s="198">
        <f t="shared" si="15"/>
        <v>340</v>
      </c>
      <c r="K188" s="173">
        <f t="shared" si="16"/>
        <v>1700</v>
      </c>
      <c r="L188" s="174"/>
      <c r="M188" s="163"/>
    </row>
    <row r="189" spans="1:13" x14ac:dyDescent="0.25">
      <c r="A189" s="258" t="s">
        <v>52</v>
      </c>
      <c r="B189" s="136" t="s">
        <v>357</v>
      </c>
      <c r="C189" s="163">
        <v>587</v>
      </c>
      <c r="D189" s="163" t="s">
        <v>10</v>
      </c>
      <c r="E189" s="163">
        <v>1700</v>
      </c>
      <c r="F189" s="210">
        <f>ROUND($C189*E189,0)</f>
        <v>997900</v>
      </c>
      <c r="G189" s="196">
        <f t="shared" si="12"/>
        <v>136</v>
      </c>
      <c r="H189" s="197">
        <f t="shared" si="13"/>
        <v>68</v>
      </c>
      <c r="I189" s="169">
        <f t="shared" si="14"/>
        <v>1156</v>
      </c>
      <c r="J189" s="198">
        <f t="shared" si="15"/>
        <v>340</v>
      </c>
      <c r="K189" s="173">
        <f t="shared" si="16"/>
        <v>1700</v>
      </c>
      <c r="L189" s="174"/>
      <c r="M189" s="163"/>
    </row>
    <row r="190" spans="1:13" ht="28.5" x14ac:dyDescent="0.25">
      <c r="A190" s="258" t="s">
        <v>58</v>
      </c>
      <c r="B190" s="136" t="s">
        <v>358</v>
      </c>
      <c r="C190" s="163">
        <v>345</v>
      </c>
      <c r="D190" s="163" t="s">
        <v>10</v>
      </c>
      <c r="E190" s="163">
        <v>1700</v>
      </c>
      <c r="F190" s="210">
        <f>ROUND($C190*E190,0)</f>
        <v>586500</v>
      </c>
      <c r="G190" s="196">
        <f t="shared" si="12"/>
        <v>136</v>
      </c>
      <c r="H190" s="197">
        <f t="shared" si="13"/>
        <v>68</v>
      </c>
      <c r="I190" s="169">
        <f t="shared" si="14"/>
        <v>1156</v>
      </c>
      <c r="J190" s="198">
        <f t="shared" si="15"/>
        <v>340</v>
      </c>
      <c r="K190" s="173">
        <f t="shared" si="16"/>
        <v>1700</v>
      </c>
      <c r="L190" s="174"/>
      <c r="M190" s="163"/>
    </row>
    <row r="191" spans="1:13" ht="8.25" customHeight="1" x14ac:dyDescent="0.25">
      <c r="A191" s="259"/>
      <c r="B191" s="136"/>
      <c r="C191" s="188"/>
      <c r="D191" s="188"/>
      <c r="E191" s="189"/>
      <c r="F191" s="190"/>
      <c r="G191" s="196">
        <f t="shared" si="12"/>
        <v>0</v>
      </c>
      <c r="H191" s="197">
        <f t="shared" si="13"/>
        <v>0</v>
      </c>
      <c r="I191" s="169">
        <f t="shared" si="14"/>
        <v>0</v>
      </c>
      <c r="J191" s="198">
        <f t="shared" si="15"/>
        <v>0</v>
      </c>
      <c r="K191" s="173">
        <f t="shared" si="16"/>
        <v>0</v>
      </c>
      <c r="L191" s="212"/>
      <c r="M191" s="188"/>
    </row>
    <row r="192" spans="1:13" ht="45" customHeight="1" x14ac:dyDescent="0.25">
      <c r="A192" s="255">
        <v>7.0899999999999981</v>
      </c>
      <c r="B192" s="136" t="s">
        <v>359</v>
      </c>
      <c r="C192" s="163"/>
      <c r="D192" s="163"/>
      <c r="E192" s="262"/>
      <c r="F192" s="210"/>
      <c r="G192" s="196">
        <f t="shared" si="12"/>
        <v>0</v>
      </c>
      <c r="H192" s="197">
        <f t="shared" si="13"/>
        <v>0</v>
      </c>
      <c r="I192" s="169">
        <f t="shared" si="14"/>
        <v>0</v>
      </c>
      <c r="J192" s="198">
        <f t="shared" si="15"/>
        <v>0</v>
      </c>
      <c r="K192" s="173">
        <f t="shared" si="16"/>
        <v>0</v>
      </c>
      <c r="L192" s="263"/>
      <c r="M192" s="262"/>
    </row>
    <row r="193" spans="1:13" ht="16.5" customHeight="1" x14ac:dyDescent="0.25">
      <c r="A193" s="255" t="s">
        <v>4</v>
      </c>
      <c r="B193" s="136" t="s">
        <v>360</v>
      </c>
      <c r="C193" s="163">
        <v>48</v>
      </c>
      <c r="D193" s="163" t="s">
        <v>10</v>
      </c>
      <c r="E193" s="262">
        <v>1200</v>
      </c>
      <c r="F193" s="210">
        <f>ROUND($C193*E193,0)</f>
        <v>57600</v>
      </c>
      <c r="G193" s="196">
        <f t="shared" si="12"/>
        <v>96</v>
      </c>
      <c r="H193" s="197">
        <f t="shared" si="13"/>
        <v>48</v>
      </c>
      <c r="I193" s="169">
        <f t="shared" si="14"/>
        <v>816</v>
      </c>
      <c r="J193" s="198">
        <f t="shared" si="15"/>
        <v>240</v>
      </c>
      <c r="K193" s="173">
        <f t="shared" si="16"/>
        <v>1200</v>
      </c>
      <c r="L193" s="263"/>
      <c r="M193" s="262"/>
    </row>
    <row r="194" spans="1:13" ht="8.25" customHeight="1" x14ac:dyDescent="0.25">
      <c r="A194" s="258"/>
      <c r="B194" s="136"/>
      <c r="C194" s="163"/>
      <c r="D194" s="163"/>
      <c r="E194" s="163"/>
      <c r="F194" s="210"/>
      <c r="G194" s="196">
        <f t="shared" si="12"/>
        <v>0</v>
      </c>
      <c r="H194" s="197">
        <f t="shared" si="13"/>
        <v>0</v>
      </c>
      <c r="I194" s="169">
        <f t="shared" si="14"/>
        <v>0</v>
      </c>
      <c r="J194" s="198">
        <f t="shared" si="15"/>
        <v>0</v>
      </c>
      <c r="K194" s="173">
        <f t="shared" si="16"/>
        <v>0</v>
      </c>
      <c r="L194" s="174"/>
      <c r="M194" s="163"/>
    </row>
    <row r="195" spans="1:13" ht="114" x14ac:dyDescent="0.25">
      <c r="A195" s="255">
        <v>7.0999999999999979</v>
      </c>
      <c r="B195" s="136" t="s">
        <v>361</v>
      </c>
      <c r="C195" s="163"/>
      <c r="D195" s="163"/>
      <c r="E195" s="163"/>
      <c r="F195" s="210"/>
      <c r="G195" s="196">
        <f t="shared" si="12"/>
        <v>0</v>
      </c>
      <c r="H195" s="197">
        <f t="shared" si="13"/>
        <v>0</v>
      </c>
      <c r="I195" s="169">
        <f t="shared" si="14"/>
        <v>0</v>
      </c>
      <c r="J195" s="198">
        <f t="shared" si="15"/>
        <v>0</v>
      </c>
      <c r="K195" s="173">
        <f t="shared" si="16"/>
        <v>0</v>
      </c>
      <c r="L195" s="174"/>
      <c r="M195" s="163"/>
    </row>
    <row r="196" spans="1:13" ht="28.5" x14ac:dyDescent="0.25">
      <c r="A196" s="255" t="s">
        <v>4</v>
      </c>
      <c r="B196" s="136" t="s">
        <v>362</v>
      </c>
      <c r="C196" s="163">
        <v>994</v>
      </c>
      <c r="D196" s="163" t="s">
        <v>10</v>
      </c>
      <c r="E196" s="163">
        <v>1800</v>
      </c>
      <c r="F196" s="210">
        <f>ROUND($C196*E196,0)</f>
        <v>1789200</v>
      </c>
      <c r="G196" s="196">
        <f t="shared" si="12"/>
        <v>144</v>
      </c>
      <c r="H196" s="197">
        <f t="shared" si="13"/>
        <v>72</v>
      </c>
      <c r="I196" s="169">
        <f t="shared" si="14"/>
        <v>1224</v>
      </c>
      <c r="J196" s="198">
        <f t="shared" si="15"/>
        <v>360</v>
      </c>
      <c r="K196" s="173">
        <f t="shared" si="16"/>
        <v>1800</v>
      </c>
      <c r="L196" s="174"/>
      <c r="M196" s="163"/>
    </row>
    <row r="197" spans="1:13" ht="8.25" customHeight="1" x14ac:dyDescent="0.25">
      <c r="A197" s="258"/>
      <c r="B197" s="136"/>
      <c r="C197" s="163"/>
      <c r="D197" s="163"/>
      <c r="E197" s="163"/>
      <c r="F197" s="210"/>
      <c r="G197" s="196">
        <f t="shared" si="12"/>
        <v>0</v>
      </c>
      <c r="H197" s="197">
        <f t="shared" si="13"/>
        <v>0</v>
      </c>
      <c r="I197" s="169">
        <f t="shared" si="14"/>
        <v>0</v>
      </c>
      <c r="J197" s="198">
        <f t="shared" si="15"/>
        <v>0</v>
      </c>
      <c r="K197" s="173">
        <f t="shared" si="16"/>
        <v>0</v>
      </c>
      <c r="L197" s="174"/>
      <c r="M197" s="163"/>
    </row>
    <row r="198" spans="1:13" ht="158.25" customHeight="1" x14ac:dyDescent="0.25">
      <c r="A198" s="255">
        <v>7.1099999999999977</v>
      </c>
      <c r="B198" s="136" t="s">
        <v>363</v>
      </c>
      <c r="C198" s="163">
        <v>260</v>
      </c>
      <c r="D198" s="163" t="s">
        <v>10</v>
      </c>
      <c r="E198" s="163">
        <v>1200</v>
      </c>
      <c r="F198" s="210">
        <f>ROUND($C198*E198,0)</f>
        <v>312000</v>
      </c>
      <c r="G198" s="196">
        <f t="shared" si="12"/>
        <v>96</v>
      </c>
      <c r="H198" s="197">
        <f t="shared" si="13"/>
        <v>48</v>
      </c>
      <c r="I198" s="169">
        <f t="shared" si="14"/>
        <v>816</v>
      </c>
      <c r="J198" s="198">
        <f t="shared" si="15"/>
        <v>240</v>
      </c>
      <c r="K198" s="173">
        <f t="shared" si="16"/>
        <v>1200</v>
      </c>
      <c r="L198" s="174"/>
      <c r="M198" s="163"/>
    </row>
    <row r="199" spans="1:13" ht="8.25" customHeight="1" x14ac:dyDescent="0.25">
      <c r="A199" s="258"/>
      <c r="B199" s="136"/>
      <c r="C199" s="163"/>
      <c r="D199" s="163"/>
      <c r="E199" s="163"/>
      <c r="F199" s="210"/>
      <c r="G199" s="196">
        <f t="shared" si="12"/>
        <v>0</v>
      </c>
      <c r="H199" s="197">
        <f t="shared" si="13"/>
        <v>0</v>
      </c>
      <c r="I199" s="169">
        <f t="shared" si="14"/>
        <v>0</v>
      </c>
      <c r="J199" s="198">
        <f t="shared" si="15"/>
        <v>0</v>
      </c>
      <c r="K199" s="173">
        <f t="shared" si="16"/>
        <v>0</v>
      </c>
      <c r="L199" s="174"/>
      <c r="M199" s="163"/>
    </row>
    <row r="200" spans="1:13" ht="116.25" customHeight="1" x14ac:dyDescent="0.25">
      <c r="A200" s="260">
        <v>7.1199999999999974</v>
      </c>
      <c r="B200" s="176" t="s">
        <v>364</v>
      </c>
      <c r="C200" s="177"/>
      <c r="D200" s="177"/>
      <c r="E200" s="177"/>
      <c r="F200" s="239"/>
      <c r="G200" s="196">
        <f t="shared" si="12"/>
        <v>0</v>
      </c>
      <c r="H200" s="197">
        <f t="shared" si="13"/>
        <v>0</v>
      </c>
      <c r="I200" s="169">
        <f t="shared" si="14"/>
        <v>0</v>
      </c>
      <c r="J200" s="198">
        <f t="shared" si="15"/>
        <v>0</v>
      </c>
      <c r="K200" s="173">
        <f t="shared" si="16"/>
        <v>0</v>
      </c>
      <c r="L200" s="179"/>
      <c r="M200" s="177"/>
    </row>
    <row r="201" spans="1:13" x14ac:dyDescent="0.25">
      <c r="A201" s="261" t="s">
        <v>4</v>
      </c>
      <c r="B201" s="181" t="s">
        <v>365</v>
      </c>
      <c r="C201" s="182">
        <v>568</v>
      </c>
      <c r="D201" s="182" t="s">
        <v>10</v>
      </c>
      <c r="E201" s="182">
        <v>1500</v>
      </c>
      <c r="F201" s="231">
        <f>ROUND($C201*E201,0)</f>
        <v>852000</v>
      </c>
      <c r="G201" s="196">
        <f t="shared" si="12"/>
        <v>120</v>
      </c>
      <c r="H201" s="197">
        <f t="shared" si="13"/>
        <v>60</v>
      </c>
      <c r="I201" s="169">
        <f t="shared" si="14"/>
        <v>1020</v>
      </c>
      <c r="J201" s="198">
        <f t="shared" si="15"/>
        <v>300</v>
      </c>
      <c r="K201" s="173">
        <f t="shared" si="16"/>
        <v>1500</v>
      </c>
      <c r="L201" s="251"/>
      <c r="M201" s="182"/>
    </row>
    <row r="202" spans="1:13" ht="8.25" customHeight="1" x14ac:dyDescent="0.25">
      <c r="A202" s="255"/>
      <c r="B202" s="136"/>
      <c r="C202" s="163"/>
      <c r="D202" s="163"/>
      <c r="E202" s="163"/>
      <c r="F202" s="210"/>
      <c r="G202" s="196">
        <f t="shared" si="12"/>
        <v>0</v>
      </c>
      <c r="H202" s="197">
        <f t="shared" si="13"/>
        <v>0</v>
      </c>
      <c r="I202" s="169">
        <f t="shared" si="14"/>
        <v>0</v>
      </c>
      <c r="J202" s="198">
        <f t="shared" si="15"/>
        <v>0</v>
      </c>
      <c r="K202" s="173">
        <f t="shared" si="16"/>
        <v>0</v>
      </c>
      <c r="L202" s="174"/>
      <c r="M202" s="163"/>
    </row>
    <row r="203" spans="1:13" ht="160.5" customHeight="1" x14ac:dyDescent="0.25">
      <c r="A203" s="255">
        <v>7.1299999999999972</v>
      </c>
      <c r="B203" s="136" t="s">
        <v>366</v>
      </c>
      <c r="C203" s="163">
        <v>242</v>
      </c>
      <c r="D203" s="163" t="s">
        <v>10</v>
      </c>
      <c r="E203" s="163">
        <v>1588</v>
      </c>
      <c r="F203" s="210">
        <f>ROUND($C203*E203,0)</f>
        <v>384296</v>
      </c>
      <c r="G203" s="196">
        <f t="shared" si="12"/>
        <v>127.04</v>
      </c>
      <c r="H203" s="197">
        <f t="shared" si="13"/>
        <v>63.52</v>
      </c>
      <c r="I203" s="169">
        <f t="shared" si="14"/>
        <v>1079.8399999999999</v>
      </c>
      <c r="J203" s="198">
        <f t="shared" si="15"/>
        <v>317.60000000000002</v>
      </c>
      <c r="K203" s="173">
        <f t="shared" si="16"/>
        <v>1588</v>
      </c>
      <c r="L203" s="174"/>
      <c r="M203" s="163"/>
    </row>
    <row r="204" spans="1:13" ht="8.25" customHeight="1" x14ac:dyDescent="0.25">
      <c r="A204" s="255"/>
      <c r="B204" s="136"/>
      <c r="C204" s="163"/>
      <c r="D204" s="163"/>
      <c r="E204" s="163"/>
      <c r="F204" s="210"/>
      <c r="G204" s="196">
        <f t="shared" si="12"/>
        <v>0</v>
      </c>
      <c r="H204" s="197">
        <f t="shared" si="13"/>
        <v>0</v>
      </c>
      <c r="I204" s="169">
        <f t="shared" si="14"/>
        <v>0</v>
      </c>
      <c r="J204" s="198">
        <f t="shared" si="15"/>
        <v>0</v>
      </c>
      <c r="K204" s="173">
        <f t="shared" si="16"/>
        <v>0</v>
      </c>
      <c r="L204" s="174"/>
      <c r="M204" s="163"/>
    </row>
    <row r="205" spans="1:13" ht="149.25" customHeight="1" x14ac:dyDescent="0.25">
      <c r="A205" s="255">
        <v>7.139999999999997</v>
      </c>
      <c r="B205" s="136" t="s">
        <v>367</v>
      </c>
      <c r="C205" s="163">
        <v>296</v>
      </c>
      <c r="D205" s="163" t="s">
        <v>10</v>
      </c>
      <c r="E205" s="163">
        <v>6000</v>
      </c>
      <c r="F205" s="210">
        <f>ROUND($C205*E205,0)</f>
        <v>1776000</v>
      </c>
      <c r="G205" s="196">
        <f t="shared" si="12"/>
        <v>480</v>
      </c>
      <c r="H205" s="197">
        <f t="shared" si="13"/>
        <v>240</v>
      </c>
      <c r="I205" s="169">
        <f t="shared" si="14"/>
        <v>4080</v>
      </c>
      <c r="J205" s="198">
        <f t="shared" si="15"/>
        <v>1200</v>
      </c>
      <c r="K205" s="173">
        <f t="shared" si="16"/>
        <v>6000</v>
      </c>
      <c r="L205" s="174"/>
      <c r="M205" s="163"/>
    </row>
    <row r="206" spans="1:13" ht="9" customHeight="1" x14ac:dyDescent="0.25">
      <c r="A206" s="255"/>
      <c r="B206" s="136"/>
      <c r="C206" s="163"/>
      <c r="D206" s="163"/>
      <c r="E206" s="163"/>
      <c r="F206" s="210"/>
      <c r="G206" s="196">
        <f t="shared" ref="G206:G269" si="17">IFERROR((ROUND(E206/1.25*10%,2)),0)</f>
        <v>0</v>
      </c>
      <c r="H206" s="197">
        <f t="shared" ref="H206:H269" si="18">IFERROR((ROUND(E206/1.25*5%,2)),0)</f>
        <v>0</v>
      </c>
      <c r="I206" s="169">
        <f t="shared" ref="I206:I269" si="19">IFERROR((ROUND(E206/1.25*85%,2)),0)</f>
        <v>0</v>
      </c>
      <c r="J206" s="198">
        <f t="shared" ref="J206:J269" si="20">IFERROR((ROUND(E206-(E206/1.25),2)),0)</f>
        <v>0</v>
      </c>
      <c r="K206" s="173">
        <f t="shared" ref="K206:K269" si="21">SUM(G206:J206)</f>
        <v>0</v>
      </c>
      <c r="L206" s="174"/>
      <c r="M206" s="163"/>
    </row>
    <row r="207" spans="1:13" ht="71.25" x14ac:dyDescent="0.25">
      <c r="A207" s="255">
        <v>7.1499999999999968</v>
      </c>
      <c r="B207" s="136" t="s">
        <v>368</v>
      </c>
      <c r="C207" s="163">
        <v>7</v>
      </c>
      <c r="D207" s="163" t="s">
        <v>326</v>
      </c>
      <c r="E207" s="262">
        <v>7500</v>
      </c>
      <c r="F207" s="210">
        <f>ROUND($C207*E207,0)</f>
        <v>52500</v>
      </c>
      <c r="G207" s="196">
        <f t="shared" si="17"/>
        <v>600</v>
      </c>
      <c r="H207" s="197">
        <f t="shared" si="18"/>
        <v>300</v>
      </c>
      <c r="I207" s="169">
        <f t="shared" si="19"/>
        <v>5100</v>
      </c>
      <c r="J207" s="198">
        <f t="shared" si="20"/>
        <v>1500</v>
      </c>
      <c r="K207" s="173">
        <f t="shared" si="21"/>
        <v>7500</v>
      </c>
      <c r="L207" s="263"/>
      <c r="M207" s="262"/>
    </row>
    <row r="208" spans="1:13" ht="9" customHeight="1" x14ac:dyDescent="0.25">
      <c r="A208" s="255"/>
      <c r="B208" s="136"/>
      <c r="C208" s="163"/>
      <c r="D208" s="163"/>
      <c r="E208" s="262"/>
      <c r="F208" s="210"/>
      <c r="G208" s="196">
        <f t="shared" si="17"/>
        <v>0</v>
      </c>
      <c r="H208" s="197">
        <f t="shared" si="18"/>
        <v>0</v>
      </c>
      <c r="I208" s="169">
        <f t="shared" si="19"/>
        <v>0</v>
      </c>
      <c r="J208" s="198">
        <f t="shared" si="20"/>
        <v>0</v>
      </c>
      <c r="K208" s="173">
        <f t="shared" si="21"/>
        <v>0</v>
      </c>
      <c r="L208" s="263"/>
      <c r="M208" s="262"/>
    </row>
    <row r="209" spans="1:13" ht="57" x14ac:dyDescent="0.25">
      <c r="A209" s="255">
        <v>7.1599999999999966</v>
      </c>
      <c r="B209" s="136" t="s">
        <v>369</v>
      </c>
      <c r="C209" s="163">
        <v>33</v>
      </c>
      <c r="D209" s="163" t="s">
        <v>326</v>
      </c>
      <c r="E209" s="262">
        <v>5000</v>
      </c>
      <c r="F209" s="210">
        <f>ROUND($C209*E209,0)</f>
        <v>165000</v>
      </c>
      <c r="G209" s="196">
        <f t="shared" si="17"/>
        <v>400</v>
      </c>
      <c r="H209" s="197">
        <f t="shared" si="18"/>
        <v>200</v>
      </c>
      <c r="I209" s="169">
        <f t="shared" si="19"/>
        <v>3400</v>
      </c>
      <c r="J209" s="198">
        <f t="shared" si="20"/>
        <v>1000</v>
      </c>
      <c r="K209" s="173">
        <f t="shared" si="21"/>
        <v>5000</v>
      </c>
      <c r="L209" s="263"/>
      <c r="M209" s="262"/>
    </row>
    <row r="210" spans="1:13" ht="9" customHeight="1" x14ac:dyDescent="0.25">
      <c r="A210" s="255"/>
      <c r="B210" s="136"/>
      <c r="C210" s="163"/>
      <c r="D210" s="163"/>
      <c r="E210" s="264"/>
      <c r="F210" s="210"/>
      <c r="G210" s="196">
        <f t="shared" si="17"/>
        <v>0</v>
      </c>
      <c r="H210" s="197">
        <f t="shared" si="18"/>
        <v>0</v>
      </c>
      <c r="I210" s="169">
        <f t="shared" si="19"/>
        <v>0</v>
      </c>
      <c r="J210" s="198">
        <f t="shared" si="20"/>
        <v>0</v>
      </c>
      <c r="K210" s="173">
        <f t="shared" si="21"/>
        <v>0</v>
      </c>
      <c r="L210" s="265"/>
      <c r="M210" s="266"/>
    </row>
    <row r="211" spans="1:13" ht="75" customHeight="1" x14ac:dyDescent="0.25">
      <c r="A211" s="255">
        <v>7.1699999999999964</v>
      </c>
      <c r="B211" s="136" t="s">
        <v>370</v>
      </c>
      <c r="C211" s="163">
        <v>7</v>
      </c>
      <c r="D211" s="163" t="s">
        <v>326</v>
      </c>
      <c r="E211" s="262">
        <v>4125</v>
      </c>
      <c r="F211" s="210">
        <f>ROUND($C211*E211,0)</f>
        <v>28875</v>
      </c>
      <c r="G211" s="196">
        <f t="shared" si="17"/>
        <v>330</v>
      </c>
      <c r="H211" s="197">
        <f t="shared" si="18"/>
        <v>165</v>
      </c>
      <c r="I211" s="169">
        <f t="shared" si="19"/>
        <v>2805</v>
      </c>
      <c r="J211" s="198">
        <f t="shared" si="20"/>
        <v>825</v>
      </c>
      <c r="K211" s="173">
        <f t="shared" si="21"/>
        <v>4125</v>
      </c>
      <c r="L211" s="263"/>
      <c r="M211" s="262"/>
    </row>
    <row r="212" spans="1:13" ht="9" customHeight="1" x14ac:dyDescent="0.25">
      <c r="A212" s="260"/>
      <c r="B212" s="176"/>
      <c r="C212" s="177"/>
      <c r="D212" s="177"/>
      <c r="E212" s="267"/>
      <c r="F212" s="239"/>
      <c r="G212" s="196">
        <f t="shared" si="17"/>
        <v>0</v>
      </c>
      <c r="H212" s="197">
        <f t="shared" si="18"/>
        <v>0</v>
      </c>
      <c r="I212" s="169">
        <f t="shared" si="19"/>
        <v>0</v>
      </c>
      <c r="J212" s="198">
        <f t="shared" si="20"/>
        <v>0</v>
      </c>
      <c r="K212" s="173">
        <f t="shared" si="21"/>
        <v>0</v>
      </c>
      <c r="L212" s="268"/>
      <c r="M212" s="267"/>
    </row>
    <row r="213" spans="1:13" ht="57" x14ac:dyDescent="0.25">
      <c r="A213" s="261">
        <v>7.1799999999999962</v>
      </c>
      <c r="B213" s="181" t="s">
        <v>371</v>
      </c>
      <c r="C213" s="182">
        <v>33</v>
      </c>
      <c r="D213" s="182" t="s">
        <v>326</v>
      </c>
      <c r="E213" s="269">
        <v>500</v>
      </c>
      <c r="F213" s="231">
        <f>ROUND($C213*E213,0)</f>
        <v>16500</v>
      </c>
      <c r="G213" s="196">
        <f t="shared" si="17"/>
        <v>40</v>
      </c>
      <c r="H213" s="197">
        <f t="shared" si="18"/>
        <v>20</v>
      </c>
      <c r="I213" s="169">
        <f t="shared" si="19"/>
        <v>340</v>
      </c>
      <c r="J213" s="198">
        <f t="shared" si="20"/>
        <v>100</v>
      </c>
      <c r="K213" s="173">
        <f t="shared" si="21"/>
        <v>500</v>
      </c>
      <c r="L213" s="270"/>
      <c r="M213" s="269"/>
    </row>
    <row r="214" spans="1:13" ht="9" customHeight="1" x14ac:dyDescent="0.25">
      <c r="A214" s="255"/>
      <c r="B214" s="136"/>
      <c r="C214" s="163"/>
      <c r="D214" s="163"/>
      <c r="E214" s="262"/>
      <c r="F214" s="210"/>
      <c r="G214" s="196">
        <f t="shared" si="17"/>
        <v>0</v>
      </c>
      <c r="H214" s="197">
        <f t="shared" si="18"/>
        <v>0</v>
      </c>
      <c r="I214" s="169">
        <f t="shared" si="19"/>
        <v>0</v>
      </c>
      <c r="J214" s="198">
        <f t="shared" si="20"/>
        <v>0</v>
      </c>
      <c r="K214" s="173">
        <f t="shared" si="21"/>
        <v>0</v>
      </c>
      <c r="L214" s="263"/>
      <c r="M214" s="262"/>
    </row>
    <row r="215" spans="1:13" ht="42.75" x14ac:dyDescent="0.25">
      <c r="A215" s="255">
        <v>7.1899999999999959</v>
      </c>
      <c r="B215" s="136" t="s">
        <v>372</v>
      </c>
      <c r="C215" s="163">
        <v>35</v>
      </c>
      <c r="D215" s="163" t="s">
        <v>326</v>
      </c>
      <c r="E215" s="262">
        <v>938</v>
      </c>
      <c r="F215" s="210">
        <f>ROUND($C215*E215,0)</f>
        <v>32830</v>
      </c>
      <c r="G215" s="196">
        <f t="shared" si="17"/>
        <v>75.040000000000006</v>
      </c>
      <c r="H215" s="197">
        <f t="shared" si="18"/>
        <v>37.520000000000003</v>
      </c>
      <c r="I215" s="169">
        <f t="shared" si="19"/>
        <v>637.84</v>
      </c>
      <c r="J215" s="198">
        <f t="shared" si="20"/>
        <v>187.6</v>
      </c>
      <c r="K215" s="173">
        <f t="shared" si="21"/>
        <v>938.00000000000011</v>
      </c>
      <c r="L215" s="263"/>
      <c r="M215" s="262"/>
    </row>
    <row r="216" spans="1:13" ht="9" customHeight="1" x14ac:dyDescent="0.25">
      <c r="A216" s="255"/>
      <c r="B216" s="136"/>
      <c r="C216" s="163"/>
      <c r="D216" s="163"/>
      <c r="E216" s="262"/>
      <c r="F216" s="210"/>
      <c r="G216" s="196">
        <f t="shared" si="17"/>
        <v>0</v>
      </c>
      <c r="H216" s="197">
        <f t="shared" si="18"/>
        <v>0</v>
      </c>
      <c r="I216" s="169">
        <f t="shared" si="19"/>
        <v>0</v>
      </c>
      <c r="J216" s="198">
        <f t="shared" si="20"/>
        <v>0</v>
      </c>
      <c r="K216" s="173">
        <f t="shared" si="21"/>
        <v>0</v>
      </c>
      <c r="L216" s="263"/>
      <c r="M216" s="262"/>
    </row>
    <row r="217" spans="1:13" ht="62.25" customHeight="1" x14ac:dyDescent="0.25">
      <c r="A217" s="255">
        <v>7.1999999999999957</v>
      </c>
      <c r="B217" s="136" t="s">
        <v>373</v>
      </c>
      <c r="C217" s="163">
        <v>22</v>
      </c>
      <c r="D217" s="163" t="s">
        <v>10</v>
      </c>
      <c r="E217" s="163">
        <v>3752</v>
      </c>
      <c r="F217" s="210">
        <f>ROUND($C217*E217,0)</f>
        <v>82544</v>
      </c>
      <c r="G217" s="196">
        <f t="shared" si="17"/>
        <v>300.16000000000003</v>
      </c>
      <c r="H217" s="197">
        <f t="shared" si="18"/>
        <v>150.08000000000001</v>
      </c>
      <c r="I217" s="169">
        <f t="shared" si="19"/>
        <v>2551.36</v>
      </c>
      <c r="J217" s="198">
        <f t="shared" si="20"/>
        <v>750.4</v>
      </c>
      <c r="K217" s="173">
        <f t="shared" si="21"/>
        <v>3752.0000000000005</v>
      </c>
      <c r="L217" s="174"/>
      <c r="M217" s="163"/>
    </row>
    <row r="218" spans="1:13" ht="9" customHeight="1" x14ac:dyDescent="0.25">
      <c r="A218" s="255"/>
      <c r="B218" s="136"/>
      <c r="C218" s="163"/>
      <c r="D218" s="163"/>
      <c r="E218" s="262"/>
      <c r="F218" s="210"/>
      <c r="G218" s="196">
        <f t="shared" si="17"/>
        <v>0</v>
      </c>
      <c r="H218" s="197">
        <f t="shared" si="18"/>
        <v>0</v>
      </c>
      <c r="I218" s="169">
        <f t="shared" si="19"/>
        <v>0</v>
      </c>
      <c r="J218" s="198">
        <f t="shared" si="20"/>
        <v>0</v>
      </c>
      <c r="K218" s="173">
        <f t="shared" si="21"/>
        <v>0</v>
      </c>
      <c r="L218" s="263"/>
      <c r="M218" s="262"/>
    </row>
    <row r="219" spans="1:13" ht="115.5" customHeight="1" x14ac:dyDescent="0.25">
      <c r="A219" s="255">
        <v>7.2099999999999955</v>
      </c>
      <c r="B219" s="136" t="s">
        <v>374</v>
      </c>
      <c r="C219" s="163"/>
      <c r="D219" s="163"/>
      <c r="E219" s="262"/>
      <c r="F219" s="210"/>
      <c r="G219" s="196">
        <f t="shared" si="17"/>
        <v>0</v>
      </c>
      <c r="H219" s="197">
        <f t="shared" si="18"/>
        <v>0</v>
      </c>
      <c r="I219" s="169">
        <f t="shared" si="19"/>
        <v>0</v>
      </c>
      <c r="J219" s="198">
        <f t="shared" si="20"/>
        <v>0</v>
      </c>
      <c r="K219" s="173">
        <f t="shared" si="21"/>
        <v>0</v>
      </c>
      <c r="L219" s="263"/>
      <c r="M219" s="262"/>
    </row>
    <row r="220" spans="1:13" x14ac:dyDescent="0.25">
      <c r="A220" s="255" t="s">
        <v>4</v>
      </c>
      <c r="B220" s="136" t="s">
        <v>375</v>
      </c>
      <c r="C220" s="163">
        <v>16</v>
      </c>
      <c r="D220" s="163" t="s">
        <v>326</v>
      </c>
      <c r="E220" s="163">
        <v>313</v>
      </c>
      <c r="F220" s="210">
        <f>ROUND($C220*E220,0)</f>
        <v>5008</v>
      </c>
      <c r="G220" s="196">
        <f t="shared" si="17"/>
        <v>25.04</v>
      </c>
      <c r="H220" s="197">
        <f t="shared" si="18"/>
        <v>12.52</v>
      </c>
      <c r="I220" s="169">
        <f t="shared" si="19"/>
        <v>212.84</v>
      </c>
      <c r="J220" s="198">
        <f t="shared" si="20"/>
        <v>62.6</v>
      </c>
      <c r="K220" s="173">
        <f t="shared" si="21"/>
        <v>313</v>
      </c>
      <c r="L220" s="174"/>
      <c r="M220" s="163"/>
    </row>
    <row r="221" spans="1:13" x14ac:dyDescent="0.25">
      <c r="A221" s="255" t="s">
        <v>48</v>
      </c>
      <c r="B221" s="136" t="s">
        <v>376</v>
      </c>
      <c r="C221" s="163">
        <v>21</v>
      </c>
      <c r="D221" s="163" t="s">
        <v>326</v>
      </c>
      <c r="E221" s="163">
        <v>688</v>
      </c>
      <c r="F221" s="210">
        <f>ROUND($C221*E221,0)</f>
        <v>14448</v>
      </c>
      <c r="G221" s="196">
        <f t="shared" si="17"/>
        <v>55.04</v>
      </c>
      <c r="H221" s="197">
        <f t="shared" si="18"/>
        <v>27.52</v>
      </c>
      <c r="I221" s="169">
        <f t="shared" si="19"/>
        <v>467.84</v>
      </c>
      <c r="J221" s="198">
        <f t="shared" si="20"/>
        <v>137.6</v>
      </c>
      <c r="K221" s="173">
        <f t="shared" si="21"/>
        <v>688</v>
      </c>
      <c r="L221" s="174"/>
      <c r="M221" s="163"/>
    </row>
    <row r="222" spans="1:13" x14ac:dyDescent="0.25">
      <c r="A222" s="255" t="s">
        <v>51</v>
      </c>
      <c r="B222" s="136" t="s">
        <v>377</v>
      </c>
      <c r="C222" s="163">
        <v>26</v>
      </c>
      <c r="D222" s="163" t="s">
        <v>326</v>
      </c>
      <c r="E222" s="163">
        <v>938</v>
      </c>
      <c r="F222" s="210">
        <f>ROUND($C222*E222,0)</f>
        <v>24388</v>
      </c>
      <c r="G222" s="196">
        <f t="shared" si="17"/>
        <v>75.040000000000006</v>
      </c>
      <c r="H222" s="197">
        <f t="shared" si="18"/>
        <v>37.520000000000003</v>
      </c>
      <c r="I222" s="169">
        <f t="shared" si="19"/>
        <v>637.84</v>
      </c>
      <c r="J222" s="198">
        <f t="shared" si="20"/>
        <v>187.6</v>
      </c>
      <c r="K222" s="173">
        <f t="shared" si="21"/>
        <v>938.00000000000011</v>
      </c>
      <c r="L222" s="174"/>
      <c r="M222" s="163"/>
    </row>
    <row r="223" spans="1:13" ht="9" customHeight="1" x14ac:dyDescent="0.25">
      <c r="A223" s="255"/>
      <c r="B223" s="136"/>
      <c r="C223" s="163"/>
      <c r="D223" s="163"/>
      <c r="E223" s="262"/>
      <c r="F223" s="210"/>
      <c r="G223" s="196">
        <f t="shared" si="17"/>
        <v>0</v>
      </c>
      <c r="H223" s="197">
        <f t="shared" si="18"/>
        <v>0</v>
      </c>
      <c r="I223" s="169">
        <f t="shared" si="19"/>
        <v>0</v>
      </c>
      <c r="J223" s="198">
        <f t="shared" si="20"/>
        <v>0</v>
      </c>
      <c r="K223" s="173">
        <f t="shared" si="21"/>
        <v>0</v>
      </c>
      <c r="L223" s="263"/>
      <c r="M223" s="262"/>
    </row>
    <row r="224" spans="1:13" ht="61.5" customHeight="1" x14ac:dyDescent="0.25">
      <c r="A224" s="260">
        <v>7.2199999999999953</v>
      </c>
      <c r="B224" s="176" t="s">
        <v>378</v>
      </c>
      <c r="C224" s="177">
        <v>50</v>
      </c>
      <c r="D224" s="177" t="s">
        <v>326</v>
      </c>
      <c r="E224" s="177">
        <v>1000</v>
      </c>
      <c r="F224" s="239">
        <f>ROUND($C224*E224,0)</f>
        <v>50000</v>
      </c>
      <c r="G224" s="196">
        <f t="shared" si="17"/>
        <v>80</v>
      </c>
      <c r="H224" s="197">
        <f t="shared" si="18"/>
        <v>40</v>
      </c>
      <c r="I224" s="169">
        <f t="shared" si="19"/>
        <v>680</v>
      </c>
      <c r="J224" s="198">
        <f t="shared" si="20"/>
        <v>200</v>
      </c>
      <c r="K224" s="173">
        <f t="shared" si="21"/>
        <v>1000</v>
      </c>
      <c r="L224" s="179"/>
      <c r="M224" s="177"/>
    </row>
    <row r="225" spans="1:13" x14ac:dyDescent="0.25">
      <c r="A225" s="206"/>
      <c r="B225" s="136"/>
      <c r="C225" s="163"/>
      <c r="D225" s="163"/>
      <c r="E225" s="163"/>
      <c r="F225" s="210"/>
      <c r="G225" s="196">
        <f t="shared" si="17"/>
        <v>0</v>
      </c>
      <c r="H225" s="197">
        <f t="shared" si="18"/>
        <v>0</v>
      </c>
      <c r="I225" s="169">
        <f t="shared" si="19"/>
        <v>0</v>
      </c>
      <c r="J225" s="198">
        <f t="shared" si="20"/>
        <v>0</v>
      </c>
      <c r="K225" s="173">
        <f t="shared" si="21"/>
        <v>0</v>
      </c>
      <c r="L225" s="168"/>
      <c r="M225" s="169"/>
    </row>
    <row r="226" spans="1:13" s="274" customFormat="1" ht="132.75" customHeight="1" x14ac:dyDescent="0.25">
      <c r="A226" s="271">
        <v>8.01</v>
      </c>
      <c r="B226" s="272" t="s">
        <v>379</v>
      </c>
      <c r="C226" s="273">
        <v>17609</v>
      </c>
      <c r="D226" s="273" t="s">
        <v>10</v>
      </c>
      <c r="E226" s="273">
        <v>210</v>
      </c>
      <c r="F226" s="231">
        <f>ROUND($C226*E226,0)</f>
        <v>3697890</v>
      </c>
      <c r="G226" s="196">
        <f t="shared" si="17"/>
        <v>16.8</v>
      </c>
      <c r="H226" s="197">
        <f t="shared" si="18"/>
        <v>8.4</v>
      </c>
      <c r="I226" s="169">
        <f t="shared" si="19"/>
        <v>142.80000000000001</v>
      </c>
      <c r="J226" s="198">
        <f t="shared" si="20"/>
        <v>42</v>
      </c>
      <c r="K226" s="173">
        <f t="shared" si="21"/>
        <v>210</v>
      </c>
      <c r="L226" s="232">
        <f>ROUND((C226*0.25)*1.54/7/1.25,2)</f>
        <v>774.8</v>
      </c>
      <c r="M226" s="273"/>
    </row>
    <row r="227" spans="1:13" s="274" customFormat="1" ht="15" customHeight="1" x14ac:dyDescent="0.25">
      <c r="A227" s="275"/>
      <c r="B227" s="276"/>
      <c r="C227" s="277"/>
      <c r="D227" s="277"/>
      <c r="E227" s="277"/>
      <c r="F227" s="278"/>
      <c r="G227" s="196">
        <f t="shared" si="17"/>
        <v>0</v>
      </c>
      <c r="H227" s="197">
        <f t="shared" si="18"/>
        <v>0</v>
      </c>
      <c r="I227" s="169">
        <f t="shared" si="19"/>
        <v>0</v>
      </c>
      <c r="J227" s="198">
        <f t="shared" si="20"/>
        <v>0</v>
      </c>
      <c r="K227" s="173">
        <f t="shared" si="21"/>
        <v>0</v>
      </c>
      <c r="L227" s="279"/>
      <c r="M227" s="277"/>
    </row>
    <row r="228" spans="1:13" s="274" customFormat="1" ht="15" customHeight="1" x14ac:dyDescent="0.25">
      <c r="A228" s="275">
        <v>8.02</v>
      </c>
      <c r="B228" s="276" t="s">
        <v>380</v>
      </c>
      <c r="C228" s="277"/>
      <c r="D228" s="277"/>
      <c r="E228" s="277"/>
      <c r="F228" s="278"/>
      <c r="G228" s="196">
        <f t="shared" si="17"/>
        <v>0</v>
      </c>
      <c r="H228" s="197">
        <f t="shared" si="18"/>
        <v>0</v>
      </c>
      <c r="I228" s="169">
        <f t="shared" si="19"/>
        <v>0</v>
      </c>
      <c r="J228" s="198">
        <f t="shared" si="20"/>
        <v>0</v>
      </c>
      <c r="K228" s="173">
        <f t="shared" si="21"/>
        <v>0</v>
      </c>
      <c r="L228" s="279"/>
      <c r="M228" s="277"/>
    </row>
    <row r="229" spans="1:13" s="274" customFormat="1" ht="60" customHeight="1" x14ac:dyDescent="0.25">
      <c r="A229" s="280" t="s">
        <v>4</v>
      </c>
      <c r="B229" s="276" t="s">
        <v>381</v>
      </c>
      <c r="C229" s="277"/>
      <c r="D229" s="277"/>
      <c r="E229" s="277"/>
      <c r="F229" s="278"/>
      <c r="G229" s="196">
        <f t="shared" si="17"/>
        <v>0</v>
      </c>
      <c r="H229" s="197">
        <f t="shared" si="18"/>
        <v>0</v>
      </c>
      <c r="I229" s="169">
        <f t="shared" si="19"/>
        <v>0</v>
      </c>
      <c r="J229" s="198">
        <f t="shared" si="20"/>
        <v>0</v>
      </c>
      <c r="K229" s="173">
        <f t="shared" si="21"/>
        <v>0</v>
      </c>
      <c r="L229" s="279"/>
      <c r="M229" s="277"/>
    </row>
    <row r="230" spans="1:13" s="274" customFormat="1" ht="102.75" customHeight="1" x14ac:dyDescent="0.25">
      <c r="A230" s="280" t="s">
        <v>48</v>
      </c>
      <c r="B230" s="276" t="s">
        <v>382</v>
      </c>
      <c r="C230" s="277"/>
      <c r="D230" s="277"/>
      <c r="E230" s="277"/>
      <c r="F230" s="278"/>
      <c r="G230" s="196">
        <f t="shared" si="17"/>
        <v>0</v>
      </c>
      <c r="H230" s="197">
        <f t="shared" si="18"/>
        <v>0</v>
      </c>
      <c r="I230" s="169">
        <f t="shared" si="19"/>
        <v>0</v>
      </c>
      <c r="J230" s="198">
        <f t="shared" si="20"/>
        <v>0</v>
      </c>
      <c r="K230" s="173">
        <f t="shared" si="21"/>
        <v>0</v>
      </c>
      <c r="L230" s="279"/>
      <c r="M230" s="277"/>
    </row>
    <row r="231" spans="1:13" s="274" customFormat="1" ht="48" customHeight="1" x14ac:dyDescent="0.25">
      <c r="A231" s="280" t="s">
        <v>51</v>
      </c>
      <c r="B231" s="276" t="s">
        <v>383</v>
      </c>
      <c r="C231" s="277">
        <v>6493</v>
      </c>
      <c r="D231" s="277" t="s">
        <v>10</v>
      </c>
      <c r="E231" s="277">
        <v>140</v>
      </c>
      <c r="F231" s="210">
        <f>ROUND($C231*E231,0)</f>
        <v>909020</v>
      </c>
      <c r="G231" s="196">
        <f t="shared" si="17"/>
        <v>11.2</v>
      </c>
      <c r="H231" s="197">
        <f t="shared" si="18"/>
        <v>5.6</v>
      </c>
      <c r="I231" s="169">
        <f t="shared" si="19"/>
        <v>95.2</v>
      </c>
      <c r="J231" s="198">
        <f t="shared" si="20"/>
        <v>28</v>
      </c>
      <c r="K231" s="173">
        <f t="shared" si="21"/>
        <v>140</v>
      </c>
      <c r="L231" s="232">
        <f>ROUND((C231*0.25)*1.54/7/1.25,2)</f>
        <v>285.69</v>
      </c>
      <c r="M231" s="277"/>
    </row>
    <row r="232" spans="1:13" x14ac:dyDescent="0.25">
      <c r="A232" s="206"/>
      <c r="B232" s="136"/>
      <c r="C232" s="163"/>
      <c r="D232" s="163"/>
      <c r="E232" s="163"/>
      <c r="F232" s="210"/>
      <c r="G232" s="196">
        <f t="shared" si="17"/>
        <v>0</v>
      </c>
      <c r="H232" s="197">
        <f t="shared" si="18"/>
        <v>0</v>
      </c>
      <c r="I232" s="169">
        <f t="shared" si="19"/>
        <v>0</v>
      </c>
      <c r="J232" s="198">
        <f t="shared" si="20"/>
        <v>0</v>
      </c>
      <c r="K232" s="173">
        <f t="shared" si="21"/>
        <v>0</v>
      </c>
      <c r="L232" s="168"/>
      <c r="M232" s="169"/>
    </row>
    <row r="233" spans="1:13" s="289" customFormat="1" ht="15" x14ac:dyDescent="0.25">
      <c r="A233" s="281">
        <v>9.01</v>
      </c>
      <c r="B233" s="282" t="s">
        <v>384</v>
      </c>
      <c r="C233" s="283"/>
      <c r="D233" s="284"/>
      <c r="E233" s="285"/>
      <c r="F233" s="286"/>
      <c r="G233" s="196">
        <f t="shared" si="17"/>
        <v>0</v>
      </c>
      <c r="H233" s="197">
        <f t="shared" si="18"/>
        <v>0</v>
      </c>
      <c r="I233" s="169">
        <f t="shared" si="19"/>
        <v>0</v>
      </c>
      <c r="J233" s="198">
        <f t="shared" si="20"/>
        <v>0</v>
      </c>
      <c r="K233" s="173">
        <f t="shared" si="21"/>
        <v>0</v>
      </c>
      <c r="L233" s="287"/>
      <c r="M233" s="288"/>
    </row>
    <row r="234" spans="1:13" s="289" customFormat="1" ht="90.75" customHeight="1" x14ac:dyDescent="0.2">
      <c r="A234" s="290"/>
      <c r="B234" s="291" t="s">
        <v>385</v>
      </c>
      <c r="C234" s="283"/>
      <c r="D234" s="284"/>
      <c r="E234" s="285"/>
      <c r="F234" s="286"/>
      <c r="G234" s="196">
        <f t="shared" si="17"/>
        <v>0</v>
      </c>
      <c r="H234" s="197">
        <f t="shared" si="18"/>
        <v>0</v>
      </c>
      <c r="I234" s="169">
        <f t="shared" si="19"/>
        <v>0</v>
      </c>
      <c r="J234" s="198">
        <f t="shared" si="20"/>
        <v>0</v>
      </c>
      <c r="K234" s="173">
        <f t="shared" si="21"/>
        <v>0</v>
      </c>
      <c r="L234" s="292"/>
      <c r="M234" s="285"/>
    </row>
    <row r="235" spans="1:13" s="289" customFormat="1" x14ac:dyDescent="0.2">
      <c r="A235" s="290" t="s">
        <v>386</v>
      </c>
      <c r="B235" s="293" t="s">
        <v>387</v>
      </c>
      <c r="C235" s="283">
        <v>145</v>
      </c>
      <c r="D235" s="283" t="s">
        <v>388</v>
      </c>
      <c r="E235" s="294">
        <v>2000</v>
      </c>
      <c r="F235" s="295">
        <f>ROUND($C235*E235,0)</f>
        <v>290000</v>
      </c>
      <c r="G235" s="196">
        <f t="shared" si="17"/>
        <v>160</v>
      </c>
      <c r="H235" s="197">
        <f t="shared" si="18"/>
        <v>80</v>
      </c>
      <c r="I235" s="169">
        <f t="shared" si="19"/>
        <v>1360</v>
      </c>
      <c r="J235" s="198">
        <f t="shared" si="20"/>
        <v>400</v>
      </c>
      <c r="K235" s="173">
        <f t="shared" si="21"/>
        <v>2000</v>
      </c>
      <c r="L235" s="296"/>
      <c r="M235" s="294"/>
    </row>
    <row r="236" spans="1:13" s="289" customFormat="1" x14ac:dyDescent="0.2">
      <c r="A236" s="290"/>
      <c r="B236" s="293"/>
      <c r="C236" s="283"/>
      <c r="D236" s="283"/>
      <c r="E236" s="294"/>
      <c r="F236" s="297"/>
      <c r="G236" s="196">
        <f t="shared" si="17"/>
        <v>0</v>
      </c>
      <c r="H236" s="197">
        <f t="shared" si="18"/>
        <v>0</v>
      </c>
      <c r="I236" s="169">
        <f t="shared" si="19"/>
        <v>0</v>
      </c>
      <c r="J236" s="198">
        <f t="shared" si="20"/>
        <v>0</v>
      </c>
      <c r="K236" s="173">
        <f t="shared" si="21"/>
        <v>0</v>
      </c>
      <c r="L236" s="296"/>
      <c r="M236" s="294"/>
    </row>
    <row r="237" spans="1:13" s="289" customFormat="1" ht="156.75" x14ac:dyDescent="0.25">
      <c r="A237" s="281">
        <v>9.02</v>
      </c>
      <c r="B237" s="291" t="s">
        <v>389</v>
      </c>
      <c r="C237" s="283"/>
      <c r="D237" s="283"/>
      <c r="E237" s="294"/>
      <c r="F237" s="295"/>
      <c r="G237" s="196">
        <f t="shared" si="17"/>
        <v>0</v>
      </c>
      <c r="H237" s="197">
        <f t="shared" si="18"/>
        <v>0</v>
      </c>
      <c r="I237" s="169">
        <f t="shared" si="19"/>
        <v>0</v>
      </c>
      <c r="J237" s="198">
        <f t="shared" si="20"/>
        <v>0</v>
      </c>
      <c r="K237" s="173">
        <f t="shared" si="21"/>
        <v>0</v>
      </c>
      <c r="L237" s="296"/>
      <c r="M237" s="294"/>
    </row>
    <row r="238" spans="1:13" s="289" customFormat="1" x14ac:dyDescent="0.2">
      <c r="A238" s="290" t="s">
        <v>386</v>
      </c>
      <c r="B238" s="298" t="s">
        <v>390</v>
      </c>
      <c r="C238" s="283">
        <v>1070</v>
      </c>
      <c r="D238" s="283" t="s">
        <v>326</v>
      </c>
      <c r="E238" s="294">
        <v>2000</v>
      </c>
      <c r="F238" s="295">
        <f>ROUND($C238*E238,0)</f>
        <v>2140000</v>
      </c>
      <c r="G238" s="196">
        <f t="shared" si="17"/>
        <v>160</v>
      </c>
      <c r="H238" s="197">
        <f t="shared" si="18"/>
        <v>80</v>
      </c>
      <c r="I238" s="169">
        <f t="shared" si="19"/>
        <v>1360</v>
      </c>
      <c r="J238" s="198">
        <f t="shared" si="20"/>
        <v>400</v>
      </c>
      <c r="K238" s="173">
        <f t="shared" si="21"/>
        <v>2000</v>
      </c>
      <c r="L238" s="296"/>
      <c r="M238" s="294"/>
    </row>
    <row r="239" spans="1:13" s="289" customFormat="1" x14ac:dyDescent="0.2">
      <c r="A239" s="290"/>
      <c r="B239" s="298"/>
      <c r="C239" s="298"/>
      <c r="D239" s="283"/>
      <c r="E239" s="294"/>
      <c r="F239" s="297"/>
      <c r="G239" s="196">
        <f t="shared" si="17"/>
        <v>0</v>
      </c>
      <c r="H239" s="197">
        <f t="shared" si="18"/>
        <v>0</v>
      </c>
      <c r="I239" s="169">
        <f t="shared" si="19"/>
        <v>0</v>
      </c>
      <c r="J239" s="198">
        <f t="shared" si="20"/>
        <v>0</v>
      </c>
      <c r="K239" s="173">
        <f t="shared" si="21"/>
        <v>0</v>
      </c>
      <c r="L239" s="296"/>
      <c r="M239" s="294"/>
    </row>
    <row r="240" spans="1:13" s="289" customFormat="1" ht="57" x14ac:dyDescent="0.25">
      <c r="A240" s="281">
        <v>9.0299999999999994</v>
      </c>
      <c r="B240" s="291" t="s">
        <v>391</v>
      </c>
      <c r="C240" s="283">
        <v>354</v>
      </c>
      <c r="D240" s="283" t="s">
        <v>326</v>
      </c>
      <c r="E240" s="294">
        <v>1600</v>
      </c>
      <c r="F240" s="295">
        <f>ROUND($C240*E240,0)</f>
        <v>566400</v>
      </c>
      <c r="G240" s="196">
        <f t="shared" si="17"/>
        <v>128</v>
      </c>
      <c r="H240" s="197">
        <f t="shared" si="18"/>
        <v>64</v>
      </c>
      <c r="I240" s="169">
        <f t="shared" si="19"/>
        <v>1088</v>
      </c>
      <c r="J240" s="198">
        <f t="shared" si="20"/>
        <v>320</v>
      </c>
      <c r="K240" s="173">
        <f t="shared" si="21"/>
        <v>1600</v>
      </c>
      <c r="L240" s="296"/>
      <c r="M240" s="294"/>
    </row>
    <row r="241" spans="1:13" s="289" customFormat="1" ht="11.25" customHeight="1" x14ac:dyDescent="0.25">
      <c r="A241" s="281"/>
      <c r="B241" s="291"/>
      <c r="C241" s="283"/>
      <c r="D241" s="283"/>
      <c r="E241" s="294"/>
      <c r="F241" s="295"/>
      <c r="G241" s="196">
        <f t="shared" si="17"/>
        <v>0</v>
      </c>
      <c r="H241" s="197">
        <f t="shared" si="18"/>
        <v>0</v>
      </c>
      <c r="I241" s="169">
        <f t="shared" si="19"/>
        <v>0</v>
      </c>
      <c r="J241" s="198">
        <f t="shared" si="20"/>
        <v>0</v>
      </c>
      <c r="K241" s="173">
        <f t="shared" si="21"/>
        <v>0</v>
      </c>
      <c r="L241" s="296"/>
      <c r="M241" s="294"/>
    </row>
    <row r="242" spans="1:13" s="289" customFormat="1" ht="57" x14ac:dyDescent="0.25">
      <c r="A242" s="281">
        <v>9.0399999999999991</v>
      </c>
      <c r="B242" s="291" t="s">
        <v>392</v>
      </c>
      <c r="C242" s="283">
        <v>8</v>
      </c>
      <c r="D242" s="283" t="s">
        <v>326</v>
      </c>
      <c r="E242" s="294">
        <v>1800</v>
      </c>
      <c r="F242" s="295">
        <f>ROUND($C242*E242,0)</f>
        <v>14400</v>
      </c>
      <c r="G242" s="196">
        <f t="shared" si="17"/>
        <v>144</v>
      </c>
      <c r="H242" s="197">
        <f t="shared" si="18"/>
        <v>72</v>
      </c>
      <c r="I242" s="169">
        <f t="shared" si="19"/>
        <v>1224</v>
      </c>
      <c r="J242" s="198">
        <f t="shared" si="20"/>
        <v>360</v>
      </c>
      <c r="K242" s="173">
        <f t="shared" si="21"/>
        <v>1800</v>
      </c>
      <c r="L242" s="296"/>
      <c r="M242" s="294"/>
    </row>
    <row r="243" spans="1:13" s="289" customFormat="1" ht="9.75" customHeight="1" x14ac:dyDescent="0.25">
      <c r="A243" s="281"/>
      <c r="B243" s="291"/>
      <c r="C243" s="283"/>
      <c r="D243" s="283"/>
      <c r="E243" s="294"/>
      <c r="F243" s="295"/>
      <c r="G243" s="196">
        <f t="shared" si="17"/>
        <v>0</v>
      </c>
      <c r="H243" s="197">
        <f t="shared" si="18"/>
        <v>0</v>
      </c>
      <c r="I243" s="169">
        <f t="shared" si="19"/>
        <v>0</v>
      </c>
      <c r="J243" s="198">
        <f t="shared" si="20"/>
        <v>0</v>
      </c>
      <c r="K243" s="173">
        <f t="shared" si="21"/>
        <v>0</v>
      </c>
      <c r="L243" s="296"/>
      <c r="M243" s="294"/>
    </row>
    <row r="244" spans="1:13" s="289" customFormat="1" ht="15" x14ac:dyDescent="0.25">
      <c r="A244" s="290"/>
      <c r="B244" s="282" t="s">
        <v>393</v>
      </c>
      <c r="C244" s="283"/>
      <c r="D244" s="283"/>
      <c r="E244" s="294"/>
      <c r="F244" s="295"/>
      <c r="G244" s="196">
        <f t="shared" si="17"/>
        <v>0</v>
      </c>
      <c r="H244" s="197">
        <f t="shared" si="18"/>
        <v>0</v>
      </c>
      <c r="I244" s="169">
        <f t="shared" si="19"/>
        <v>0</v>
      </c>
      <c r="J244" s="198">
        <f t="shared" si="20"/>
        <v>0</v>
      </c>
      <c r="K244" s="173">
        <f t="shared" si="21"/>
        <v>0</v>
      </c>
      <c r="L244" s="296"/>
      <c r="M244" s="294"/>
    </row>
    <row r="245" spans="1:13" s="289" customFormat="1" ht="114" x14ac:dyDescent="0.25">
      <c r="A245" s="299">
        <v>9.0499999999999989</v>
      </c>
      <c r="B245" s="300" t="s">
        <v>394</v>
      </c>
      <c r="C245" s="301">
        <v>95</v>
      </c>
      <c r="D245" s="301" t="s">
        <v>326</v>
      </c>
      <c r="E245" s="302">
        <v>2600</v>
      </c>
      <c r="F245" s="303">
        <f>ROUND($C245*E245,0)</f>
        <v>247000</v>
      </c>
      <c r="G245" s="196">
        <f t="shared" si="17"/>
        <v>208</v>
      </c>
      <c r="H245" s="197">
        <f t="shared" si="18"/>
        <v>104</v>
      </c>
      <c r="I245" s="169">
        <f t="shared" si="19"/>
        <v>1768</v>
      </c>
      <c r="J245" s="198">
        <f t="shared" si="20"/>
        <v>520</v>
      </c>
      <c r="K245" s="173">
        <f t="shared" si="21"/>
        <v>2600</v>
      </c>
      <c r="L245" s="304"/>
      <c r="M245" s="302"/>
    </row>
    <row r="246" spans="1:13" s="289" customFormat="1" ht="8.25" customHeight="1" x14ac:dyDescent="0.25">
      <c r="A246" s="305"/>
      <c r="B246" s="306"/>
      <c r="C246" s="307"/>
      <c r="D246" s="307"/>
      <c r="E246" s="308"/>
      <c r="F246" s="309"/>
      <c r="G246" s="196">
        <f t="shared" si="17"/>
        <v>0</v>
      </c>
      <c r="H246" s="197">
        <f t="shared" si="18"/>
        <v>0</v>
      </c>
      <c r="I246" s="169">
        <f t="shared" si="19"/>
        <v>0</v>
      </c>
      <c r="J246" s="198">
        <f t="shared" si="20"/>
        <v>0</v>
      </c>
      <c r="K246" s="173">
        <f t="shared" si="21"/>
        <v>0</v>
      </c>
      <c r="L246" s="310"/>
      <c r="M246" s="308"/>
    </row>
    <row r="247" spans="1:13" s="289" customFormat="1" ht="41.25" customHeight="1" x14ac:dyDescent="0.25">
      <c r="A247" s="311" t="s">
        <v>386</v>
      </c>
      <c r="B247" s="291" t="s">
        <v>395</v>
      </c>
      <c r="C247" s="283">
        <v>200</v>
      </c>
      <c r="D247" s="283" t="s">
        <v>326</v>
      </c>
      <c r="E247" s="294">
        <v>2200</v>
      </c>
      <c r="F247" s="295">
        <f>ROUND($C247*E247,0)</f>
        <v>440000</v>
      </c>
      <c r="G247" s="196">
        <f t="shared" si="17"/>
        <v>176</v>
      </c>
      <c r="H247" s="197">
        <f t="shared" si="18"/>
        <v>88</v>
      </c>
      <c r="I247" s="169">
        <f t="shared" si="19"/>
        <v>1496</v>
      </c>
      <c r="J247" s="198">
        <f t="shared" si="20"/>
        <v>440</v>
      </c>
      <c r="K247" s="173">
        <f t="shared" si="21"/>
        <v>2200</v>
      </c>
      <c r="L247" s="296"/>
      <c r="M247" s="294"/>
    </row>
    <row r="248" spans="1:13" s="289" customFormat="1" ht="9" customHeight="1" x14ac:dyDescent="0.25">
      <c r="A248" s="311"/>
      <c r="B248" s="298"/>
      <c r="C248" s="298"/>
      <c r="D248" s="298"/>
      <c r="E248" s="294"/>
      <c r="F248" s="295"/>
      <c r="G248" s="196">
        <f t="shared" si="17"/>
        <v>0</v>
      </c>
      <c r="H248" s="197">
        <f t="shared" si="18"/>
        <v>0</v>
      </c>
      <c r="I248" s="169">
        <f t="shared" si="19"/>
        <v>0</v>
      </c>
      <c r="J248" s="198">
        <f t="shared" si="20"/>
        <v>0</v>
      </c>
      <c r="K248" s="173">
        <f t="shared" si="21"/>
        <v>0</v>
      </c>
      <c r="L248" s="296"/>
      <c r="M248" s="294"/>
    </row>
    <row r="249" spans="1:13" s="289" customFormat="1" ht="52.5" customHeight="1" x14ac:dyDescent="0.25">
      <c r="A249" s="311" t="s">
        <v>396</v>
      </c>
      <c r="B249" s="291" t="s">
        <v>397</v>
      </c>
      <c r="C249" s="283">
        <v>172</v>
      </c>
      <c r="D249" s="283" t="s">
        <v>326</v>
      </c>
      <c r="E249" s="294">
        <v>6500</v>
      </c>
      <c r="F249" s="295">
        <f>ROUND($C249*E249,0)</f>
        <v>1118000</v>
      </c>
      <c r="G249" s="196">
        <f t="shared" si="17"/>
        <v>520</v>
      </c>
      <c r="H249" s="197">
        <f t="shared" si="18"/>
        <v>260</v>
      </c>
      <c r="I249" s="169">
        <f t="shared" si="19"/>
        <v>4420</v>
      </c>
      <c r="J249" s="198">
        <f t="shared" si="20"/>
        <v>1300</v>
      </c>
      <c r="K249" s="173">
        <f t="shared" si="21"/>
        <v>6500</v>
      </c>
      <c r="L249" s="296"/>
      <c r="M249" s="294"/>
    </row>
    <row r="250" spans="1:13" s="289" customFormat="1" x14ac:dyDescent="0.25">
      <c r="A250" s="311"/>
      <c r="B250" s="291"/>
      <c r="C250" s="283"/>
      <c r="D250" s="283"/>
      <c r="E250" s="294"/>
      <c r="F250" s="295"/>
      <c r="G250" s="196">
        <f t="shared" si="17"/>
        <v>0</v>
      </c>
      <c r="H250" s="197">
        <f t="shared" si="18"/>
        <v>0</v>
      </c>
      <c r="I250" s="169">
        <f t="shared" si="19"/>
        <v>0</v>
      </c>
      <c r="J250" s="198">
        <f t="shared" si="20"/>
        <v>0</v>
      </c>
      <c r="K250" s="173">
        <f t="shared" si="21"/>
        <v>0</v>
      </c>
      <c r="L250" s="296"/>
      <c r="M250" s="294"/>
    </row>
    <row r="251" spans="1:13" s="289" customFormat="1" ht="57" x14ac:dyDescent="0.25">
      <c r="A251" s="311" t="s">
        <v>398</v>
      </c>
      <c r="B251" s="291" t="s">
        <v>399</v>
      </c>
      <c r="C251" s="283">
        <v>4</v>
      </c>
      <c r="D251" s="283" t="s">
        <v>326</v>
      </c>
      <c r="E251" s="294">
        <v>8000</v>
      </c>
      <c r="F251" s="295">
        <f>ROUND($C251*E251,0)</f>
        <v>32000</v>
      </c>
      <c r="G251" s="196">
        <f t="shared" si="17"/>
        <v>640</v>
      </c>
      <c r="H251" s="197">
        <f t="shared" si="18"/>
        <v>320</v>
      </c>
      <c r="I251" s="169">
        <f t="shared" si="19"/>
        <v>5440</v>
      </c>
      <c r="J251" s="198">
        <f t="shared" si="20"/>
        <v>1600</v>
      </c>
      <c r="K251" s="173">
        <f t="shared" si="21"/>
        <v>8000</v>
      </c>
      <c r="L251" s="296"/>
      <c r="M251" s="294"/>
    </row>
    <row r="252" spans="1:13" s="289" customFormat="1" x14ac:dyDescent="0.25">
      <c r="A252" s="311"/>
      <c r="B252" s="291"/>
      <c r="C252" s="283"/>
      <c r="D252" s="283"/>
      <c r="E252" s="294"/>
      <c r="F252" s="295"/>
      <c r="G252" s="196">
        <f t="shared" si="17"/>
        <v>0</v>
      </c>
      <c r="H252" s="197">
        <f t="shared" si="18"/>
        <v>0</v>
      </c>
      <c r="I252" s="169">
        <f t="shared" si="19"/>
        <v>0</v>
      </c>
      <c r="J252" s="198">
        <f t="shared" si="20"/>
        <v>0</v>
      </c>
      <c r="K252" s="173">
        <f t="shared" si="21"/>
        <v>0</v>
      </c>
      <c r="L252" s="296"/>
      <c r="M252" s="294"/>
    </row>
    <row r="253" spans="1:13" s="289" customFormat="1" ht="13.5" customHeight="1" x14ac:dyDescent="0.25">
      <c r="A253" s="311"/>
      <c r="B253" s="282" t="s">
        <v>400</v>
      </c>
      <c r="C253" s="298"/>
      <c r="D253" s="283"/>
      <c r="E253" s="294"/>
      <c r="F253" s="295"/>
      <c r="G253" s="196">
        <f t="shared" si="17"/>
        <v>0</v>
      </c>
      <c r="H253" s="197">
        <f t="shared" si="18"/>
        <v>0</v>
      </c>
      <c r="I253" s="169">
        <f t="shared" si="19"/>
        <v>0</v>
      </c>
      <c r="J253" s="198">
        <f t="shared" si="20"/>
        <v>0</v>
      </c>
      <c r="K253" s="173">
        <f t="shared" si="21"/>
        <v>0</v>
      </c>
      <c r="L253" s="296"/>
      <c r="M253" s="294"/>
    </row>
    <row r="254" spans="1:13" s="289" customFormat="1" ht="142.5" x14ac:dyDescent="0.25">
      <c r="A254" s="281">
        <v>9.0599999999999987</v>
      </c>
      <c r="B254" s="291" t="s">
        <v>401</v>
      </c>
      <c r="C254" s="283"/>
      <c r="D254" s="284"/>
      <c r="E254" s="294"/>
      <c r="F254" s="295"/>
      <c r="G254" s="196">
        <f t="shared" si="17"/>
        <v>0</v>
      </c>
      <c r="H254" s="197">
        <f t="shared" si="18"/>
        <v>0</v>
      </c>
      <c r="I254" s="169">
        <f t="shared" si="19"/>
        <v>0</v>
      </c>
      <c r="J254" s="198">
        <f t="shared" si="20"/>
        <v>0</v>
      </c>
      <c r="K254" s="173">
        <f t="shared" si="21"/>
        <v>0</v>
      </c>
      <c r="L254" s="296"/>
      <c r="M254" s="294"/>
    </row>
    <row r="255" spans="1:13" s="289" customFormat="1" ht="54" customHeight="1" x14ac:dyDescent="0.25">
      <c r="A255" s="281" t="s">
        <v>386</v>
      </c>
      <c r="B255" s="291" t="s">
        <v>402</v>
      </c>
      <c r="C255" s="283">
        <v>287</v>
      </c>
      <c r="D255" s="283" t="s">
        <v>326</v>
      </c>
      <c r="E255" s="294">
        <v>3000</v>
      </c>
      <c r="F255" s="295">
        <f>ROUND($C255*E255,0)</f>
        <v>861000</v>
      </c>
      <c r="G255" s="196">
        <f t="shared" si="17"/>
        <v>240</v>
      </c>
      <c r="H255" s="197">
        <f t="shared" si="18"/>
        <v>120</v>
      </c>
      <c r="I255" s="169">
        <f t="shared" si="19"/>
        <v>2040</v>
      </c>
      <c r="J255" s="198">
        <f t="shared" si="20"/>
        <v>600</v>
      </c>
      <c r="K255" s="173">
        <f t="shared" si="21"/>
        <v>3000</v>
      </c>
      <c r="L255" s="296"/>
      <c r="M255" s="294"/>
    </row>
    <row r="256" spans="1:13" s="289" customFormat="1" ht="8.1" customHeight="1" x14ac:dyDescent="0.25">
      <c r="A256" s="281"/>
      <c r="B256" s="291"/>
      <c r="C256" s="283"/>
      <c r="D256" s="283"/>
      <c r="E256" s="294"/>
      <c r="F256" s="295"/>
      <c r="G256" s="196">
        <f t="shared" si="17"/>
        <v>0</v>
      </c>
      <c r="H256" s="197">
        <f t="shared" si="18"/>
        <v>0</v>
      </c>
      <c r="I256" s="169">
        <f t="shared" si="19"/>
        <v>0</v>
      </c>
      <c r="J256" s="198">
        <f t="shared" si="20"/>
        <v>0</v>
      </c>
      <c r="K256" s="173">
        <f t="shared" si="21"/>
        <v>0</v>
      </c>
      <c r="L256" s="296"/>
      <c r="M256" s="294"/>
    </row>
    <row r="257" spans="1:13" s="289" customFormat="1" ht="52.5" customHeight="1" x14ac:dyDescent="0.25">
      <c r="A257" s="281" t="s">
        <v>396</v>
      </c>
      <c r="B257" s="291" t="s">
        <v>403</v>
      </c>
      <c r="C257" s="283">
        <v>32</v>
      </c>
      <c r="D257" s="283" t="s">
        <v>326</v>
      </c>
      <c r="E257" s="294">
        <v>3500</v>
      </c>
      <c r="F257" s="295">
        <f>ROUND($C257*E257,0)</f>
        <v>112000</v>
      </c>
      <c r="G257" s="196">
        <f t="shared" si="17"/>
        <v>280</v>
      </c>
      <c r="H257" s="197">
        <f t="shared" si="18"/>
        <v>140</v>
      </c>
      <c r="I257" s="169">
        <f t="shared" si="19"/>
        <v>2380</v>
      </c>
      <c r="J257" s="198">
        <f t="shared" si="20"/>
        <v>700</v>
      </c>
      <c r="K257" s="173">
        <f t="shared" si="21"/>
        <v>3500</v>
      </c>
      <c r="L257" s="296"/>
      <c r="M257" s="294"/>
    </row>
    <row r="258" spans="1:13" s="289" customFormat="1" ht="8.1" customHeight="1" x14ac:dyDescent="0.25">
      <c r="A258" s="281"/>
      <c r="B258" s="291"/>
      <c r="C258" s="283"/>
      <c r="D258" s="283"/>
      <c r="E258" s="294"/>
      <c r="F258" s="295"/>
      <c r="G258" s="196">
        <f t="shared" si="17"/>
        <v>0</v>
      </c>
      <c r="H258" s="197">
        <f t="shared" si="18"/>
        <v>0</v>
      </c>
      <c r="I258" s="169">
        <f t="shared" si="19"/>
        <v>0</v>
      </c>
      <c r="J258" s="198">
        <f t="shared" si="20"/>
        <v>0</v>
      </c>
      <c r="K258" s="173">
        <f t="shared" si="21"/>
        <v>0</v>
      </c>
      <c r="L258" s="296"/>
      <c r="M258" s="294"/>
    </row>
    <row r="259" spans="1:13" s="289" customFormat="1" ht="54" customHeight="1" x14ac:dyDescent="0.25">
      <c r="A259" s="281" t="s">
        <v>398</v>
      </c>
      <c r="B259" s="291" t="s">
        <v>404</v>
      </c>
      <c r="C259" s="283">
        <v>21</v>
      </c>
      <c r="D259" s="283" t="s">
        <v>326</v>
      </c>
      <c r="E259" s="294">
        <v>4000</v>
      </c>
      <c r="F259" s="295">
        <f>ROUND($C259*E259,0)</f>
        <v>84000</v>
      </c>
      <c r="G259" s="196">
        <f t="shared" si="17"/>
        <v>320</v>
      </c>
      <c r="H259" s="197">
        <f t="shared" si="18"/>
        <v>160</v>
      </c>
      <c r="I259" s="169">
        <f t="shared" si="19"/>
        <v>2720</v>
      </c>
      <c r="J259" s="198">
        <f t="shared" si="20"/>
        <v>800</v>
      </c>
      <c r="K259" s="173">
        <f t="shared" si="21"/>
        <v>4000</v>
      </c>
      <c r="L259" s="296"/>
      <c r="M259" s="294"/>
    </row>
    <row r="260" spans="1:13" s="289" customFormat="1" ht="8.1" customHeight="1" x14ac:dyDescent="0.25">
      <c r="A260" s="281"/>
      <c r="B260" s="291"/>
      <c r="C260" s="298"/>
      <c r="D260" s="298"/>
      <c r="E260" s="294"/>
      <c r="F260" s="295"/>
      <c r="G260" s="196">
        <f t="shared" si="17"/>
        <v>0</v>
      </c>
      <c r="H260" s="197">
        <f t="shared" si="18"/>
        <v>0</v>
      </c>
      <c r="I260" s="169">
        <f t="shared" si="19"/>
        <v>0</v>
      </c>
      <c r="J260" s="198">
        <f t="shared" si="20"/>
        <v>0</v>
      </c>
      <c r="K260" s="173">
        <f t="shared" si="21"/>
        <v>0</v>
      </c>
      <c r="L260" s="296"/>
      <c r="M260" s="294"/>
    </row>
    <row r="261" spans="1:13" s="289" customFormat="1" ht="71.25" x14ac:dyDescent="0.25">
      <c r="A261" s="281" t="s">
        <v>405</v>
      </c>
      <c r="B261" s="291" t="s">
        <v>406</v>
      </c>
      <c r="C261" s="283">
        <v>302</v>
      </c>
      <c r="D261" s="283" t="s">
        <v>326</v>
      </c>
      <c r="E261" s="294">
        <v>4800</v>
      </c>
      <c r="F261" s="295">
        <f>ROUND($C261*E261,0)</f>
        <v>1449600</v>
      </c>
      <c r="G261" s="196">
        <f t="shared" si="17"/>
        <v>384</v>
      </c>
      <c r="H261" s="197">
        <f t="shared" si="18"/>
        <v>192</v>
      </c>
      <c r="I261" s="169">
        <f t="shared" si="19"/>
        <v>3264</v>
      </c>
      <c r="J261" s="198">
        <f t="shared" si="20"/>
        <v>960</v>
      </c>
      <c r="K261" s="173">
        <f t="shared" si="21"/>
        <v>4800</v>
      </c>
      <c r="L261" s="296"/>
      <c r="M261" s="294"/>
    </row>
    <row r="262" spans="1:13" s="289" customFormat="1" ht="8.1" customHeight="1" x14ac:dyDescent="0.25">
      <c r="A262" s="299"/>
      <c r="B262" s="300"/>
      <c r="C262" s="301"/>
      <c r="D262" s="301"/>
      <c r="E262" s="302"/>
      <c r="F262" s="303"/>
      <c r="G262" s="196">
        <f t="shared" si="17"/>
        <v>0</v>
      </c>
      <c r="H262" s="197">
        <f t="shared" si="18"/>
        <v>0</v>
      </c>
      <c r="I262" s="169">
        <f t="shared" si="19"/>
        <v>0</v>
      </c>
      <c r="J262" s="198">
        <f t="shared" si="20"/>
        <v>0</v>
      </c>
      <c r="K262" s="173">
        <f t="shared" si="21"/>
        <v>0</v>
      </c>
      <c r="L262" s="304"/>
      <c r="M262" s="302"/>
    </row>
    <row r="263" spans="1:13" s="289" customFormat="1" ht="71.25" x14ac:dyDescent="0.25">
      <c r="A263" s="305" t="s">
        <v>407</v>
      </c>
      <c r="B263" s="306" t="s">
        <v>408</v>
      </c>
      <c r="C263" s="307">
        <v>190</v>
      </c>
      <c r="D263" s="307" t="s">
        <v>326</v>
      </c>
      <c r="E263" s="308">
        <v>4200</v>
      </c>
      <c r="F263" s="309">
        <f>ROUND($C263*E263,0)</f>
        <v>798000</v>
      </c>
      <c r="G263" s="196">
        <f t="shared" si="17"/>
        <v>336</v>
      </c>
      <c r="H263" s="197">
        <f t="shared" si="18"/>
        <v>168</v>
      </c>
      <c r="I263" s="169">
        <f t="shared" si="19"/>
        <v>2856</v>
      </c>
      <c r="J263" s="198">
        <f t="shared" si="20"/>
        <v>840</v>
      </c>
      <c r="K263" s="173">
        <f t="shared" si="21"/>
        <v>4200</v>
      </c>
      <c r="L263" s="310"/>
      <c r="M263" s="308"/>
    </row>
    <row r="264" spans="1:13" s="289" customFormat="1" ht="8.1" customHeight="1" x14ac:dyDescent="0.25">
      <c r="A264" s="281"/>
      <c r="B264" s="291"/>
      <c r="C264" s="283"/>
      <c r="D264" s="283"/>
      <c r="E264" s="294"/>
      <c r="F264" s="295"/>
      <c r="G264" s="196">
        <f t="shared" si="17"/>
        <v>0</v>
      </c>
      <c r="H264" s="197">
        <f t="shared" si="18"/>
        <v>0</v>
      </c>
      <c r="I264" s="169">
        <f t="shared" si="19"/>
        <v>0</v>
      </c>
      <c r="J264" s="198">
        <f t="shared" si="20"/>
        <v>0</v>
      </c>
      <c r="K264" s="173">
        <f t="shared" si="21"/>
        <v>0</v>
      </c>
      <c r="L264" s="296"/>
      <c r="M264" s="294"/>
    </row>
    <row r="265" spans="1:13" s="289" customFormat="1" ht="54" customHeight="1" x14ac:dyDescent="0.25">
      <c r="A265" s="281" t="s">
        <v>409</v>
      </c>
      <c r="B265" s="291" t="s">
        <v>410</v>
      </c>
      <c r="C265" s="283">
        <v>250</v>
      </c>
      <c r="D265" s="283" t="s">
        <v>326</v>
      </c>
      <c r="E265" s="294">
        <v>3000</v>
      </c>
      <c r="F265" s="295">
        <f>ROUND($C265*E265,0)</f>
        <v>750000</v>
      </c>
      <c r="G265" s="196">
        <f t="shared" si="17"/>
        <v>240</v>
      </c>
      <c r="H265" s="197">
        <f t="shared" si="18"/>
        <v>120</v>
      </c>
      <c r="I265" s="169">
        <f t="shared" si="19"/>
        <v>2040</v>
      </c>
      <c r="J265" s="198">
        <f t="shared" si="20"/>
        <v>600</v>
      </c>
      <c r="K265" s="173">
        <f t="shared" si="21"/>
        <v>3000</v>
      </c>
      <c r="L265" s="296"/>
      <c r="M265" s="294"/>
    </row>
    <row r="266" spans="1:13" s="289" customFormat="1" ht="8.1" customHeight="1" x14ac:dyDescent="0.25">
      <c r="A266" s="281"/>
      <c r="B266" s="291"/>
      <c r="C266" s="298"/>
      <c r="D266" s="298"/>
      <c r="E266" s="294"/>
      <c r="F266" s="295"/>
      <c r="G266" s="196">
        <f t="shared" si="17"/>
        <v>0</v>
      </c>
      <c r="H266" s="197">
        <f t="shared" si="18"/>
        <v>0</v>
      </c>
      <c r="I266" s="169">
        <f t="shared" si="19"/>
        <v>0</v>
      </c>
      <c r="J266" s="198">
        <f t="shared" si="20"/>
        <v>0</v>
      </c>
      <c r="K266" s="173">
        <f t="shared" si="21"/>
        <v>0</v>
      </c>
      <c r="L266" s="296"/>
      <c r="M266" s="294"/>
    </row>
    <row r="267" spans="1:13" s="289" customFormat="1" ht="52.5" customHeight="1" x14ac:dyDescent="0.25">
      <c r="A267" s="281" t="s">
        <v>411</v>
      </c>
      <c r="B267" s="291" t="s">
        <v>412</v>
      </c>
      <c r="C267" s="283">
        <v>41</v>
      </c>
      <c r="D267" s="283" t="s">
        <v>326</v>
      </c>
      <c r="E267" s="294">
        <v>3500</v>
      </c>
      <c r="F267" s="295">
        <f>ROUND($C267*E267,0)</f>
        <v>143500</v>
      </c>
      <c r="G267" s="196">
        <f t="shared" si="17"/>
        <v>280</v>
      </c>
      <c r="H267" s="197">
        <f t="shared" si="18"/>
        <v>140</v>
      </c>
      <c r="I267" s="169">
        <f t="shared" si="19"/>
        <v>2380</v>
      </c>
      <c r="J267" s="198">
        <f t="shared" si="20"/>
        <v>700</v>
      </c>
      <c r="K267" s="173">
        <f t="shared" si="21"/>
        <v>3500</v>
      </c>
      <c r="L267" s="296"/>
      <c r="M267" s="294"/>
    </row>
    <row r="268" spans="1:13" s="289" customFormat="1" ht="8.1" customHeight="1" x14ac:dyDescent="0.25">
      <c r="A268" s="281"/>
      <c r="B268" s="291"/>
      <c r="C268" s="283"/>
      <c r="D268" s="283"/>
      <c r="E268" s="294"/>
      <c r="F268" s="295"/>
      <c r="G268" s="196">
        <f t="shared" si="17"/>
        <v>0</v>
      </c>
      <c r="H268" s="197">
        <f t="shared" si="18"/>
        <v>0</v>
      </c>
      <c r="I268" s="169">
        <f t="shared" si="19"/>
        <v>0</v>
      </c>
      <c r="J268" s="198">
        <f t="shared" si="20"/>
        <v>0</v>
      </c>
      <c r="K268" s="173">
        <f t="shared" si="21"/>
        <v>0</v>
      </c>
      <c r="L268" s="296"/>
      <c r="M268" s="294"/>
    </row>
    <row r="269" spans="1:13" s="289" customFormat="1" ht="85.5" x14ac:dyDescent="0.25">
      <c r="A269" s="281" t="s">
        <v>413</v>
      </c>
      <c r="B269" s="291" t="s">
        <v>414</v>
      </c>
      <c r="C269" s="283">
        <v>6</v>
      </c>
      <c r="D269" s="283" t="s">
        <v>326</v>
      </c>
      <c r="E269" s="294">
        <v>4000</v>
      </c>
      <c r="F269" s="295">
        <f>ROUND($C269*E269,0)</f>
        <v>24000</v>
      </c>
      <c r="G269" s="196">
        <f t="shared" si="17"/>
        <v>320</v>
      </c>
      <c r="H269" s="197">
        <f t="shared" si="18"/>
        <v>160</v>
      </c>
      <c r="I269" s="169">
        <f t="shared" si="19"/>
        <v>2720</v>
      </c>
      <c r="J269" s="198">
        <f t="shared" si="20"/>
        <v>800</v>
      </c>
      <c r="K269" s="173">
        <f t="shared" si="21"/>
        <v>4000</v>
      </c>
      <c r="L269" s="296"/>
      <c r="M269" s="294"/>
    </row>
    <row r="270" spans="1:13" s="289" customFormat="1" ht="8.1" customHeight="1" x14ac:dyDescent="0.25">
      <c r="A270" s="281"/>
      <c r="B270" s="291"/>
      <c r="C270" s="283"/>
      <c r="D270" s="283"/>
      <c r="E270" s="294"/>
      <c r="F270" s="295"/>
      <c r="G270" s="196">
        <f t="shared" ref="G270:G333" si="22">IFERROR((ROUND(E270/1.25*10%,2)),0)</f>
        <v>0</v>
      </c>
      <c r="H270" s="197">
        <f t="shared" ref="H270:H333" si="23">IFERROR((ROUND(E270/1.25*5%,2)),0)</f>
        <v>0</v>
      </c>
      <c r="I270" s="169">
        <f t="shared" ref="I270:I333" si="24">IFERROR((ROUND(E270/1.25*85%,2)),0)</f>
        <v>0</v>
      </c>
      <c r="J270" s="198">
        <f t="shared" ref="J270:J333" si="25">IFERROR((ROUND(E270-(E270/1.25),2)),0)</f>
        <v>0</v>
      </c>
      <c r="K270" s="173">
        <f t="shared" ref="K270:K333" si="26">SUM(G270:J270)</f>
        <v>0</v>
      </c>
      <c r="L270" s="296"/>
      <c r="M270" s="294"/>
    </row>
    <row r="271" spans="1:13" s="289" customFormat="1" ht="57" x14ac:dyDescent="0.25">
      <c r="A271" s="281" t="s">
        <v>415</v>
      </c>
      <c r="B271" s="291" t="s">
        <v>416</v>
      </c>
      <c r="C271" s="283">
        <v>33</v>
      </c>
      <c r="D271" s="283" t="s">
        <v>326</v>
      </c>
      <c r="E271" s="294">
        <v>3000</v>
      </c>
      <c r="F271" s="295">
        <f>ROUND($C271*E271,0)</f>
        <v>99000</v>
      </c>
      <c r="G271" s="196">
        <f t="shared" si="22"/>
        <v>240</v>
      </c>
      <c r="H271" s="197">
        <f t="shared" si="23"/>
        <v>120</v>
      </c>
      <c r="I271" s="169">
        <f t="shared" si="24"/>
        <v>2040</v>
      </c>
      <c r="J271" s="198">
        <f t="shared" si="25"/>
        <v>600</v>
      </c>
      <c r="K271" s="173">
        <f t="shared" si="26"/>
        <v>3000</v>
      </c>
      <c r="L271" s="296"/>
      <c r="M271" s="294"/>
    </row>
    <row r="272" spans="1:13" s="289" customFormat="1" ht="8.1" customHeight="1" x14ac:dyDescent="0.25">
      <c r="A272" s="281"/>
      <c r="B272" s="291"/>
      <c r="C272" s="283"/>
      <c r="D272" s="283"/>
      <c r="E272" s="294"/>
      <c r="F272" s="295"/>
      <c r="G272" s="196">
        <f t="shared" si="22"/>
        <v>0</v>
      </c>
      <c r="H272" s="197">
        <f t="shared" si="23"/>
        <v>0</v>
      </c>
      <c r="I272" s="169">
        <f t="shared" si="24"/>
        <v>0</v>
      </c>
      <c r="J272" s="198">
        <f t="shared" si="25"/>
        <v>0</v>
      </c>
      <c r="K272" s="173">
        <f t="shared" si="26"/>
        <v>0</v>
      </c>
      <c r="L272" s="296"/>
      <c r="M272" s="294"/>
    </row>
    <row r="273" spans="1:13" s="289" customFormat="1" ht="99.75" x14ac:dyDescent="0.25">
      <c r="A273" s="281" t="s">
        <v>417</v>
      </c>
      <c r="B273" s="291" t="s">
        <v>418</v>
      </c>
      <c r="C273" s="283">
        <v>4</v>
      </c>
      <c r="D273" s="283" t="s">
        <v>326</v>
      </c>
      <c r="E273" s="294">
        <v>18000</v>
      </c>
      <c r="F273" s="295">
        <f>ROUND($C273*E273,0)</f>
        <v>72000</v>
      </c>
      <c r="G273" s="196">
        <f t="shared" si="22"/>
        <v>1440</v>
      </c>
      <c r="H273" s="197">
        <f t="shared" si="23"/>
        <v>720</v>
      </c>
      <c r="I273" s="169">
        <f t="shared" si="24"/>
        <v>12240</v>
      </c>
      <c r="J273" s="198">
        <f t="shared" si="25"/>
        <v>3600</v>
      </c>
      <c r="K273" s="173">
        <f t="shared" si="26"/>
        <v>18000</v>
      </c>
      <c r="L273" s="296"/>
      <c r="M273" s="294"/>
    </row>
    <row r="274" spans="1:13" s="289" customFormat="1" ht="5.0999999999999996" customHeight="1" x14ac:dyDescent="0.25">
      <c r="A274" s="281"/>
      <c r="B274" s="291"/>
      <c r="C274" s="283"/>
      <c r="D274" s="283"/>
      <c r="E274" s="294"/>
      <c r="F274" s="295"/>
      <c r="G274" s="196">
        <f t="shared" si="22"/>
        <v>0</v>
      </c>
      <c r="H274" s="197">
        <f t="shared" si="23"/>
        <v>0</v>
      </c>
      <c r="I274" s="169">
        <f t="shared" si="24"/>
        <v>0</v>
      </c>
      <c r="J274" s="198">
        <f t="shared" si="25"/>
        <v>0</v>
      </c>
      <c r="K274" s="173">
        <f t="shared" si="26"/>
        <v>0</v>
      </c>
      <c r="L274" s="296"/>
      <c r="M274" s="294"/>
    </row>
    <row r="275" spans="1:13" s="289" customFormat="1" ht="16.5" customHeight="1" x14ac:dyDescent="0.25">
      <c r="A275" s="281"/>
      <c r="B275" s="312" t="s">
        <v>419</v>
      </c>
      <c r="C275" s="298"/>
      <c r="D275" s="298"/>
      <c r="E275" s="294"/>
      <c r="F275" s="295"/>
      <c r="G275" s="196">
        <f t="shared" si="22"/>
        <v>0</v>
      </c>
      <c r="H275" s="197">
        <f t="shared" si="23"/>
        <v>0</v>
      </c>
      <c r="I275" s="169">
        <f t="shared" si="24"/>
        <v>0</v>
      </c>
      <c r="J275" s="198">
        <f t="shared" si="25"/>
        <v>0</v>
      </c>
      <c r="K275" s="173">
        <f t="shared" si="26"/>
        <v>0</v>
      </c>
      <c r="L275" s="296"/>
      <c r="M275" s="294"/>
    </row>
    <row r="276" spans="1:13" s="289" customFormat="1" ht="64.5" customHeight="1" x14ac:dyDescent="0.25">
      <c r="A276" s="281">
        <v>9.0699999999999985</v>
      </c>
      <c r="B276" s="291" t="s">
        <v>420</v>
      </c>
      <c r="C276" s="283">
        <v>2</v>
      </c>
      <c r="D276" s="283" t="s">
        <v>326</v>
      </c>
      <c r="E276" s="294">
        <v>4000</v>
      </c>
      <c r="F276" s="295">
        <f>ROUND($C276*E276,0)</f>
        <v>8000</v>
      </c>
      <c r="G276" s="196">
        <f t="shared" si="22"/>
        <v>320</v>
      </c>
      <c r="H276" s="197">
        <f t="shared" si="23"/>
        <v>160</v>
      </c>
      <c r="I276" s="169">
        <f t="shared" si="24"/>
        <v>2720</v>
      </c>
      <c r="J276" s="198">
        <f t="shared" si="25"/>
        <v>800</v>
      </c>
      <c r="K276" s="173">
        <f t="shared" si="26"/>
        <v>4000</v>
      </c>
      <c r="L276" s="296"/>
      <c r="M276" s="294"/>
    </row>
    <row r="277" spans="1:13" s="289" customFormat="1" x14ac:dyDescent="0.25">
      <c r="A277" s="299"/>
      <c r="B277" s="300"/>
      <c r="C277" s="301"/>
      <c r="D277" s="301"/>
      <c r="E277" s="302"/>
      <c r="F277" s="303"/>
      <c r="G277" s="196">
        <f t="shared" si="22"/>
        <v>0</v>
      </c>
      <c r="H277" s="197">
        <f t="shared" si="23"/>
        <v>0</v>
      </c>
      <c r="I277" s="169">
        <f t="shared" si="24"/>
        <v>0</v>
      </c>
      <c r="J277" s="198">
        <f t="shared" si="25"/>
        <v>0</v>
      </c>
      <c r="K277" s="173">
        <f t="shared" si="26"/>
        <v>0</v>
      </c>
      <c r="L277" s="304"/>
      <c r="M277" s="302"/>
    </row>
    <row r="278" spans="1:13" s="289" customFormat="1" ht="15" x14ac:dyDescent="0.25">
      <c r="A278" s="305"/>
      <c r="B278" s="313" t="s">
        <v>421</v>
      </c>
      <c r="C278" s="314"/>
      <c r="D278" s="314"/>
      <c r="E278" s="308"/>
      <c r="F278" s="309"/>
      <c r="G278" s="196">
        <f t="shared" si="22"/>
        <v>0</v>
      </c>
      <c r="H278" s="197">
        <f t="shared" si="23"/>
        <v>0</v>
      </c>
      <c r="I278" s="169">
        <f t="shared" si="24"/>
        <v>0</v>
      </c>
      <c r="J278" s="198">
        <f t="shared" si="25"/>
        <v>0</v>
      </c>
      <c r="K278" s="173">
        <f t="shared" si="26"/>
        <v>0</v>
      </c>
      <c r="L278" s="310"/>
      <c r="M278" s="308"/>
    </row>
    <row r="279" spans="1:13" s="289" customFormat="1" ht="85.5" x14ac:dyDescent="0.25">
      <c r="A279" s="281">
        <v>9.0799999999999983</v>
      </c>
      <c r="B279" s="291" t="s">
        <v>422</v>
      </c>
      <c r="C279" s="283"/>
      <c r="D279" s="298"/>
      <c r="E279" s="294"/>
      <c r="F279" s="295"/>
      <c r="G279" s="196">
        <f t="shared" si="22"/>
        <v>0</v>
      </c>
      <c r="H279" s="197">
        <f t="shared" si="23"/>
        <v>0</v>
      </c>
      <c r="I279" s="169">
        <f t="shared" si="24"/>
        <v>0</v>
      </c>
      <c r="J279" s="198">
        <f t="shared" si="25"/>
        <v>0</v>
      </c>
      <c r="K279" s="173">
        <f t="shared" si="26"/>
        <v>0</v>
      </c>
      <c r="L279" s="296"/>
      <c r="M279" s="294"/>
    </row>
    <row r="280" spans="1:13" s="289" customFormat="1" x14ac:dyDescent="0.25">
      <c r="A280" s="281" t="s">
        <v>386</v>
      </c>
      <c r="B280" s="315" t="s">
        <v>423</v>
      </c>
      <c r="C280" s="283">
        <v>127</v>
      </c>
      <c r="D280" s="283" t="s">
        <v>326</v>
      </c>
      <c r="E280" s="294">
        <v>8500</v>
      </c>
      <c r="F280" s="295">
        <f>ROUND($C280*E280,0)</f>
        <v>1079500</v>
      </c>
      <c r="G280" s="196">
        <f t="shared" si="22"/>
        <v>680</v>
      </c>
      <c r="H280" s="197">
        <f t="shared" si="23"/>
        <v>340</v>
      </c>
      <c r="I280" s="169">
        <f t="shared" si="24"/>
        <v>5780</v>
      </c>
      <c r="J280" s="198">
        <f t="shared" si="25"/>
        <v>1700</v>
      </c>
      <c r="K280" s="173">
        <f t="shared" si="26"/>
        <v>8500</v>
      </c>
      <c r="L280" s="296"/>
      <c r="M280" s="294"/>
    </row>
    <row r="281" spans="1:13" s="289" customFormat="1" x14ac:dyDescent="0.25">
      <c r="A281" s="281"/>
      <c r="B281" s="315"/>
      <c r="C281" s="283"/>
      <c r="D281" s="283"/>
      <c r="E281" s="294"/>
      <c r="F281" s="295"/>
      <c r="G281" s="196">
        <f t="shared" si="22"/>
        <v>0</v>
      </c>
      <c r="H281" s="197">
        <f t="shared" si="23"/>
        <v>0</v>
      </c>
      <c r="I281" s="169">
        <f t="shared" si="24"/>
        <v>0</v>
      </c>
      <c r="J281" s="198">
        <f t="shared" si="25"/>
        <v>0</v>
      </c>
      <c r="K281" s="173">
        <f t="shared" si="26"/>
        <v>0</v>
      </c>
      <c r="L281" s="296"/>
      <c r="M281" s="294"/>
    </row>
    <row r="282" spans="1:13" s="289" customFormat="1" ht="15" x14ac:dyDescent="0.25">
      <c r="A282" s="281"/>
      <c r="B282" s="312" t="s">
        <v>424</v>
      </c>
      <c r="C282" s="298"/>
      <c r="D282" s="298"/>
      <c r="E282" s="294"/>
      <c r="F282" s="297"/>
      <c r="G282" s="196">
        <f t="shared" si="22"/>
        <v>0</v>
      </c>
      <c r="H282" s="197">
        <f t="shared" si="23"/>
        <v>0</v>
      </c>
      <c r="I282" s="169">
        <f t="shared" si="24"/>
        <v>0</v>
      </c>
      <c r="J282" s="198">
        <f t="shared" si="25"/>
        <v>0</v>
      </c>
      <c r="K282" s="173">
        <f t="shared" si="26"/>
        <v>0</v>
      </c>
      <c r="L282" s="296"/>
      <c r="M282" s="294"/>
    </row>
    <row r="283" spans="1:13" s="289" customFormat="1" ht="99.75" x14ac:dyDescent="0.25">
      <c r="A283" s="281">
        <v>9.0899999999999981</v>
      </c>
      <c r="B283" s="291" t="s">
        <v>425</v>
      </c>
      <c r="C283" s="283">
        <v>22</v>
      </c>
      <c r="D283" s="283" t="s">
        <v>326</v>
      </c>
      <c r="E283" s="294">
        <v>3000</v>
      </c>
      <c r="F283" s="295">
        <f>ROUND($C283*E283,0)</f>
        <v>66000</v>
      </c>
      <c r="G283" s="196">
        <f t="shared" si="22"/>
        <v>240</v>
      </c>
      <c r="H283" s="197">
        <f t="shared" si="23"/>
        <v>120</v>
      </c>
      <c r="I283" s="169">
        <f t="shared" si="24"/>
        <v>2040</v>
      </c>
      <c r="J283" s="198">
        <f t="shared" si="25"/>
        <v>600</v>
      </c>
      <c r="K283" s="173">
        <f t="shared" si="26"/>
        <v>3000</v>
      </c>
      <c r="L283" s="296"/>
      <c r="M283" s="294"/>
    </row>
    <row r="284" spans="1:13" s="289" customFormat="1" x14ac:dyDescent="0.25">
      <c r="A284" s="281"/>
      <c r="B284" s="291"/>
      <c r="C284" s="283"/>
      <c r="D284" s="283"/>
      <c r="E284" s="294"/>
      <c r="F284" s="295"/>
      <c r="G284" s="196">
        <f t="shared" si="22"/>
        <v>0</v>
      </c>
      <c r="H284" s="197">
        <f t="shared" si="23"/>
        <v>0</v>
      </c>
      <c r="I284" s="169">
        <f t="shared" si="24"/>
        <v>0</v>
      </c>
      <c r="J284" s="198">
        <f t="shared" si="25"/>
        <v>0</v>
      </c>
      <c r="K284" s="173">
        <f t="shared" si="26"/>
        <v>0</v>
      </c>
      <c r="L284" s="296"/>
      <c r="M284" s="294"/>
    </row>
    <row r="285" spans="1:13" s="289" customFormat="1" ht="71.25" x14ac:dyDescent="0.25">
      <c r="A285" s="281">
        <v>9.0999999999999979</v>
      </c>
      <c r="B285" s="291" t="s">
        <v>426</v>
      </c>
      <c r="C285" s="283">
        <v>3</v>
      </c>
      <c r="D285" s="283" t="s">
        <v>326</v>
      </c>
      <c r="E285" s="294">
        <v>8000</v>
      </c>
      <c r="F285" s="295">
        <f>ROUND($C285*E285,0)</f>
        <v>24000</v>
      </c>
      <c r="G285" s="196">
        <f t="shared" si="22"/>
        <v>640</v>
      </c>
      <c r="H285" s="197">
        <f t="shared" si="23"/>
        <v>320</v>
      </c>
      <c r="I285" s="169">
        <f t="shared" si="24"/>
        <v>5440</v>
      </c>
      <c r="J285" s="198">
        <f t="shared" si="25"/>
        <v>1600</v>
      </c>
      <c r="K285" s="173">
        <f t="shared" si="26"/>
        <v>8000</v>
      </c>
      <c r="L285" s="296"/>
      <c r="M285" s="294"/>
    </row>
    <row r="286" spans="1:13" s="289" customFormat="1" x14ac:dyDescent="0.25">
      <c r="A286" s="281"/>
      <c r="B286" s="291"/>
      <c r="C286" s="283"/>
      <c r="D286" s="283"/>
      <c r="E286" s="294"/>
      <c r="F286" s="295"/>
      <c r="G286" s="196">
        <f t="shared" si="22"/>
        <v>0</v>
      </c>
      <c r="H286" s="197">
        <f t="shared" si="23"/>
        <v>0</v>
      </c>
      <c r="I286" s="169">
        <f t="shared" si="24"/>
        <v>0</v>
      </c>
      <c r="J286" s="198">
        <f t="shared" si="25"/>
        <v>0</v>
      </c>
      <c r="K286" s="173">
        <f t="shared" si="26"/>
        <v>0</v>
      </c>
      <c r="L286" s="296"/>
      <c r="M286" s="294"/>
    </row>
    <row r="287" spans="1:13" s="289" customFormat="1" ht="57" x14ac:dyDescent="0.25">
      <c r="A287" s="281">
        <v>9.1099999999999977</v>
      </c>
      <c r="B287" s="291" t="s">
        <v>427</v>
      </c>
      <c r="C287" s="283">
        <v>30</v>
      </c>
      <c r="D287" s="283" t="s">
        <v>85</v>
      </c>
      <c r="E287" s="294">
        <v>3000</v>
      </c>
      <c r="F287" s="295">
        <f>ROUND($C287*E287,0)</f>
        <v>90000</v>
      </c>
      <c r="G287" s="196">
        <f t="shared" si="22"/>
        <v>240</v>
      </c>
      <c r="H287" s="197">
        <f t="shared" si="23"/>
        <v>120</v>
      </c>
      <c r="I287" s="169">
        <f t="shared" si="24"/>
        <v>2040</v>
      </c>
      <c r="J287" s="198">
        <f t="shared" si="25"/>
        <v>600</v>
      </c>
      <c r="K287" s="173">
        <f t="shared" si="26"/>
        <v>3000</v>
      </c>
      <c r="L287" s="296"/>
      <c r="M287" s="294"/>
    </row>
    <row r="288" spans="1:13" s="289" customFormat="1" x14ac:dyDescent="0.25">
      <c r="A288" s="281"/>
      <c r="B288" s="291"/>
      <c r="C288" s="283"/>
      <c r="D288" s="283"/>
      <c r="E288" s="294"/>
      <c r="F288" s="295"/>
      <c r="G288" s="196">
        <f t="shared" si="22"/>
        <v>0</v>
      </c>
      <c r="H288" s="197">
        <f t="shared" si="23"/>
        <v>0</v>
      </c>
      <c r="I288" s="169">
        <f t="shared" si="24"/>
        <v>0</v>
      </c>
      <c r="J288" s="198">
        <f t="shared" si="25"/>
        <v>0</v>
      </c>
      <c r="K288" s="173">
        <f t="shared" si="26"/>
        <v>0</v>
      </c>
      <c r="L288" s="296"/>
      <c r="M288" s="294"/>
    </row>
    <row r="289" spans="1:13" s="289" customFormat="1" ht="42.75" x14ac:dyDescent="0.25">
      <c r="A289" s="281">
        <v>9.1199999999999974</v>
      </c>
      <c r="B289" s="291" t="s">
        <v>428</v>
      </c>
      <c r="C289" s="283">
        <v>8</v>
      </c>
      <c r="D289" s="283" t="s">
        <v>326</v>
      </c>
      <c r="E289" s="294">
        <v>2000</v>
      </c>
      <c r="F289" s="295">
        <f>ROUND($C289*E289,0)</f>
        <v>16000</v>
      </c>
      <c r="G289" s="196">
        <f t="shared" si="22"/>
        <v>160</v>
      </c>
      <c r="H289" s="197">
        <f t="shared" si="23"/>
        <v>80</v>
      </c>
      <c r="I289" s="169">
        <f t="shared" si="24"/>
        <v>1360</v>
      </c>
      <c r="J289" s="198">
        <f t="shared" si="25"/>
        <v>400</v>
      </c>
      <c r="K289" s="173">
        <f t="shared" si="26"/>
        <v>2000</v>
      </c>
      <c r="L289" s="296"/>
      <c r="M289" s="294"/>
    </row>
    <row r="290" spans="1:13" s="289" customFormat="1" ht="9" customHeight="1" x14ac:dyDescent="0.25">
      <c r="A290" s="311"/>
      <c r="B290" s="291"/>
      <c r="C290" s="298"/>
      <c r="D290" s="283"/>
      <c r="E290" s="316"/>
      <c r="F290" s="297"/>
      <c r="G290" s="196">
        <f t="shared" si="22"/>
        <v>0</v>
      </c>
      <c r="H290" s="197">
        <f t="shared" si="23"/>
        <v>0</v>
      </c>
      <c r="I290" s="169">
        <f t="shared" si="24"/>
        <v>0</v>
      </c>
      <c r="J290" s="198">
        <f t="shared" si="25"/>
        <v>0</v>
      </c>
      <c r="K290" s="173">
        <f t="shared" si="26"/>
        <v>0</v>
      </c>
      <c r="L290" s="317"/>
      <c r="M290" s="316"/>
    </row>
    <row r="291" spans="1:13" s="289" customFormat="1" ht="15" x14ac:dyDescent="0.25">
      <c r="A291" s="290">
        <v>9.1299999999999972</v>
      </c>
      <c r="B291" s="282" t="s">
        <v>429</v>
      </c>
      <c r="C291" s="283"/>
      <c r="D291" s="284"/>
      <c r="E291" s="262"/>
      <c r="F291" s="297"/>
      <c r="G291" s="196">
        <f t="shared" si="22"/>
        <v>0</v>
      </c>
      <c r="H291" s="197">
        <f t="shared" si="23"/>
        <v>0</v>
      </c>
      <c r="I291" s="169">
        <f t="shared" si="24"/>
        <v>0</v>
      </c>
      <c r="J291" s="198">
        <f t="shared" si="25"/>
        <v>0</v>
      </c>
      <c r="K291" s="173">
        <f t="shared" si="26"/>
        <v>0</v>
      </c>
      <c r="L291" s="263"/>
      <c r="M291" s="262"/>
    </row>
    <row r="292" spans="1:13" s="289" customFormat="1" ht="78.75" customHeight="1" x14ac:dyDescent="0.2">
      <c r="A292" s="290"/>
      <c r="B292" s="291" t="s">
        <v>430</v>
      </c>
      <c r="C292" s="283"/>
      <c r="D292" s="284"/>
      <c r="E292" s="316"/>
      <c r="F292" s="297"/>
      <c r="G292" s="196">
        <f t="shared" si="22"/>
        <v>0</v>
      </c>
      <c r="H292" s="197">
        <f t="shared" si="23"/>
        <v>0</v>
      </c>
      <c r="I292" s="169">
        <f t="shared" si="24"/>
        <v>0</v>
      </c>
      <c r="J292" s="198">
        <f t="shared" si="25"/>
        <v>0</v>
      </c>
      <c r="K292" s="173">
        <f t="shared" si="26"/>
        <v>0</v>
      </c>
      <c r="L292" s="317"/>
      <c r="M292" s="316"/>
    </row>
    <row r="293" spans="1:13" s="289" customFormat="1" x14ac:dyDescent="0.2">
      <c r="A293" s="290"/>
      <c r="B293" s="293" t="s">
        <v>431</v>
      </c>
      <c r="C293" s="283">
        <v>50</v>
      </c>
      <c r="D293" s="283" t="s">
        <v>432</v>
      </c>
      <c r="E293" s="262">
        <v>180</v>
      </c>
      <c r="F293" s="295">
        <f>ROUND($C293*E293,0)</f>
        <v>9000</v>
      </c>
      <c r="G293" s="196">
        <f t="shared" si="22"/>
        <v>14.4</v>
      </c>
      <c r="H293" s="197">
        <f t="shared" si="23"/>
        <v>7.2</v>
      </c>
      <c r="I293" s="169">
        <f t="shared" si="24"/>
        <v>122.4</v>
      </c>
      <c r="J293" s="198">
        <f t="shared" si="25"/>
        <v>36</v>
      </c>
      <c r="K293" s="173">
        <f t="shared" si="26"/>
        <v>180</v>
      </c>
      <c r="L293" s="263"/>
      <c r="M293" s="262"/>
    </row>
    <row r="294" spans="1:13" s="289" customFormat="1" x14ac:dyDescent="0.2">
      <c r="A294" s="290"/>
      <c r="B294" s="293" t="s">
        <v>433</v>
      </c>
      <c r="C294" s="283">
        <v>100</v>
      </c>
      <c r="D294" s="283" t="s">
        <v>432</v>
      </c>
      <c r="E294" s="262">
        <v>350</v>
      </c>
      <c r="F294" s="295">
        <f>ROUND($C294*E294,0)</f>
        <v>35000</v>
      </c>
      <c r="G294" s="196">
        <f t="shared" si="22"/>
        <v>28</v>
      </c>
      <c r="H294" s="197">
        <f t="shared" si="23"/>
        <v>14</v>
      </c>
      <c r="I294" s="169">
        <f t="shared" si="24"/>
        <v>238</v>
      </c>
      <c r="J294" s="198">
        <f t="shared" si="25"/>
        <v>70</v>
      </c>
      <c r="K294" s="173">
        <f t="shared" si="26"/>
        <v>350</v>
      </c>
      <c r="L294" s="263"/>
      <c r="M294" s="262"/>
    </row>
    <row r="295" spans="1:13" s="289" customFormat="1" x14ac:dyDescent="0.2">
      <c r="A295" s="318"/>
      <c r="B295" s="319"/>
      <c r="C295" s="301"/>
      <c r="D295" s="301"/>
      <c r="E295" s="320"/>
      <c r="F295" s="303"/>
      <c r="G295" s="196">
        <f t="shared" si="22"/>
        <v>0</v>
      </c>
      <c r="H295" s="197">
        <f t="shared" si="23"/>
        <v>0</v>
      </c>
      <c r="I295" s="169">
        <f t="shared" si="24"/>
        <v>0</v>
      </c>
      <c r="J295" s="198">
        <f t="shared" si="25"/>
        <v>0</v>
      </c>
      <c r="K295" s="173">
        <f t="shared" si="26"/>
        <v>0</v>
      </c>
      <c r="L295" s="321"/>
      <c r="M295" s="320"/>
    </row>
    <row r="296" spans="1:13" s="289" customFormat="1" ht="15" x14ac:dyDescent="0.25">
      <c r="A296" s="322"/>
      <c r="B296" s="323" t="s">
        <v>434</v>
      </c>
      <c r="C296" s="307"/>
      <c r="D296" s="307"/>
      <c r="E296" s="324"/>
      <c r="F296" s="309"/>
      <c r="G296" s="196">
        <f t="shared" si="22"/>
        <v>0</v>
      </c>
      <c r="H296" s="197">
        <f t="shared" si="23"/>
        <v>0</v>
      </c>
      <c r="I296" s="169">
        <f t="shared" si="24"/>
        <v>0</v>
      </c>
      <c r="J296" s="198">
        <f t="shared" si="25"/>
        <v>0</v>
      </c>
      <c r="K296" s="173">
        <f t="shared" si="26"/>
        <v>0</v>
      </c>
      <c r="L296" s="325"/>
      <c r="M296" s="324"/>
    </row>
    <row r="297" spans="1:13" s="289" customFormat="1" ht="128.25" x14ac:dyDescent="0.25">
      <c r="A297" s="281">
        <v>9.139999999999997</v>
      </c>
      <c r="B297" s="291" t="s">
        <v>435</v>
      </c>
      <c r="C297" s="283"/>
      <c r="D297" s="283"/>
      <c r="E297" s="316"/>
      <c r="F297" s="295"/>
      <c r="G297" s="196">
        <f t="shared" si="22"/>
        <v>0</v>
      </c>
      <c r="H297" s="197">
        <f t="shared" si="23"/>
        <v>0</v>
      </c>
      <c r="I297" s="169">
        <f t="shared" si="24"/>
        <v>0</v>
      </c>
      <c r="J297" s="198">
        <f t="shared" si="25"/>
        <v>0</v>
      </c>
      <c r="K297" s="173">
        <f t="shared" si="26"/>
        <v>0</v>
      </c>
      <c r="L297" s="317"/>
      <c r="M297" s="316"/>
    </row>
    <row r="298" spans="1:13" s="289" customFormat="1" ht="15" x14ac:dyDescent="0.25">
      <c r="A298" s="290"/>
      <c r="B298" s="282" t="s">
        <v>436</v>
      </c>
      <c r="C298" s="283"/>
      <c r="D298" s="284"/>
      <c r="E298" s="316"/>
      <c r="F298" s="295"/>
      <c r="G298" s="196">
        <f t="shared" si="22"/>
        <v>0</v>
      </c>
      <c r="H298" s="197">
        <f t="shared" si="23"/>
        <v>0</v>
      </c>
      <c r="I298" s="169">
        <f t="shared" si="24"/>
        <v>0</v>
      </c>
      <c r="J298" s="198">
        <f t="shared" si="25"/>
        <v>0</v>
      </c>
      <c r="K298" s="173">
        <f t="shared" si="26"/>
        <v>0</v>
      </c>
      <c r="L298" s="317"/>
      <c r="M298" s="316"/>
    </row>
    <row r="299" spans="1:13" s="289" customFormat="1" ht="28.5" x14ac:dyDescent="0.25">
      <c r="A299" s="281" t="s">
        <v>415</v>
      </c>
      <c r="B299" s="291" t="s">
        <v>437</v>
      </c>
      <c r="C299" s="283">
        <v>50</v>
      </c>
      <c r="D299" s="283" t="s">
        <v>432</v>
      </c>
      <c r="E299" s="294">
        <v>1200</v>
      </c>
      <c r="F299" s="295">
        <f t="shared" ref="F299:F304" si="27">ROUND($C299*E299,0)</f>
        <v>60000</v>
      </c>
      <c r="G299" s="196">
        <f t="shared" si="22"/>
        <v>96</v>
      </c>
      <c r="H299" s="197">
        <f t="shared" si="23"/>
        <v>48</v>
      </c>
      <c r="I299" s="169">
        <f t="shared" si="24"/>
        <v>816</v>
      </c>
      <c r="J299" s="198">
        <f t="shared" si="25"/>
        <v>240</v>
      </c>
      <c r="K299" s="173">
        <f t="shared" si="26"/>
        <v>1200</v>
      </c>
      <c r="L299" s="296"/>
      <c r="M299" s="294"/>
    </row>
    <row r="300" spans="1:13" s="289" customFormat="1" ht="28.5" x14ac:dyDescent="0.25">
      <c r="A300" s="281" t="s">
        <v>438</v>
      </c>
      <c r="B300" s="291" t="s">
        <v>439</v>
      </c>
      <c r="C300" s="283">
        <v>100</v>
      </c>
      <c r="D300" s="283" t="s">
        <v>432</v>
      </c>
      <c r="E300" s="294">
        <v>1600</v>
      </c>
      <c r="F300" s="295">
        <f t="shared" si="27"/>
        <v>160000</v>
      </c>
      <c r="G300" s="196">
        <f t="shared" si="22"/>
        <v>128</v>
      </c>
      <c r="H300" s="197">
        <f t="shared" si="23"/>
        <v>64</v>
      </c>
      <c r="I300" s="169">
        <f t="shared" si="24"/>
        <v>1088</v>
      </c>
      <c r="J300" s="198">
        <f t="shared" si="25"/>
        <v>320</v>
      </c>
      <c r="K300" s="173">
        <f t="shared" si="26"/>
        <v>1600</v>
      </c>
      <c r="L300" s="296"/>
      <c r="M300" s="294"/>
    </row>
    <row r="301" spans="1:13" s="289" customFormat="1" ht="28.5" customHeight="1" x14ac:dyDescent="0.25">
      <c r="A301" s="281" t="s">
        <v>440</v>
      </c>
      <c r="B301" s="291" t="s">
        <v>441</v>
      </c>
      <c r="C301" s="283">
        <v>100</v>
      </c>
      <c r="D301" s="283" t="s">
        <v>432</v>
      </c>
      <c r="E301" s="294">
        <v>2000</v>
      </c>
      <c r="F301" s="295">
        <f t="shared" si="27"/>
        <v>200000</v>
      </c>
      <c r="G301" s="196">
        <f t="shared" si="22"/>
        <v>160</v>
      </c>
      <c r="H301" s="197">
        <f t="shared" si="23"/>
        <v>80</v>
      </c>
      <c r="I301" s="169">
        <f t="shared" si="24"/>
        <v>1360</v>
      </c>
      <c r="J301" s="198">
        <f t="shared" si="25"/>
        <v>400</v>
      </c>
      <c r="K301" s="173">
        <f t="shared" si="26"/>
        <v>2000</v>
      </c>
      <c r="L301" s="296"/>
      <c r="M301" s="294"/>
    </row>
    <row r="302" spans="1:13" s="289" customFormat="1" ht="28.5" x14ac:dyDescent="0.25">
      <c r="A302" s="281" t="s">
        <v>442</v>
      </c>
      <c r="B302" s="291" t="s">
        <v>443</v>
      </c>
      <c r="C302" s="283">
        <v>20</v>
      </c>
      <c r="D302" s="283" t="s">
        <v>432</v>
      </c>
      <c r="E302" s="294">
        <v>2800</v>
      </c>
      <c r="F302" s="295">
        <f t="shared" si="27"/>
        <v>56000</v>
      </c>
      <c r="G302" s="196">
        <f t="shared" si="22"/>
        <v>224</v>
      </c>
      <c r="H302" s="197">
        <f t="shared" si="23"/>
        <v>112</v>
      </c>
      <c r="I302" s="169">
        <f t="shared" si="24"/>
        <v>1904</v>
      </c>
      <c r="J302" s="198">
        <f t="shared" si="25"/>
        <v>560</v>
      </c>
      <c r="K302" s="173">
        <f t="shared" si="26"/>
        <v>2800</v>
      </c>
      <c r="L302" s="296"/>
      <c r="M302" s="294"/>
    </row>
    <row r="303" spans="1:13" s="289" customFormat="1" ht="28.5" x14ac:dyDescent="0.25">
      <c r="A303" s="281" t="s">
        <v>444</v>
      </c>
      <c r="B303" s="291" t="s">
        <v>445</v>
      </c>
      <c r="C303" s="283">
        <v>100</v>
      </c>
      <c r="D303" s="283" t="s">
        <v>432</v>
      </c>
      <c r="E303" s="294">
        <v>9200</v>
      </c>
      <c r="F303" s="295">
        <f t="shared" si="27"/>
        <v>920000</v>
      </c>
      <c r="G303" s="196">
        <f t="shared" si="22"/>
        <v>736</v>
      </c>
      <c r="H303" s="197">
        <f t="shared" si="23"/>
        <v>368</v>
      </c>
      <c r="I303" s="169">
        <f t="shared" si="24"/>
        <v>6256</v>
      </c>
      <c r="J303" s="198">
        <f t="shared" si="25"/>
        <v>1840</v>
      </c>
      <c r="K303" s="173">
        <f t="shared" si="26"/>
        <v>9200</v>
      </c>
      <c r="L303" s="296"/>
      <c r="M303" s="294"/>
    </row>
    <row r="304" spans="1:13" s="289" customFormat="1" ht="28.5" x14ac:dyDescent="0.25">
      <c r="A304" s="281" t="s">
        <v>446</v>
      </c>
      <c r="B304" s="291" t="s">
        <v>447</v>
      </c>
      <c r="C304" s="283">
        <v>100</v>
      </c>
      <c r="D304" s="283" t="s">
        <v>432</v>
      </c>
      <c r="E304" s="294">
        <v>13300</v>
      </c>
      <c r="F304" s="295">
        <f t="shared" si="27"/>
        <v>1330000</v>
      </c>
      <c r="G304" s="196">
        <f t="shared" si="22"/>
        <v>1064</v>
      </c>
      <c r="H304" s="197">
        <f t="shared" si="23"/>
        <v>532</v>
      </c>
      <c r="I304" s="169">
        <f t="shared" si="24"/>
        <v>9044</v>
      </c>
      <c r="J304" s="198">
        <f t="shared" si="25"/>
        <v>2660</v>
      </c>
      <c r="K304" s="173">
        <f t="shared" si="26"/>
        <v>13300</v>
      </c>
      <c r="L304" s="296"/>
      <c r="M304" s="294"/>
    </row>
    <row r="305" spans="1:13" s="289" customFormat="1" x14ac:dyDescent="0.2">
      <c r="A305" s="290"/>
      <c r="B305" s="291"/>
      <c r="C305" s="283"/>
      <c r="D305" s="283"/>
      <c r="E305" s="294"/>
      <c r="F305" s="295"/>
      <c r="G305" s="196">
        <f t="shared" si="22"/>
        <v>0</v>
      </c>
      <c r="H305" s="197">
        <f t="shared" si="23"/>
        <v>0</v>
      </c>
      <c r="I305" s="169">
        <f t="shared" si="24"/>
        <v>0</v>
      </c>
      <c r="J305" s="198">
        <f t="shared" si="25"/>
        <v>0</v>
      </c>
      <c r="K305" s="173">
        <f t="shared" si="26"/>
        <v>0</v>
      </c>
      <c r="L305" s="296"/>
      <c r="M305" s="294"/>
    </row>
    <row r="306" spans="1:13" s="289" customFormat="1" ht="15" x14ac:dyDescent="0.25">
      <c r="A306" s="290"/>
      <c r="B306" s="282" t="s">
        <v>448</v>
      </c>
      <c r="C306" s="283"/>
      <c r="D306" s="283"/>
      <c r="E306" s="294"/>
      <c r="F306" s="295"/>
      <c r="G306" s="196">
        <f t="shared" si="22"/>
        <v>0</v>
      </c>
      <c r="H306" s="197">
        <f t="shared" si="23"/>
        <v>0</v>
      </c>
      <c r="I306" s="169">
        <f t="shared" si="24"/>
        <v>0</v>
      </c>
      <c r="J306" s="198">
        <f t="shared" si="25"/>
        <v>0</v>
      </c>
      <c r="K306" s="173">
        <f t="shared" si="26"/>
        <v>0</v>
      </c>
      <c r="L306" s="296"/>
      <c r="M306" s="294"/>
    </row>
    <row r="307" spans="1:13" s="289" customFormat="1" ht="28.5" x14ac:dyDescent="0.25">
      <c r="A307" s="281" t="s">
        <v>449</v>
      </c>
      <c r="B307" s="291" t="s">
        <v>450</v>
      </c>
      <c r="C307" s="283">
        <v>60</v>
      </c>
      <c r="D307" s="283" t="s">
        <v>432</v>
      </c>
      <c r="E307" s="294">
        <v>470</v>
      </c>
      <c r="F307" s="295">
        <f>ROUND($C307*E307,0)</f>
        <v>28200</v>
      </c>
      <c r="G307" s="196">
        <f t="shared" si="22"/>
        <v>37.6</v>
      </c>
      <c r="H307" s="197">
        <f t="shared" si="23"/>
        <v>18.8</v>
      </c>
      <c r="I307" s="169">
        <f t="shared" si="24"/>
        <v>319.60000000000002</v>
      </c>
      <c r="J307" s="198">
        <f t="shared" si="25"/>
        <v>94</v>
      </c>
      <c r="K307" s="173">
        <f t="shared" si="26"/>
        <v>470</v>
      </c>
      <c r="L307" s="296"/>
      <c r="M307" s="294"/>
    </row>
    <row r="308" spans="1:13" s="289" customFormat="1" ht="28.5" x14ac:dyDescent="0.25">
      <c r="A308" s="281" t="s">
        <v>451</v>
      </c>
      <c r="B308" s="291" t="s">
        <v>452</v>
      </c>
      <c r="C308" s="283">
        <v>60</v>
      </c>
      <c r="D308" s="283" t="s">
        <v>432</v>
      </c>
      <c r="E308" s="294">
        <v>620</v>
      </c>
      <c r="F308" s="295">
        <f>ROUND($C308*E308,0)</f>
        <v>37200</v>
      </c>
      <c r="G308" s="196">
        <f t="shared" si="22"/>
        <v>49.6</v>
      </c>
      <c r="H308" s="197">
        <f t="shared" si="23"/>
        <v>24.8</v>
      </c>
      <c r="I308" s="169">
        <f t="shared" si="24"/>
        <v>421.6</v>
      </c>
      <c r="J308" s="198">
        <f t="shared" si="25"/>
        <v>124</v>
      </c>
      <c r="K308" s="173">
        <f t="shared" si="26"/>
        <v>620</v>
      </c>
      <c r="L308" s="296"/>
      <c r="M308" s="294"/>
    </row>
    <row r="309" spans="1:13" s="289" customFormat="1" x14ac:dyDescent="0.2">
      <c r="A309" s="290"/>
      <c r="B309" s="291"/>
      <c r="C309" s="283"/>
      <c r="D309" s="283"/>
      <c r="E309" s="326"/>
      <c r="F309" s="295"/>
      <c r="G309" s="196">
        <f t="shared" si="22"/>
        <v>0</v>
      </c>
      <c r="H309" s="197">
        <f t="shared" si="23"/>
        <v>0</v>
      </c>
      <c r="I309" s="169">
        <f t="shared" si="24"/>
        <v>0</v>
      </c>
      <c r="J309" s="198">
        <f t="shared" si="25"/>
        <v>0</v>
      </c>
      <c r="K309" s="173">
        <f t="shared" si="26"/>
        <v>0</v>
      </c>
      <c r="L309" s="327"/>
      <c r="M309" s="326"/>
    </row>
    <row r="310" spans="1:13" s="289" customFormat="1" ht="185.25" x14ac:dyDescent="0.25">
      <c r="A310" s="299">
        <v>9.1499999999999968</v>
      </c>
      <c r="B310" s="300" t="s">
        <v>453</v>
      </c>
      <c r="C310" s="301"/>
      <c r="D310" s="301"/>
      <c r="E310" s="302"/>
      <c r="F310" s="303"/>
      <c r="G310" s="196">
        <f t="shared" si="22"/>
        <v>0</v>
      </c>
      <c r="H310" s="197">
        <f t="shared" si="23"/>
        <v>0</v>
      </c>
      <c r="I310" s="169">
        <f t="shared" si="24"/>
        <v>0</v>
      </c>
      <c r="J310" s="198">
        <f t="shared" si="25"/>
        <v>0</v>
      </c>
      <c r="K310" s="173">
        <f t="shared" si="26"/>
        <v>0</v>
      </c>
      <c r="L310" s="304"/>
      <c r="M310" s="302"/>
    </row>
    <row r="311" spans="1:13" s="289" customFormat="1" x14ac:dyDescent="0.2">
      <c r="A311" s="322" t="s">
        <v>415</v>
      </c>
      <c r="B311" s="306" t="s">
        <v>454</v>
      </c>
      <c r="C311" s="307">
        <v>80</v>
      </c>
      <c r="D311" s="307" t="s">
        <v>432</v>
      </c>
      <c r="E311" s="308">
        <v>20000</v>
      </c>
      <c r="F311" s="309">
        <f>ROUND($C311*E311,0)</f>
        <v>1600000</v>
      </c>
      <c r="G311" s="196">
        <f t="shared" si="22"/>
        <v>1600</v>
      </c>
      <c r="H311" s="197">
        <f t="shared" si="23"/>
        <v>800</v>
      </c>
      <c r="I311" s="169">
        <f t="shared" si="24"/>
        <v>13600</v>
      </c>
      <c r="J311" s="198">
        <f t="shared" si="25"/>
        <v>4000</v>
      </c>
      <c r="K311" s="173">
        <f t="shared" si="26"/>
        <v>20000</v>
      </c>
      <c r="L311" s="310"/>
      <c r="M311" s="308"/>
    </row>
    <row r="312" spans="1:13" s="289" customFormat="1" x14ac:dyDescent="0.2">
      <c r="A312" s="328"/>
      <c r="B312" s="329"/>
      <c r="C312" s="298"/>
      <c r="D312" s="298"/>
      <c r="E312" s="262"/>
      <c r="F312" s="297"/>
      <c r="G312" s="196">
        <f t="shared" si="22"/>
        <v>0</v>
      </c>
      <c r="H312" s="197">
        <f t="shared" si="23"/>
        <v>0</v>
      </c>
      <c r="I312" s="169">
        <f t="shared" si="24"/>
        <v>0</v>
      </c>
      <c r="J312" s="198">
        <f t="shared" si="25"/>
        <v>0</v>
      </c>
      <c r="K312" s="173">
        <f t="shared" si="26"/>
        <v>0</v>
      </c>
      <c r="L312" s="263"/>
      <c r="M312" s="262"/>
    </row>
    <row r="313" spans="1:13" s="289" customFormat="1" ht="20.100000000000001" customHeight="1" x14ac:dyDescent="0.25">
      <c r="A313" s="290">
        <v>9.1599999999999966</v>
      </c>
      <c r="B313" s="282" t="s">
        <v>455</v>
      </c>
      <c r="C313" s="283"/>
      <c r="D313" s="284"/>
      <c r="E313" s="262"/>
      <c r="F313" s="297"/>
      <c r="G313" s="196">
        <f t="shared" si="22"/>
        <v>0</v>
      </c>
      <c r="H313" s="197">
        <f t="shared" si="23"/>
        <v>0</v>
      </c>
      <c r="I313" s="169">
        <f t="shared" si="24"/>
        <v>0</v>
      </c>
      <c r="J313" s="198">
        <f t="shared" si="25"/>
        <v>0</v>
      </c>
      <c r="K313" s="173">
        <f t="shared" si="26"/>
        <v>0</v>
      </c>
      <c r="L313" s="263"/>
      <c r="M313" s="262"/>
    </row>
    <row r="314" spans="1:13" s="289" customFormat="1" ht="120.75" customHeight="1" x14ac:dyDescent="0.2">
      <c r="A314" s="290"/>
      <c r="B314" s="291" t="s">
        <v>456</v>
      </c>
      <c r="C314" s="283">
        <v>4</v>
      </c>
      <c r="D314" s="283" t="s">
        <v>113</v>
      </c>
      <c r="E314" s="294">
        <v>50000</v>
      </c>
      <c r="F314" s="295">
        <f>ROUND($C314*E314,0)</f>
        <v>200000</v>
      </c>
      <c r="G314" s="196">
        <f t="shared" si="22"/>
        <v>4000</v>
      </c>
      <c r="H314" s="197">
        <f t="shared" si="23"/>
        <v>2000</v>
      </c>
      <c r="I314" s="169">
        <f t="shared" si="24"/>
        <v>34000</v>
      </c>
      <c r="J314" s="198">
        <f t="shared" si="25"/>
        <v>10000</v>
      </c>
      <c r="K314" s="173">
        <f t="shared" si="26"/>
        <v>50000</v>
      </c>
      <c r="L314" s="296"/>
      <c r="M314" s="294"/>
    </row>
    <row r="315" spans="1:13" s="289" customFormat="1" ht="8.25" customHeight="1" x14ac:dyDescent="0.2">
      <c r="A315" s="290"/>
      <c r="B315" s="291"/>
      <c r="C315" s="283"/>
      <c r="D315" s="283"/>
      <c r="E315" s="262"/>
      <c r="F315" s="295"/>
      <c r="G315" s="196">
        <f t="shared" si="22"/>
        <v>0</v>
      </c>
      <c r="H315" s="197">
        <f t="shared" si="23"/>
        <v>0</v>
      </c>
      <c r="I315" s="169">
        <f t="shared" si="24"/>
        <v>0</v>
      </c>
      <c r="J315" s="198">
        <f t="shared" si="25"/>
        <v>0</v>
      </c>
      <c r="K315" s="173">
        <f t="shared" si="26"/>
        <v>0</v>
      </c>
      <c r="L315" s="263"/>
      <c r="M315" s="262"/>
    </row>
    <row r="316" spans="1:13" s="289" customFormat="1" ht="65.25" customHeight="1" x14ac:dyDescent="0.25">
      <c r="A316" s="281">
        <v>9.1699999999999964</v>
      </c>
      <c r="B316" s="291" t="s">
        <v>457</v>
      </c>
      <c r="C316" s="283">
        <v>50</v>
      </c>
      <c r="D316" s="283" t="s">
        <v>432</v>
      </c>
      <c r="E316" s="294">
        <v>1500</v>
      </c>
      <c r="F316" s="295">
        <f>ROUND($C316*E316,0)</f>
        <v>75000</v>
      </c>
      <c r="G316" s="196">
        <f t="shared" si="22"/>
        <v>120</v>
      </c>
      <c r="H316" s="197">
        <f t="shared" si="23"/>
        <v>60</v>
      </c>
      <c r="I316" s="169">
        <f t="shared" si="24"/>
        <v>1020</v>
      </c>
      <c r="J316" s="198">
        <f t="shared" si="25"/>
        <v>300</v>
      </c>
      <c r="K316" s="173">
        <f t="shared" si="26"/>
        <v>1500</v>
      </c>
      <c r="L316" s="296"/>
      <c r="M316" s="294"/>
    </row>
    <row r="317" spans="1:13" s="289" customFormat="1" ht="7.5" customHeight="1" x14ac:dyDescent="0.2">
      <c r="A317" s="328"/>
      <c r="B317" s="329"/>
      <c r="C317" s="298"/>
      <c r="D317" s="298"/>
      <c r="E317" s="262"/>
      <c r="F317" s="297"/>
      <c r="G317" s="196">
        <f t="shared" si="22"/>
        <v>0</v>
      </c>
      <c r="H317" s="197">
        <f t="shared" si="23"/>
        <v>0</v>
      </c>
      <c r="I317" s="169">
        <f t="shared" si="24"/>
        <v>0</v>
      </c>
      <c r="J317" s="198">
        <f t="shared" si="25"/>
        <v>0</v>
      </c>
      <c r="K317" s="173">
        <f t="shared" si="26"/>
        <v>0</v>
      </c>
      <c r="L317" s="263"/>
      <c r="M317" s="262"/>
    </row>
    <row r="318" spans="1:13" s="289" customFormat="1" x14ac:dyDescent="0.2">
      <c r="A318" s="330"/>
      <c r="B318" s="331" t="s">
        <v>458</v>
      </c>
      <c r="C318" s="298"/>
      <c r="D318" s="283"/>
      <c r="E318" s="262"/>
      <c r="F318" s="297"/>
      <c r="G318" s="196">
        <f t="shared" si="22"/>
        <v>0</v>
      </c>
      <c r="H318" s="197">
        <f t="shared" si="23"/>
        <v>0</v>
      </c>
      <c r="I318" s="169">
        <f t="shared" si="24"/>
        <v>0</v>
      </c>
      <c r="J318" s="198">
        <f t="shared" si="25"/>
        <v>0</v>
      </c>
      <c r="K318" s="173">
        <f t="shared" si="26"/>
        <v>0</v>
      </c>
      <c r="L318" s="263"/>
      <c r="M318" s="262"/>
    </row>
    <row r="319" spans="1:13" s="289" customFormat="1" ht="155.25" customHeight="1" x14ac:dyDescent="0.25">
      <c r="A319" s="281">
        <v>9.1799999999999962</v>
      </c>
      <c r="B319" s="332" t="s">
        <v>459</v>
      </c>
      <c r="C319" s="298"/>
      <c r="D319" s="283"/>
      <c r="E319" s="262"/>
      <c r="F319" s="297"/>
      <c r="G319" s="196">
        <f t="shared" si="22"/>
        <v>0</v>
      </c>
      <c r="H319" s="197">
        <f t="shared" si="23"/>
        <v>0</v>
      </c>
      <c r="I319" s="169">
        <f t="shared" si="24"/>
        <v>0</v>
      </c>
      <c r="J319" s="198">
        <f t="shared" si="25"/>
        <v>0</v>
      </c>
      <c r="K319" s="173">
        <f t="shared" si="26"/>
        <v>0</v>
      </c>
      <c r="L319" s="263"/>
      <c r="M319" s="262"/>
    </row>
    <row r="320" spans="1:13" s="289" customFormat="1" ht="99.75" x14ac:dyDescent="0.25">
      <c r="A320" s="281"/>
      <c r="B320" s="332" t="s">
        <v>460</v>
      </c>
      <c r="C320" s="298"/>
      <c r="D320" s="283"/>
      <c r="E320" s="262"/>
      <c r="F320" s="297"/>
      <c r="G320" s="196">
        <f t="shared" si="22"/>
        <v>0</v>
      </c>
      <c r="H320" s="197">
        <f t="shared" si="23"/>
        <v>0</v>
      </c>
      <c r="I320" s="169">
        <f t="shared" si="24"/>
        <v>0</v>
      </c>
      <c r="J320" s="198">
        <f t="shared" si="25"/>
        <v>0</v>
      </c>
      <c r="K320" s="173">
        <f t="shared" si="26"/>
        <v>0</v>
      </c>
      <c r="L320" s="263"/>
      <c r="M320" s="262"/>
    </row>
    <row r="321" spans="1:13" s="289" customFormat="1" ht="15" x14ac:dyDescent="0.2">
      <c r="A321" s="330"/>
      <c r="B321" s="333" t="s">
        <v>461</v>
      </c>
      <c r="C321" s="298"/>
      <c r="D321" s="283"/>
      <c r="E321" s="262"/>
      <c r="F321" s="297"/>
      <c r="G321" s="196">
        <f t="shared" si="22"/>
        <v>0</v>
      </c>
      <c r="H321" s="197">
        <f t="shared" si="23"/>
        <v>0</v>
      </c>
      <c r="I321" s="169">
        <f t="shared" si="24"/>
        <v>0</v>
      </c>
      <c r="J321" s="198">
        <f t="shared" si="25"/>
        <v>0</v>
      </c>
      <c r="K321" s="173">
        <f t="shared" si="26"/>
        <v>0</v>
      </c>
      <c r="L321" s="263"/>
      <c r="M321" s="262"/>
    </row>
    <row r="322" spans="1:13" s="289" customFormat="1" x14ac:dyDescent="0.2">
      <c r="A322" s="330"/>
      <c r="B322" s="334" t="s">
        <v>462</v>
      </c>
      <c r="C322" s="298"/>
      <c r="D322" s="283"/>
      <c r="E322" s="262"/>
      <c r="F322" s="297"/>
      <c r="G322" s="196">
        <f t="shared" si="22"/>
        <v>0</v>
      </c>
      <c r="H322" s="197">
        <f t="shared" si="23"/>
        <v>0</v>
      </c>
      <c r="I322" s="169">
        <f t="shared" si="24"/>
        <v>0</v>
      </c>
      <c r="J322" s="198">
        <f t="shared" si="25"/>
        <v>0</v>
      </c>
      <c r="K322" s="173">
        <f t="shared" si="26"/>
        <v>0</v>
      </c>
      <c r="L322" s="263"/>
      <c r="M322" s="262"/>
    </row>
    <row r="323" spans="1:13" s="289" customFormat="1" x14ac:dyDescent="0.2">
      <c r="A323" s="330" t="s">
        <v>386</v>
      </c>
      <c r="B323" s="335" t="s">
        <v>463</v>
      </c>
      <c r="C323" s="298"/>
      <c r="D323" s="283"/>
      <c r="E323" s="262"/>
      <c r="F323" s="297"/>
      <c r="G323" s="196">
        <f t="shared" si="22"/>
        <v>0</v>
      </c>
      <c r="H323" s="197">
        <f t="shared" si="23"/>
        <v>0</v>
      </c>
      <c r="I323" s="169">
        <f t="shared" si="24"/>
        <v>0</v>
      </c>
      <c r="J323" s="198">
        <f t="shared" si="25"/>
        <v>0</v>
      </c>
      <c r="K323" s="173">
        <f t="shared" si="26"/>
        <v>0</v>
      </c>
      <c r="L323" s="263"/>
      <c r="M323" s="262"/>
    </row>
    <row r="324" spans="1:13" s="289" customFormat="1" x14ac:dyDescent="0.2">
      <c r="A324" s="330"/>
      <c r="B324" s="335" t="s">
        <v>464</v>
      </c>
      <c r="C324" s="298"/>
      <c r="D324" s="283"/>
      <c r="E324" s="262"/>
      <c r="F324" s="297"/>
      <c r="G324" s="196">
        <f t="shared" si="22"/>
        <v>0</v>
      </c>
      <c r="H324" s="197">
        <f t="shared" si="23"/>
        <v>0</v>
      </c>
      <c r="I324" s="169">
        <f t="shared" si="24"/>
        <v>0</v>
      </c>
      <c r="J324" s="198">
        <f t="shared" si="25"/>
        <v>0</v>
      </c>
      <c r="K324" s="173">
        <f t="shared" si="26"/>
        <v>0</v>
      </c>
      <c r="L324" s="263"/>
      <c r="M324" s="262"/>
    </row>
    <row r="325" spans="1:13" s="289" customFormat="1" x14ac:dyDescent="0.2">
      <c r="A325" s="330"/>
      <c r="B325" s="335" t="s">
        <v>465</v>
      </c>
      <c r="C325" s="298"/>
      <c r="D325" s="283"/>
      <c r="E325" s="262"/>
      <c r="F325" s="297"/>
      <c r="G325" s="196">
        <f t="shared" si="22"/>
        <v>0</v>
      </c>
      <c r="H325" s="197">
        <f t="shared" si="23"/>
        <v>0</v>
      </c>
      <c r="I325" s="169">
        <f t="shared" si="24"/>
        <v>0</v>
      </c>
      <c r="J325" s="198">
        <f t="shared" si="25"/>
        <v>0</v>
      </c>
      <c r="K325" s="173">
        <f t="shared" si="26"/>
        <v>0</v>
      </c>
      <c r="L325" s="263"/>
      <c r="M325" s="262"/>
    </row>
    <row r="326" spans="1:13" s="289" customFormat="1" x14ac:dyDescent="0.2">
      <c r="A326" s="330"/>
      <c r="B326" s="335" t="s">
        <v>466</v>
      </c>
      <c r="C326" s="298"/>
      <c r="D326" s="283"/>
      <c r="E326" s="262"/>
      <c r="F326" s="297"/>
      <c r="G326" s="196">
        <f t="shared" si="22"/>
        <v>0</v>
      </c>
      <c r="H326" s="197">
        <f t="shared" si="23"/>
        <v>0</v>
      </c>
      <c r="I326" s="169">
        <f t="shared" si="24"/>
        <v>0</v>
      </c>
      <c r="J326" s="198">
        <f t="shared" si="25"/>
        <v>0</v>
      </c>
      <c r="K326" s="173">
        <f t="shared" si="26"/>
        <v>0</v>
      </c>
      <c r="L326" s="263"/>
      <c r="M326" s="262"/>
    </row>
    <row r="327" spans="1:13" s="289" customFormat="1" x14ac:dyDescent="0.2">
      <c r="A327" s="336"/>
      <c r="B327" s="337" t="s">
        <v>467</v>
      </c>
      <c r="C327" s="338"/>
      <c r="D327" s="301"/>
      <c r="E327" s="267"/>
      <c r="F327" s="339"/>
      <c r="G327" s="196">
        <f t="shared" si="22"/>
        <v>0</v>
      </c>
      <c r="H327" s="197">
        <f t="shared" si="23"/>
        <v>0</v>
      </c>
      <c r="I327" s="169">
        <f t="shared" si="24"/>
        <v>0</v>
      </c>
      <c r="J327" s="198">
        <f t="shared" si="25"/>
        <v>0</v>
      </c>
      <c r="K327" s="173">
        <f t="shared" si="26"/>
        <v>0</v>
      </c>
      <c r="L327" s="268"/>
      <c r="M327" s="267"/>
    </row>
    <row r="328" spans="1:13" s="289" customFormat="1" x14ac:dyDescent="0.2">
      <c r="A328" s="340"/>
      <c r="B328" s="341" t="s">
        <v>468</v>
      </c>
      <c r="C328" s="314"/>
      <c r="D328" s="307"/>
      <c r="E328" s="269"/>
      <c r="F328" s="342"/>
      <c r="G328" s="196">
        <f t="shared" si="22"/>
        <v>0</v>
      </c>
      <c r="H328" s="197">
        <f t="shared" si="23"/>
        <v>0</v>
      </c>
      <c r="I328" s="169">
        <f t="shared" si="24"/>
        <v>0</v>
      </c>
      <c r="J328" s="198">
        <f t="shared" si="25"/>
        <v>0</v>
      </c>
      <c r="K328" s="173">
        <f t="shared" si="26"/>
        <v>0</v>
      </c>
      <c r="L328" s="270"/>
      <c r="M328" s="269"/>
    </row>
    <row r="329" spans="1:13" s="289" customFormat="1" x14ac:dyDescent="0.2">
      <c r="A329" s="330"/>
      <c r="B329" s="335" t="s">
        <v>469</v>
      </c>
      <c r="C329" s="298"/>
      <c r="D329" s="283"/>
      <c r="E329" s="262"/>
      <c r="F329" s="297"/>
      <c r="G329" s="196">
        <f t="shared" si="22"/>
        <v>0</v>
      </c>
      <c r="H329" s="197">
        <f t="shared" si="23"/>
        <v>0</v>
      </c>
      <c r="I329" s="169">
        <f t="shared" si="24"/>
        <v>0</v>
      </c>
      <c r="J329" s="198">
        <f t="shared" si="25"/>
        <v>0</v>
      </c>
      <c r="K329" s="173">
        <f t="shared" si="26"/>
        <v>0</v>
      </c>
      <c r="L329" s="263"/>
      <c r="M329" s="262"/>
    </row>
    <row r="330" spans="1:13" s="289" customFormat="1" x14ac:dyDescent="0.2">
      <c r="A330" s="330"/>
      <c r="B330" s="335" t="s">
        <v>470</v>
      </c>
      <c r="C330" s="298"/>
      <c r="D330" s="283"/>
      <c r="E330" s="262"/>
      <c r="F330" s="297"/>
      <c r="G330" s="196">
        <f t="shared" si="22"/>
        <v>0</v>
      </c>
      <c r="H330" s="197">
        <f t="shared" si="23"/>
        <v>0</v>
      </c>
      <c r="I330" s="169">
        <f t="shared" si="24"/>
        <v>0</v>
      </c>
      <c r="J330" s="198">
        <f t="shared" si="25"/>
        <v>0</v>
      </c>
      <c r="K330" s="173">
        <f t="shared" si="26"/>
        <v>0</v>
      </c>
      <c r="L330" s="263"/>
      <c r="M330" s="262"/>
    </row>
    <row r="331" spans="1:13" s="289" customFormat="1" x14ac:dyDescent="0.2">
      <c r="A331" s="330"/>
      <c r="B331" s="335" t="s">
        <v>471</v>
      </c>
      <c r="C331" s="298"/>
      <c r="D331" s="283"/>
      <c r="E331" s="262"/>
      <c r="F331" s="297"/>
      <c r="G331" s="196">
        <f t="shared" si="22"/>
        <v>0</v>
      </c>
      <c r="H331" s="197">
        <f t="shared" si="23"/>
        <v>0</v>
      </c>
      <c r="I331" s="169">
        <f t="shared" si="24"/>
        <v>0</v>
      </c>
      <c r="J331" s="198">
        <f t="shared" si="25"/>
        <v>0</v>
      </c>
      <c r="K331" s="173">
        <f t="shared" si="26"/>
        <v>0</v>
      </c>
      <c r="L331" s="263"/>
      <c r="M331" s="262"/>
    </row>
    <row r="332" spans="1:13" s="289" customFormat="1" x14ac:dyDescent="0.2">
      <c r="A332" s="330"/>
      <c r="B332" s="334" t="s">
        <v>472</v>
      </c>
      <c r="C332" s="298"/>
      <c r="D332" s="283"/>
      <c r="E332" s="262"/>
      <c r="F332" s="297"/>
      <c r="G332" s="196">
        <f t="shared" si="22"/>
        <v>0</v>
      </c>
      <c r="H332" s="197">
        <f t="shared" si="23"/>
        <v>0</v>
      </c>
      <c r="I332" s="169">
        <f t="shared" si="24"/>
        <v>0</v>
      </c>
      <c r="J332" s="198">
        <f t="shared" si="25"/>
        <v>0</v>
      </c>
      <c r="K332" s="173">
        <f t="shared" si="26"/>
        <v>0</v>
      </c>
      <c r="L332" s="263"/>
      <c r="M332" s="262"/>
    </row>
    <row r="333" spans="1:13" s="289" customFormat="1" x14ac:dyDescent="0.2">
      <c r="A333" s="330"/>
      <c r="B333" s="335" t="s">
        <v>473</v>
      </c>
      <c r="C333" s="298"/>
      <c r="D333" s="283"/>
      <c r="E333" s="262"/>
      <c r="F333" s="297"/>
      <c r="G333" s="196">
        <f t="shared" si="22"/>
        <v>0</v>
      </c>
      <c r="H333" s="197">
        <f t="shared" si="23"/>
        <v>0</v>
      </c>
      <c r="I333" s="169">
        <f t="shared" si="24"/>
        <v>0</v>
      </c>
      <c r="J333" s="198">
        <f t="shared" si="25"/>
        <v>0</v>
      </c>
      <c r="K333" s="173">
        <f t="shared" si="26"/>
        <v>0</v>
      </c>
      <c r="L333" s="263"/>
      <c r="M333" s="262"/>
    </row>
    <row r="334" spans="1:13" s="289" customFormat="1" x14ac:dyDescent="0.2">
      <c r="A334" s="330"/>
      <c r="B334" s="335" t="s">
        <v>474</v>
      </c>
      <c r="C334" s="298"/>
      <c r="D334" s="283"/>
      <c r="E334" s="262"/>
      <c r="F334" s="297"/>
      <c r="G334" s="196">
        <f t="shared" ref="G334:G397" si="28">IFERROR((ROUND(E334/1.25*10%,2)),0)</f>
        <v>0</v>
      </c>
      <c r="H334" s="197">
        <f t="shared" ref="H334:H397" si="29">IFERROR((ROUND(E334/1.25*5%,2)),0)</f>
        <v>0</v>
      </c>
      <c r="I334" s="169">
        <f t="shared" ref="I334:I397" si="30">IFERROR((ROUND(E334/1.25*85%,2)),0)</f>
        <v>0</v>
      </c>
      <c r="J334" s="198">
        <f t="shared" ref="J334:J397" si="31">IFERROR((ROUND(E334-(E334/1.25),2)),0)</f>
        <v>0</v>
      </c>
      <c r="K334" s="173">
        <f t="shared" ref="K334:K397" si="32">SUM(G334:J334)</f>
        <v>0</v>
      </c>
      <c r="L334" s="263"/>
      <c r="M334" s="262"/>
    </row>
    <row r="335" spans="1:13" s="289" customFormat="1" x14ac:dyDescent="0.2">
      <c r="A335" s="330"/>
      <c r="B335" s="335" t="s">
        <v>475</v>
      </c>
      <c r="C335" s="298"/>
      <c r="D335" s="283"/>
      <c r="E335" s="262"/>
      <c r="F335" s="297"/>
      <c r="G335" s="196">
        <f t="shared" si="28"/>
        <v>0</v>
      </c>
      <c r="H335" s="197">
        <f t="shared" si="29"/>
        <v>0</v>
      </c>
      <c r="I335" s="169">
        <f t="shared" si="30"/>
        <v>0</v>
      </c>
      <c r="J335" s="198">
        <f t="shared" si="31"/>
        <v>0</v>
      </c>
      <c r="K335" s="173">
        <f t="shared" si="32"/>
        <v>0</v>
      </c>
      <c r="L335" s="263"/>
      <c r="M335" s="262"/>
    </row>
    <row r="336" spans="1:13" s="289" customFormat="1" x14ac:dyDescent="0.2">
      <c r="A336" s="330"/>
      <c r="B336" s="335" t="s">
        <v>476</v>
      </c>
      <c r="C336" s="298"/>
      <c r="D336" s="283"/>
      <c r="E336" s="294"/>
      <c r="F336" s="295"/>
      <c r="G336" s="196">
        <f t="shared" si="28"/>
        <v>0</v>
      </c>
      <c r="H336" s="197">
        <f t="shared" si="29"/>
        <v>0</v>
      </c>
      <c r="I336" s="169">
        <f t="shared" si="30"/>
        <v>0</v>
      </c>
      <c r="J336" s="198">
        <f t="shared" si="31"/>
        <v>0</v>
      </c>
      <c r="K336" s="173">
        <f t="shared" si="32"/>
        <v>0</v>
      </c>
      <c r="L336" s="296"/>
      <c r="M336" s="294"/>
    </row>
    <row r="337" spans="1:13" s="289" customFormat="1" ht="12" customHeight="1" x14ac:dyDescent="0.2">
      <c r="A337" s="330"/>
      <c r="B337" s="335" t="s">
        <v>477</v>
      </c>
      <c r="C337" s="283">
        <v>1</v>
      </c>
      <c r="D337" s="283" t="s">
        <v>113</v>
      </c>
      <c r="E337" s="294">
        <v>670000</v>
      </c>
      <c r="F337" s="295">
        <f>ROUND($C337*E337,0)</f>
        <v>670000</v>
      </c>
      <c r="G337" s="196">
        <f t="shared" si="28"/>
        <v>53600</v>
      </c>
      <c r="H337" s="197">
        <f t="shared" si="29"/>
        <v>26800</v>
      </c>
      <c r="I337" s="169">
        <f t="shared" si="30"/>
        <v>455600</v>
      </c>
      <c r="J337" s="198">
        <f t="shared" si="31"/>
        <v>134000</v>
      </c>
      <c r="K337" s="173">
        <f t="shared" si="32"/>
        <v>670000</v>
      </c>
      <c r="L337" s="296"/>
      <c r="M337" s="294"/>
    </row>
    <row r="338" spans="1:13" s="289" customFormat="1" ht="8.1" customHeight="1" x14ac:dyDescent="0.2">
      <c r="A338" s="330"/>
      <c r="B338" s="335"/>
      <c r="C338" s="283"/>
      <c r="D338" s="283"/>
      <c r="E338" s="262"/>
      <c r="F338" s="297"/>
      <c r="G338" s="196">
        <f t="shared" si="28"/>
        <v>0</v>
      </c>
      <c r="H338" s="197">
        <f t="shared" si="29"/>
        <v>0</v>
      </c>
      <c r="I338" s="169">
        <f t="shared" si="30"/>
        <v>0</v>
      </c>
      <c r="J338" s="198">
        <f t="shared" si="31"/>
        <v>0</v>
      </c>
      <c r="K338" s="173">
        <f t="shared" si="32"/>
        <v>0</v>
      </c>
      <c r="L338" s="263"/>
      <c r="M338" s="262"/>
    </row>
    <row r="339" spans="1:13" s="289" customFormat="1" ht="12" customHeight="1" x14ac:dyDescent="0.2">
      <c r="A339" s="330"/>
      <c r="B339" s="333" t="s">
        <v>478</v>
      </c>
      <c r="C339" s="298"/>
      <c r="D339" s="283"/>
      <c r="E339" s="262"/>
      <c r="F339" s="297"/>
      <c r="G339" s="196">
        <f t="shared" si="28"/>
        <v>0</v>
      </c>
      <c r="H339" s="197">
        <f t="shared" si="29"/>
        <v>0</v>
      </c>
      <c r="I339" s="169">
        <f t="shared" si="30"/>
        <v>0</v>
      </c>
      <c r="J339" s="198">
        <f t="shared" si="31"/>
        <v>0</v>
      </c>
      <c r="K339" s="173">
        <f t="shared" si="32"/>
        <v>0</v>
      </c>
      <c r="L339" s="263"/>
      <c r="M339" s="262"/>
    </row>
    <row r="340" spans="1:13" s="289" customFormat="1" ht="12" customHeight="1" x14ac:dyDescent="0.2">
      <c r="A340" s="330"/>
      <c r="B340" s="334" t="s">
        <v>462</v>
      </c>
      <c r="C340" s="298"/>
      <c r="D340" s="283"/>
      <c r="E340" s="262"/>
      <c r="F340" s="297"/>
      <c r="G340" s="196">
        <f t="shared" si="28"/>
        <v>0</v>
      </c>
      <c r="H340" s="197">
        <f t="shared" si="29"/>
        <v>0</v>
      </c>
      <c r="I340" s="169">
        <f t="shared" si="30"/>
        <v>0</v>
      </c>
      <c r="J340" s="198">
        <f t="shared" si="31"/>
        <v>0</v>
      </c>
      <c r="K340" s="173">
        <f t="shared" si="32"/>
        <v>0</v>
      </c>
      <c r="L340" s="263"/>
      <c r="M340" s="262"/>
    </row>
    <row r="341" spans="1:13" s="289" customFormat="1" ht="12" customHeight="1" x14ac:dyDescent="0.2">
      <c r="A341" s="330" t="s">
        <v>396</v>
      </c>
      <c r="B341" s="335" t="s">
        <v>479</v>
      </c>
      <c r="C341" s="298"/>
      <c r="D341" s="283"/>
      <c r="E341" s="262"/>
      <c r="F341" s="297"/>
      <c r="G341" s="196">
        <f t="shared" si="28"/>
        <v>0</v>
      </c>
      <c r="H341" s="197">
        <f t="shared" si="29"/>
        <v>0</v>
      </c>
      <c r="I341" s="169">
        <f t="shared" si="30"/>
        <v>0</v>
      </c>
      <c r="J341" s="198">
        <f t="shared" si="31"/>
        <v>0</v>
      </c>
      <c r="K341" s="173">
        <f t="shared" si="32"/>
        <v>0</v>
      </c>
      <c r="L341" s="263"/>
      <c r="M341" s="262"/>
    </row>
    <row r="342" spans="1:13" s="289" customFormat="1" ht="12" customHeight="1" x14ac:dyDescent="0.2">
      <c r="A342" s="330"/>
      <c r="B342" s="335" t="s">
        <v>480</v>
      </c>
      <c r="C342" s="298"/>
      <c r="D342" s="283"/>
      <c r="E342" s="262"/>
      <c r="F342" s="297"/>
      <c r="G342" s="196">
        <f t="shared" si="28"/>
        <v>0</v>
      </c>
      <c r="H342" s="197">
        <f t="shared" si="29"/>
        <v>0</v>
      </c>
      <c r="I342" s="169">
        <f t="shared" si="30"/>
        <v>0</v>
      </c>
      <c r="J342" s="198">
        <f t="shared" si="31"/>
        <v>0</v>
      </c>
      <c r="K342" s="173">
        <f t="shared" si="32"/>
        <v>0</v>
      </c>
      <c r="L342" s="263"/>
      <c r="M342" s="262"/>
    </row>
    <row r="343" spans="1:13" s="289" customFormat="1" ht="12" customHeight="1" x14ac:dyDescent="0.2">
      <c r="A343" s="330"/>
      <c r="B343" s="335" t="s">
        <v>466</v>
      </c>
      <c r="C343" s="298"/>
      <c r="D343" s="283"/>
      <c r="E343" s="262"/>
      <c r="F343" s="297"/>
      <c r="G343" s="196">
        <f t="shared" si="28"/>
        <v>0</v>
      </c>
      <c r="H343" s="197">
        <f t="shared" si="29"/>
        <v>0</v>
      </c>
      <c r="I343" s="169">
        <f t="shared" si="30"/>
        <v>0</v>
      </c>
      <c r="J343" s="198">
        <f t="shared" si="31"/>
        <v>0</v>
      </c>
      <c r="K343" s="173">
        <f t="shared" si="32"/>
        <v>0</v>
      </c>
      <c r="L343" s="263"/>
      <c r="M343" s="262"/>
    </row>
    <row r="344" spans="1:13" s="289" customFormat="1" ht="12" customHeight="1" x14ac:dyDescent="0.2">
      <c r="A344" s="330"/>
      <c r="B344" s="335" t="s">
        <v>467</v>
      </c>
      <c r="C344" s="298"/>
      <c r="D344" s="283"/>
      <c r="E344" s="262"/>
      <c r="F344" s="297"/>
      <c r="G344" s="196">
        <f t="shared" si="28"/>
        <v>0</v>
      </c>
      <c r="H344" s="197">
        <f t="shared" si="29"/>
        <v>0</v>
      </c>
      <c r="I344" s="169">
        <f t="shared" si="30"/>
        <v>0</v>
      </c>
      <c r="J344" s="198">
        <f t="shared" si="31"/>
        <v>0</v>
      </c>
      <c r="K344" s="173">
        <f t="shared" si="32"/>
        <v>0</v>
      </c>
      <c r="L344" s="263"/>
      <c r="M344" s="262"/>
    </row>
    <row r="345" spans="1:13" s="289" customFormat="1" ht="12" customHeight="1" x14ac:dyDescent="0.2">
      <c r="A345" s="330"/>
      <c r="B345" s="335" t="s">
        <v>468</v>
      </c>
      <c r="C345" s="298"/>
      <c r="D345" s="283"/>
      <c r="E345" s="262"/>
      <c r="F345" s="297"/>
      <c r="G345" s="196">
        <f t="shared" si="28"/>
        <v>0</v>
      </c>
      <c r="H345" s="197">
        <f t="shared" si="29"/>
        <v>0</v>
      </c>
      <c r="I345" s="169">
        <f t="shared" si="30"/>
        <v>0</v>
      </c>
      <c r="J345" s="198">
        <f t="shared" si="31"/>
        <v>0</v>
      </c>
      <c r="K345" s="173">
        <f t="shared" si="32"/>
        <v>0</v>
      </c>
      <c r="L345" s="263"/>
      <c r="M345" s="262"/>
    </row>
    <row r="346" spans="1:13" s="289" customFormat="1" ht="12" customHeight="1" x14ac:dyDescent="0.2">
      <c r="A346" s="330"/>
      <c r="B346" s="335" t="s">
        <v>481</v>
      </c>
      <c r="C346" s="298"/>
      <c r="D346" s="283"/>
      <c r="E346" s="262"/>
      <c r="F346" s="297"/>
      <c r="G346" s="196">
        <f t="shared" si="28"/>
        <v>0</v>
      </c>
      <c r="H346" s="197">
        <f t="shared" si="29"/>
        <v>0</v>
      </c>
      <c r="I346" s="169">
        <f t="shared" si="30"/>
        <v>0</v>
      </c>
      <c r="J346" s="198">
        <f t="shared" si="31"/>
        <v>0</v>
      </c>
      <c r="K346" s="173">
        <f t="shared" si="32"/>
        <v>0</v>
      </c>
      <c r="L346" s="263"/>
      <c r="M346" s="262"/>
    </row>
    <row r="347" spans="1:13" s="289" customFormat="1" ht="12" customHeight="1" x14ac:dyDescent="0.2">
      <c r="A347" s="330"/>
      <c r="B347" s="335" t="s">
        <v>470</v>
      </c>
      <c r="C347" s="298"/>
      <c r="D347" s="283"/>
      <c r="E347" s="262"/>
      <c r="F347" s="297"/>
      <c r="G347" s="196">
        <f t="shared" si="28"/>
        <v>0</v>
      </c>
      <c r="H347" s="197">
        <f t="shared" si="29"/>
        <v>0</v>
      </c>
      <c r="I347" s="169">
        <f t="shared" si="30"/>
        <v>0</v>
      </c>
      <c r="J347" s="198">
        <f t="shared" si="31"/>
        <v>0</v>
      </c>
      <c r="K347" s="173">
        <f t="shared" si="32"/>
        <v>0</v>
      </c>
      <c r="L347" s="263"/>
      <c r="M347" s="262"/>
    </row>
    <row r="348" spans="1:13" s="289" customFormat="1" ht="12" customHeight="1" x14ac:dyDescent="0.2">
      <c r="A348" s="330"/>
      <c r="B348" s="335" t="s">
        <v>482</v>
      </c>
      <c r="C348" s="298"/>
      <c r="D348" s="283"/>
      <c r="E348" s="262"/>
      <c r="F348" s="297"/>
      <c r="G348" s="196">
        <f t="shared" si="28"/>
        <v>0</v>
      </c>
      <c r="H348" s="197">
        <f t="shared" si="29"/>
        <v>0</v>
      </c>
      <c r="I348" s="169">
        <f t="shared" si="30"/>
        <v>0</v>
      </c>
      <c r="J348" s="198">
        <f t="shared" si="31"/>
        <v>0</v>
      </c>
      <c r="K348" s="173">
        <f t="shared" si="32"/>
        <v>0</v>
      </c>
      <c r="L348" s="263"/>
      <c r="M348" s="262"/>
    </row>
    <row r="349" spans="1:13" s="289" customFormat="1" ht="12" customHeight="1" x14ac:dyDescent="0.2">
      <c r="A349" s="330"/>
      <c r="B349" s="334" t="s">
        <v>472</v>
      </c>
      <c r="C349" s="298"/>
      <c r="D349" s="283"/>
      <c r="E349" s="262"/>
      <c r="F349" s="297"/>
      <c r="G349" s="196">
        <f t="shared" si="28"/>
        <v>0</v>
      </c>
      <c r="H349" s="197">
        <f t="shared" si="29"/>
        <v>0</v>
      </c>
      <c r="I349" s="169">
        <f t="shared" si="30"/>
        <v>0</v>
      </c>
      <c r="J349" s="198">
        <f t="shared" si="31"/>
        <v>0</v>
      </c>
      <c r="K349" s="173">
        <f t="shared" si="32"/>
        <v>0</v>
      </c>
      <c r="L349" s="263"/>
      <c r="M349" s="262"/>
    </row>
    <row r="350" spans="1:13" s="289" customFormat="1" ht="12" customHeight="1" x14ac:dyDescent="0.2">
      <c r="A350" s="330"/>
      <c r="B350" s="335" t="s">
        <v>483</v>
      </c>
      <c r="C350" s="298"/>
      <c r="D350" s="283"/>
      <c r="E350" s="262"/>
      <c r="F350" s="297"/>
      <c r="G350" s="196">
        <f t="shared" si="28"/>
        <v>0</v>
      </c>
      <c r="H350" s="197">
        <f t="shared" si="29"/>
        <v>0</v>
      </c>
      <c r="I350" s="169">
        <f t="shared" si="30"/>
        <v>0</v>
      </c>
      <c r="J350" s="198">
        <f t="shared" si="31"/>
        <v>0</v>
      </c>
      <c r="K350" s="173">
        <f t="shared" si="32"/>
        <v>0</v>
      </c>
      <c r="L350" s="263"/>
      <c r="M350" s="262"/>
    </row>
    <row r="351" spans="1:13" s="289" customFormat="1" ht="12" customHeight="1" x14ac:dyDescent="0.2">
      <c r="A351" s="330"/>
      <c r="B351" s="335" t="s">
        <v>484</v>
      </c>
      <c r="C351" s="298"/>
      <c r="D351" s="283"/>
      <c r="E351" s="262"/>
      <c r="F351" s="297"/>
      <c r="G351" s="196">
        <f t="shared" si="28"/>
        <v>0</v>
      </c>
      <c r="H351" s="197">
        <f t="shared" si="29"/>
        <v>0</v>
      </c>
      <c r="I351" s="169">
        <f t="shared" si="30"/>
        <v>0</v>
      </c>
      <c r="J351" s="198">
        <f t="shared" si="31"/>
        <v>0</v>
      </c>
      <c r="K351" s="173">
        <f t="shared" si="32"/>
        <v>0</v>
      </c>
      <c r="L351" s="263"/>
      <c r="M351" s="262"/>
    </row>
    <row r="352" spans="1:13" s="289" customFormat="1" ht="12" customHeight="1" x14ac:dyDescent="0.2">
      <c r="A352" s="330"/>
      <c r="B352" s="335" t="s">
        <v>485</v>
      </c>
      <c r="C352" s="298"/>
      <c r="D352" s="283"/>
      <c r="E352" s="294"/>
      <c r="F352" s="295"/>
      <c r="G352" s="196">
        <f t="shared" si="28"/>
        <v>0</v>
      </c>
      <c r="H352" s="197">
        <f t="shared" si="29"/>
        <v>0</v>
      </c>
      <c r="I352" s="169">
        <f t="shared" si="30"/>
        <v>0</v>
      </c>
      <c r="J352" s="198">
        <f t="shared" si="31"/>
        <v>0</v>
      </c>
      <c r="K352" s="173">
        <f t="shared" si="32"/>
        <v>0</v>
      </c>
      <c r="L352" s="296"/>
      <c r="M352" s="294"/>
    </row>
    <row r="353" spans="1:13" s="289" customFormat="1" ht="15" customHeight="1" x14ac:dyDescent="0.2">
      <c r="A353" s="330"/>
      <c r="B353" s="335" t="s">
        <v>486</v>
      </c>
      <c r="C353" s="283">
        <v>1</v>
      </c>
      <c r="D353" s="283" t="s">
        <v>113</v>
      </c>
      <c r="E353" s="294">
        <v>136000</v>
      </c>
      <c r="F353" s="295">
        <f>ROUND($C353*E353,0)</f>
        <v>136000</v>
      </c>
      <c r="G353" s="196">
        <f t="shared" si="28"/>
        <v>10880</v>
      </c>
      <c r="H353" s="197">
        <f t="shared" si="29"/>
        <v>5440</v>
      </c>
      <c r="I353" s="169">
        <f t="shared" si="30"/>
        <v>92480</v>
      </c>
      <c r="J353" s="198">
        <f t="shared" si="31"/>
        <v>27200</v>
      </c>
      <c r="K353" s="173">
        <f t="shared" si="32"/>
        <v>136000</v>
      </c>
      <c r="L353" s="296"/>
      <c r="M353" s="294"/>
    </row>
    <row r="354" spans="1:13" s="289" customFormat="1" ht="8.1" customHeight="1" x14ac:dyDescent="0.2">
      <c r="A354" s="330"/>
      <c r="B354" s="335"/>
      <c r="C354" s="283"/>
      <c r="D354" s="283"/>
      <c r="E354" s="262"/>
      <c r="F354" s="297"/>
      <c r="G354" s="196">
        <f t="shared" si="28"/>
        <v>0</v>
      </c>
      <c r="H354" s="197">
        <f t="shared" si="29"/>
        <v>0</v>
      </c>
      <c r="I354" s="169">
        <f t="shared" si="30"/>
        <v>0</v>
      </c>
      <c r="J354" s="198">
        <f t="shared" si="31"/>
        <v>0</v>
      </c>
      <c r="K354" s="173">
        <f t="shared" si="32"/>
        <v>0</v>
      </c>
      <c r="L354" s="263"/>
      <c r="M354" s="262"/>
    </row>
    <row r="355" spans="1:13" s="289" customFormat="1" ht="12" customHeight="1" x14ac:dyDescent="0.2">
      <c r="A355" s="330"/>
      <c r="B355" s="333" t="s">
        <v>487</v>
      </c>
      <c r="C355" s="298"/>
      <c r="D355" s="283"/>
      <c r="E355" s="262"/>
      <c r="F355" s="297"/>
      <c r="G355" s="196">
        <f t="shared" si="28"/>
        <v>0</v>
      </c>
      <c r="H355" s="197">
        <f t="shared" si="29"/>
        <v>0</v>
      </c>
      <c r="I355" s="169">
        <f t="shared" si="30"/>
        <v>0</v>
      </c>
      <c r="J355" s="198">
        <f t="shared" si="31"/>
        <v>0</v>
      </c>
      <c r="K355" s="173">
        <f t="shared" si="32"/>
        <v>0</v>
      </c>
      <c r="L355" s="263"/>
      <c r="M355" s="262"/>
    </row>
    <row r="356" spans="1:13" s="289" customFormat="1" ht="12" customHeight="1" x14ac:dyDescent="0.2">
      <c r="A356" s="330"/>
      <c r="B356" s="334" t="s">
        <v>462</v>
      </c>
      <c r="C356" s="298"/>
      <c r="D356" s="283"/>
      <c r="E356" s="262"/>
      <c r="F356" s="297"/>
      <c r="G356" s="196">
        <f t="shared" si="28"/>
        <v>0</v>
      </c>
      <c r="H356" s="197">
        <f t="shared" si="29"/>
        <v>0</v>
      </c>
      <c r="I356" s="169">
        <f t="shared" si="30"/>
        <v>0</v>
      </c>
      <c r="J356" s="198">
        <f t="shared" si="31"/>
        <v>0</v>
      </c>
      <c r="K356" s="173">
        <f t="shared" si="32"/>
        <v>0</v>
      </c>
      <c r="L356" s="263"/>
      <c r="M356" s="262"/>
    </row>
    <row r="357" spans="1:13" s="289" customFormat="1" ht="12" customHeight="1" x14ac:dyDescent="0.2">
      <c r="A357" s="330" t="s">
        <v>398</v>
      </c>
      <c r="B357" s="335" t="s">
        <v>479</v>
      </c>
      <c r="C357" s="298"/>
      <c r="D357" s="283"/>
      <c r="E357" s="262"/>
      <c r="F357" s="297"/>
      <c r="G357" s="196">
        <f t="shared" si="28"/>
        <v>0</v>
      </c>
      <c r="H357" s="197">
        <f t="shared" si="29"/>
        <v>0</v>
      </c>
      <c r="I357" s="169">
        <f t="shared" si="30"/>
        <v>0</v>
      </c>
      <c r="J357" s="198">
        <f t="shared" si="31"/>
        <v>0</v>
      </c>
      <c r="K357" s="173">
        <f t="shared" si="32"/>
        <v>0</v>
      </c>
      <c r="L357" s="263"/>
      <c r="M357" s="262"/>
    </row>
    <row r="358" spans="1:13" s="289" customFormat="1" ht="12" customHeight="1" x14ac:dyDescent="0.2">
      <c r="A358" s="330"/>
      <c r="B358" s="335" t="s">
        <v>480</v>
      </c>
      <c r="C358" s="298"/>
      <c r="D358" s="283"/>
      <c r="E358" s="262"/>
      <c r="F358" s="297"/>
      <c r="G358" s="196">
        <f t="shared" si="28"/>
        <v>0</v>
      </c>
      <c r="H358" s="197">
        <f t="shared" si="29"/>
        <v>0</v>
      </c>
      <c r="I358" s="169">
        <f t="shared" si="30"/>
        <v>0</v>
      </c>
      <c r="J358" s="198">
        <f t="shared" si="31"/>
        <v>0</v>
      </c>
      <c r="K358" s="173">
        <f t="shared" si="32"/>
        <v>0</v>
      </c>
      <c r="L358" s="263"/>
      <c r="M358" s="262"/>
    </row>
    <row r="359" spans="1:13" s="289" customFormat="1" ht="12" customHeight="1" x14ac:dyDescent="0.2">
      <c r="A359" s="330"/>
      <c r="B359" s="335" t="s">
        <v>466</v>
      </c>
      <c r="C359" s="298"/>
      <c r="D359" s="283"/>
      <c r="E359" s="262"/>
      <c r="F359" s="297"/>
      <c r="G359" s="196">
        <f t="shared" si="28"/>
        <v>0</v>
      </c>
      <c r="H359" s="197">
        <f t="shared" si="29"/>
        <v>0</v>
      </c>
      <c r="I359" s="169">
        <f t="shared" si="30"/>
        <v>0</v>
      </c>
      <c r="J359" s="198">
        <f t="shared" si="31"/>
        <v>0</v>
      </c>
      <c r="K359" s="173">
        <f t="shared" si="32"/>
        <v>0</v>
      </c>
      <c r="L359" s="263"/>
      <c r="M359" s="262"/>
    </row>
    <row r="360" spans="1:13" s="289" customFormat="1" ht="12" customHeight="1" x14ac:dyDescent="0.2">
      <c r="A360" s="330"/>
      <c r="B360" s="335" t="s">
        <v>467</v>
      </c>
      <c r="C360" s="298"/>
      <c r="D360" s="283"/>
      <c r="E360" s="262"/>
      <c r="F360" s="297"/>
      <c r="G360" s="196">
        <f t="shared" si="28"/>
        <v>0</v>
      </c>
      <c r="H360" s="197">
        <f t="shared" si="29"/>
        <v>0</v>
      </c>
      <c r="I360" s="169">
        <f t="shared" si="30"/>
        <v>0</v>
      </c>
      <c r="J360" s="198">
        <f t="shared" si="31"/>
        <v>0</v>
      </c>
      <c r="K360" s="173">
        <f t="shared" si="32"/>
        <v>0</v>
      </c>
      <c r="L360" s="263"/>
      <c r="M360" s="262"/>
    </row>
    <row r="361" spans="1:13" s="289" customFormat="1" ht="12" customHeight="1" x14ac:dyDescent="0.2">
      <c r="A361" s="330"/>
      <c r="B361" s="335" t="s">
        <v>468</v>
      </c>
      <c r="C361" s="298"/>
      <c r="D361" s="283"/>
      <c r="E361" s="262"/>
      <c r="F361" s="297"/>
      <c r="G361" s="196">
        <f t="shared" si="28"/>
        <v>0</v>
      </c>
      <c r="H361" s="197">
        <f t="shared" si="29"/>
        <v>0</v>
      </c>
      <c r="I361" s="169">
        <f t="shared" si="30"/>
        <v>0</v>
      </c>
      <c r="J361" s="198">
        <f t="shared" si="31"/>
        <v>0</v>
      </c>
      <c r="K361" s="173">
        <f t="shared" si="32"/>
        <v>0</v>
      </c>
      <c r="L361" s="263"/>
      <c r="M361" s="262"/>
    </row>
    <row r="362" spans="1:13" s="289" customFormat="1" ht="12" customHeight="1" x14ac:dyDescent="0.2">
      <c r="A362" s="330"/>
      <c r="B362" s="335" t="s">
        <v>481</v>
      </c>
      <c r="C362" s="298"/>
      <c r="D362" s="283"/>
      <c r="E362" s="262"/>
      <c r="F362" s="297"/>
      <c r="G362" s="196">
        <f t="shared" si="28"/>
        <v>0</v>
      </c>
      <c r="H362" s="197">
        <f t="shared" si="29"/>
        <v>0</v>
      </c>
      <c r="I362" s="169">
        <f t="shared" si="30"/>
        <v>0</v>
      </c>
      <c r="J362" s="198">
        <f t="shared" si="31"/>
        <v>0</v>
      </c>
      <c r="K362" s="173">
        <f t="shared" si="32"/>
        <v>0</v>
      </c>
      <c r="L362" s="263"/>
      <c r="M362" s="262"/>
    </row>
    <row r="363" spans="1:13" s="289" customFormat="1" ht="12" customHeight="1" x14ac:dyDescent="0.2">
      <c r="A363" s="330"/>
      <c r="B363" s="335" t="s">
        <v>470</v>
      </c>
      <c r="C363" s="298"/>
      <c r="D363" s="283"/>
      <c r="E363" s="262"/>
      <c r="F363" s="297"/>
      <c r="G363" s="196">
        <f t="shared" si="28"/>
        <v>0</v>
      </c>
      <c r="H363" s="197">
        <f t="shared" si="29"/>
        <v>0</v>
      </c>
      <c r="I363" s="169">
        <f t="shared" si="30"/>
        <v>0</v>
      </c>
      <c r="J363" s="198">
        <f t="shared" si="31"/>
        <v>0</v>
      </c>
      <c r="K363" s="173">
        <f t="shared" si="32"/>
        <v>0</v>
      </c>
      <c r="L363" s="263"/>
      <c r="M363" s="262"/>
    </row>
    <row r="364" spans="1:13" s="289" customFormat="1" ht="12" customHeight="1" x14ac:dyDescent="0.2">
      <c r="A364" s="330"/>
      <c r="B364" s="335" t="s">
        <v>482</v>
      </c>
      <c r="C364" s="298"/>
      <c r="D364" s="283"/>
      <c r="E364" s="262"/>
      <c r="F364" s="297"/>
      <c r="G364" s="196">
        <f t="shared" si="28"/>
        <v>0</v>
      </c>
      <c r="H364" s="197">
        <f t="shared" si="29"/>
        <v>0</v>
      </c>
      <c r="I364" s="169">
        <f t="shared" si="30"/>
        <v>0</v>
      </c>
      <c r="J364" s="198">
        <f t="shared" si="31"/>
        <v>0</v>
      </c>
      <c r="K364" s="173">
        <f t="shared" si="32"/>
        <v>0</v>
      </c>
      <c r="L364" s="263"/>
      <c r="M364" s="262"/>
    </row>
    <row r="365" spans="1:13" s="289" customFormat="1" ht="12" customHeight="1" x14ac:dyDescent="0.2">
      <c r="A365" s="330"/>
      <c r="B365" s="334" t="s">
        <v>472</v>
      </c>
      <c r="C365" s="298"/>
      <c r="D365" s="283"/>
      <c r="E365" s="262"/>
      <c r="F365" s="297"/>
      <c r="G365" s="196">
        <f t="shared" si="28"/>
        <v>0</v>
      </c>
      <c r="H365" s="197">
        <f t="shared" si="29"/>
        <v>0</v>
      </c>
      <c r="I365" s="169">
        <f t="shared" si="30"/>
        <v>0</v>
      </c>
      <c r="J365" s="198">
        <f t="shared" si="31"/>
        <v>0</v>
      </c>
      <c r="K365" s="173">
        <f t="shared" si="32"/>
        <v>0</v>
      </c>
      <c r="L365" s="263"/>
      <c r="M365" s="262"/>
    </row>
    <row r="366" spans="1:13" s="289" customFormat="1" ht="12" customHeight="1" x14ac:dyDescent="0.2">
      <c r="A366" s="330"/>
      <c r="B366" s="335" t="s">
        <v>488</v>
      </c>
      <c r="C366" s="298"/>
      <c r="D366" s="283"/>
      <c r="E366" s="262"/>
      <c r="F366" s="297"/>
      <c r="G366" s="196">
        <f t="shared" si="28"/>
        <v>0</v>
      </c>
      <c r="H366" s="197">
        <f t="shared" si="29"/>
        <v>0</v>
      </c>
      <c r="I366" s="169">
        <f t="shared" si="30"/>
        <v>0</v>
      </c>
      <c r="J366" s="198">
        <f t="shared" si="31"/>
        <v>0</v>
      </c>
      <c r="K366" s="173">
        <f t="shared" si="32"/>
        <v>0</v>
      </c>
      <c r="L366" s="263"/>
      <c r="M366" s="262"/>
    </row>
    <row r="367" spans="1:13" s="289" customFormat="1" ht="12" customHeight="1" x14ac:dyDescent="0.2">
      <c r="A367" s="330"/>
      <c r="B367" s="335" t="s">
        <v>489</v>
      </c>
      <c r="C367" s="298"/>
      <c r="D367" s="283"/>
      <c r="E367" s="294"/>
      <c r="F367" s="295"/>
      <c r="G367" s="196">
        <f t="shared" si="28"/>
        <v>0</v>
      </c>
      <c r="H367" s="197">
        <f t="shared" si="29"/>
        <v>0</v>
      </c>
      <c r="I367" s="169">
        <f t="shared" si="30"/>
        <v>0</v>
      </c>
      <c r="J367" s="198">
        <f t="shared" si="31"/>
        <v>0</v>
      </c>
      <c r="K367" s="173">
        <f t="shared" si="32"/>
        <v>0</v>
      </c>
      <c r="L367" s="296"/>
      <c r="M367" s="294"/>
    </row>
    <row r="368" spans="1:13" s="289" customFormat="1" ht="12" customHeight="1" x14ac:dyDescent="0.2">
      <c r="A368" s="330"/>
      <c r="B368" s="335" t="s">
        <v>486</v>
      </c>
      <c r="C368" s="283">
        <v>1</v>
      </c>
      <c r="D368" s="283" t="s">
        <v>113</v>
      </c>
      <c r="E368" s="294">
        <v>120000</v>
      </c>
      <c r="F368" s="295">
        <f>ROUND($C368*E368,0)</f>
        <v>120000</v>
      </c>
      <c r="G368" s="196">
        <f t="shared" si="28"/>
        <v>9600</v>
      </c>
      <c r="H368" s="197">
        <f t="shared" si="29"/>
        <v>4800</v>
      </c>
      <c r="I368" s="169">
        <f t="shared" si="30"/>
        <v>81600</v>
      </c>
      <c r="J368" s="198">
        <f t="shared" si="31"/>
        <v>24000</v>
      </c>
      <c r="K368" s="173">
        <f t="shared" si="32"/>
        <v>120000</v>
      </c>
      <c r="L368" s="296"/>
      <c r="M368" s="294"/>
    </row>
    <row r="369" spans="1:13" s="289" customFormat="1" ht="6" customHeight="1" x14ac:dyDescent="0.2">
      <c r="A369" s="330"/>
      <c r="B369" s="335"/>
      <c r="C369" s="283"/>
      <c r="D369" s="283"/>
      <c r="E369" s="262"/>
      <c r="F369" s="297"/>
      <c r="G369" s="196">
        <f t="shared" si="28"/>
        <v>0</v>
      </c>
      <c r="H369" s="197">
        <f t="shared" si="29"/>
        <v>0</v>
      </c>
      <c r="I369" s="169">
        <f t="shared" si="30"/>
        <v>0</v>
      </c>
      <c r="J369" s="198">
        <f t="shared" si="31"/>
        <v>0</v>
      </c>
      <c r="K369" s="173">
        <f t="shared" si="32"/>
        <v>0</v>
      </c>
      <c r="L369" s="263"/>
      <c r="M369" s="262"/>
    </row>
    <row r="370" spans="1:13" s="289" customFormat="1" ht="12" customHeight="1" x14ac:dyDescent="0.2">
      <c r="A370" s="330"/>
      <c r="B370" s="333" t="s">
        <v>490</v>
      </c>
      <c r="C370" s="298"/>
      <c r="D370" s="283"/>
      <c r="E370" s="262"/>
      <c r="F370" s="297"/>
      <c r="G370" s="196">
        <f t="shared" si="28"/>
        <v>0</v>
      </c>
      <c r="H370" s="197">
        <f t="shared" si="29"/>
        <v>0</v>
      </c>
      <c r="I370" s="169">
        <f t="shared" si="30"/>
        <v>0</v>
      </c>
      <c r="J370" s="198">
        <f t="shared" si="31"/>
        <v>0</v>
      </c>
      <c r="K370" s="173">
        <f t="shared" si="32"/>
        <v>0</v>
      </c>
      <c r="L370" s="263"/>
      <c r="M370" s="262"/>
    </row>
    <row r="371" spans="1:13" s="289" customFormat="1" ht="12" customHeight="1" x14ac:dyDescent="0.2">
      <c r="A371" s="330"/>
      <c r="B371" s="334" t="s">
        <v>462</v>
      </c>
      <c r="C371" s="298"/>
      <c r="D371" s="283"/>
      <c r="E371" s="262"/>
      <c r="F371" s="297"/>
      <c r="G371" s="196">
        <f t="shared" si="28"/>
        <v>0</v>
      </c>
      <c r="H371" s="197">
        <f t="shared" si="29"/>
        <v>0</v>
      </c>
      <c r="I371" s="169">
        <f t="shared" si="30"/>
        <v>0</v>
      </c>
      <c r="J371" s="198">
        <f t="shared" si="31"/>
        <v>0</v>
      </c>
      <c r="K371" s="173">
        <f t="shared" si="32"/>
        <v>0</v>
      </c>
      <c r="L371" s="263"/>
      <c r="M371" s="262"/>
    </row>
    <row r="372" spans="1:13" s="289" customFormat="1" ht="12" customHeight="1" x14ac:dyDescent="0.2">
      <c r="A372" s="330" t="s">
        <v>405</v>
      </c>
      <c r="B372" s="335" t="s">
        <v>491</v>
      </c>
      <c r="C372" s="298"/>
      <c r="D372" s="283"/>
      <c r="E372" s="262"/>
      <c r="F372" s="297"/>
      <c r="G372" s="196">
        <f t="shared" si="28"/>
        <v>0</v>
      </c>
      <c r="H372" s="197">
        <f t="shared" si="29"/>
        <v>0</v>
      </c>
      <c r="I372" s="169">
        <f t="shared" si="30"/>
        <v>0</v>
      </c>
      <c r="J372" s="198">
        <f t="shared" si="31"/>
        <v>0</v>
      </c>
      <c r="K372" s="173">
        <f t="shared" si="32"/>
        <v>0</v>
      </c>
      <c r="L372" s="263"/>
      <c r="M372" s="262"/>
    </row>
    <row r="373" spans="1:13" s="289" customFormat="1" ht="12" customHeight="1" x14ac:dyDescent="0.2">
      <c r="A373" s="330"/>
      <c r="B373" s="335" t="s">
        <v>492</v>
      </c>
      <c r="C373" s="298"/>
      <c r="D373" s="283"/>
      <c r="E373" s="262"/>
      <c r="F373" s="297"/>
      <c r="G373" s="196">
        <f t="shared" si="28"/>
        <v>0</v>
      </c>
      <c r="H373" s="197">
        <f t="shared" si="29"/>
        <v>0</v>
      </c>
      <c r="I373" s="169">
        <f t="shared" si="30"/>
        <v>0</v>
      </c>
      <c r="J373" s="198">
        <f t="shared" si="31"/>
        <v>0</v>
      </c>
      <c r="K373" s="173">
        <f t="shared" si="32"/>
        <v>0</v>
      </c>
      <c r="L373" s="263"/>
      <c r="M373" s="262"/>
    </row>
    <row r="374" spans="1:13" s="289" customFormat="1" ht="12" customHeight="1" x14ac:dyDescent="0.2">
      <c r="A374" s="330"/>
      <c r="B374" s="335" t="s">
        <v>466</v>
      </c>
      <c r="C374" s="298"/>
      <c r="D374" s="283"/>
      <c r="E374" s="262"/>
      <c r="F374" s="297"/>
      <c r="G374" s="196">
        <f t="shared" si="28"/>
        <v>0</v>
      </c>
      <c r="H374" s="197">
        <f t="shared" si="29"/>
        <v>0</v>
      </c>
      <c r="I374" s="169">
        <f t="shared" si="30"/>
        <v>0</v>
      </c>
      <c r="J374" s="198">
        <f t="shared" si="31"/>
        <v>0</v>
      </c>
      <c r="K374" s="173">
        <f t="shared" si="32"/>
        <v>0</v>
      </c>
      <c r="L374" s="263"/>
      <c r="M374" s="262"/>
    </row>
    <row r="375" spans="1:13" s="289" customFormat="1" ht="12" customHeight="1" x14ac:dyDescent="0.2">
      <c r="A375" s="330"/>
      <c r="B375" s="335" t="s">
        <v>467</v>
      </c>
      <c r="C375" s="298"/>
      <c r="D375" s="283"/>
      <c r="E375" s="262"/>
      <c r="F375" s="297"/>
      <c r="G375" s="196">
        <f t="shared" si="28"/>
        <v>0</v>
      </c>
      <c r="H375" s="197">
        <f t="shared" si="29"/>
        <v>0</v>
      </c>
      <c r="I375" s="169">
        <f t="shared" si="30"/>
        <v>0</v>
      </c>
      <c r="J375" s="198">
        <f t="shared" si="31"/>
        <v>0</v>
      </c>
      <c r="K375" s="173">
        <f t="shared" si="32"/>
        <v>0</v>
      </c>
      <c r="L375" s="263"/>
      <c r="M375" s="262"/>
    </row>
    <row r="376" spans="1:13" s="289" customFormat="1" ht="12" customHeight="1" x14ac:dyDescent="0.2">
      <c r="A376" s="330"/>
      <c r="B376" s="335" t="s">
        <v>468</v>
      </c>
      <c r="C376" s="298"/>
      <c r="D376" s="283"/>
      <c r="E376" s="262"/>
      <c r="F376" s="297"/>
      <c r="G376" s="196">
        <f t="shared" si="28"/>
        <v>0</v>
      </c>
      <c r="H376" s="197">
        <f t="shared" si="29"/>
        <v>0</v>
      </c>
      <c r="I376" s="169">
        <f t="shared" si="30"/>
        <v>0</v>
      </c>
      <c r="J376" s="198">
        <f t="shared" si="31"/>
        <v>0</v>
      </c>
      <c r="K376" s="173">
        <f t="shared" si="32"/>
        <v>0</v>
      </c>
      <c r="L376" s="263"/>
      <c r="M376" s="262"/>
    </row>
    <row r="377" spans="1:13" s="289" customFormat="1" ht="12" customHeight="1" x14ac:dyDescent="0.2">
      <c r="A377" s="330"/>
      <c r="B377" s="335" t="s">
        <v>493</v>
      </c>
      <c r="C377" s="298"/>
      <c r="D377" s="283"/>
      <c r="E377" s="262"/>
      <c r="F377" s="297"/>
      <c r="G377" s="196">
        <f t="shared" si="28"/>
        <v>0</v>
      </c>
      <c r="H377" s="197">
        <f t="shared" si="29"/>
        <v>0</v>
      </c>
      <c r="I377" s="169">
        <f t="shared" si="30"/>
        <v>0</v>
      </c>
      <c r="J377" s="198">
        <f t="shared" si="31"/>
        <v>0</v>
      </c>
      <c r="K377" s="173">
        <f t="shared" si="32"/>
        <v>0</v>
      </c>
      <c r="L377" s="263"/>
      <c r="M377" s="262"/>
    </row>
    <row r="378" spans="1:13" s="289" customFormat="1" ht="12" customHeight="1" x14ac:dyDescent="0.2">
      <c r="A378" s="336"/>
      <c r="B378" s="337" t="s">
        <v>470</v>
      </c>
      <c r="C378" s="338"/>
      <c r="D378" s="301"/>
      <c r="E378" s="267"/>
      <c r="F378" s="339"/>
      <c r="G378" s="196">
        <f t="shared" si="28"/>
        <v>0</v>
      </c>
      <c r="H378" s="197">
        <f t="shared" si="29"/>
        <v>0</v>
      </c>
      <c r="I378" s="169">
        <f t="shared" si="30"/>
        <v>0</v>
      </c>
      <c r="J378" s="198">
        <f t="shared" si="31"/>
        <v>0</v>
      </c>
      <c r="K378" s="173">
        <f t="shared" si="32"/>
        <v>0</v>
      </c>
      <c r="L378" s="268"/>
      <c r="M378" s="267"/>
    </row>
    <row r="379" spans="1:13" s="289" customFormat="1" ht="12" customHeight="1" x14ac:dyDescent="0.2">
      <c r="A379" s="340"/>
      <c r="B379" s="341" t="s">
        <v>494</v>
      </c>
      <c r="C379" s="314"/>
      <c r="D379" s="307"/>
      <c r="E379" s="269"/>
      <c r="F379" s="342"/>
      <c r="G379" s="196">
        <f t="shared" si="28"/>
        <v>0</v>
      </c>
      <c r="H379" s="197">
        <f t="shared" si="29"/>
        <v>0</v>
      </c>
      <c r="I379" s="169">
        <f t="shared" si="30"/>
        <v>0</v>
      </c>
      <c r="J379" s="198">
        <f t="shared" si="31"/>
        <v>0</v>
      </c>
      <c r="K379" s="173">
        <f t="shared" si="32"/>
        <v>0</v>
      </c>
      <c r="L379" s="270"/>
      <c r="M379" s="269"/>
    </row>
    <row r="380" spans="1:13" s="289" customFormat="1" ht="12" customHeight="1" x14ac:dyDescent="0.2">
      <c r="A380" s="330"/>
      <c r="B380" s="334" t="s">
        <v>472</v>
      </c>
      <c r="C380" s="298"/>
      <c r="D380" s="283"/>
      <c r="E380" s="262"/>
      <c r="F380" s="297"/>
      <c r="G380" s="196">
        <f t="shared" si="28"/>
        <v>0</v>
      </c>
      <c r="H380" s="197">
        <f t="shared" si="29"/>
        <v>0</v>
      </c>
      <c r="I380" s="169">
        <f t="shared" si="30"/>
        <v>0</v>
      </c>
      <c r="J380" s="198">
        <f t="shared" si="31"/>
        <v>0</v>
      </c>
      <c r="K380" s="173">
        <f t="shared" si="32"/>
        <v>0</v>
      </c>
      <c r="L380" s="263"/>
      <c r="M380" s="262"/>
    </row>
    <row r="381" spans="1:13" s="289" customFormat="1" ht="12" customHeight="1" x14ac:dyDescent="0.2">
      <c r="A381" s="330"/>
      <c r="B381" s="335" t="s">
        <v>495</v>
      </c>
      <c r="C381" s="298"/>
      <c r="D381" s="283"/>
      <c r="E381" s="262"/>
      <c r="F381" s="297"/>
      <c r="G381" s="196">
        <f t="shared" si="28"/>
        <v>0</v>
      </c>
      <c r="H381" s="197">
        <f t="shared" si="29"/>
        <v>0</v>
      </c>
      <c r="I381" s="169">
        <f t="shared" si="30"/>
        <v>0</v>
      </c>
      <c r="J381" s="198">
        <f t="shared" si="31"/>
        <v>0</v>
      </c>
      <c r="K381" s="173">
        <f t="shared" si="32"/>
        <v>0</v>
      </c>
      <c r="L381" s="263"/>
      <c r="M381" s="262"/>
    </row>
    <row r="382" spans="1:13" s="289" customFormat="1" ht="12" customHeight="1" x14ac:dyDescent="0.2">
      <c r="A382" s="330"/>
      <c r="B382" s="335" t="s">
        <v>496</v>
      </c>
      <c r="C382" s="298"/>
      <c r="D382" s="283"/>
      <c r="E382" s="262"/>
      <c r="F382" s="297"/>
      <c r="G382" s="196">
        <f t="shared" si="28"/>
        <v>0</v>
      </c>
      <c r="H382" s="197">
        <f t="shared" si="29"/>
        <v>0</v>
      </c>
      <c r="I382" s="169">
        <f t="shared" si="30"/>
        <v>0</v>
      </c>
      <c r="J382" s="198">
        <f t="shared" si="31"/>
        <v>0</v>
      </c>
      <c r="K382" s="173">
        <f t="shared" si="32"/>
        <v>0</v>
      </c>
      <c r="L382" s="263"/>
      <c r="M382" s="262"/>
    </row>
    <row r="383" spans="1:13" s="289" customFormat="1" ht="12" customHeight="1" x14ac:dyDescent="0.2">
      <c r="A383" s="330"/>
      <c r="B383" s="335" t="s">
        <v>497</v>
      </c>
      <c r="C383" s="298"/>
      <c r="D383" s="283"/>
      <c r="E383" s="262"/>
      <c r="F383" s="297"/>
      <c r="G383" s="196">
        <f t="shared" si="28"/>
        <v>0</v>
      </c>
      <c r="H383" s="197">
        <f t="shared" si="29"/>
        <v>0</v>
      </c>
      <c r="I383" s="169">
        <f t="shared" si="30"/>
        <v>0</v>
      </c>
      <c r="J383" s="198">
        <f t="shared" si="31"/>
        <v>0</v>
      </c>
      <c r="K383" s="173">
        <f t="shared" si="32"/>
        <v>0</v>
      </c>
      <c r="L383" s="263"/>
      <c r="M383" s="262"/>
    </row>
    <row r="384" spans="1:13" s="289" customFormat="1" ht="12" customHeight="1" x14ac:dyDescent="0.2">
      <c r="A384" s="330"/>
      <c r="B384" s="335" t="s">
        <v>498</v>
      </c>
      <c r="C384" s="298"/>
      <c r="D384" s="283"/>
      <c r="E384" s="294"/>
      <c r="F384" s="295"/>
      <c r="G384" s="196">
        <f t="shared" si="28"/>
        <v>0</v>
      </c>
      <c r="H384" s="197">
        <f t="shared" si="29"/>
        <v>0</v>
      </c>
      <c r="I384" s="169">
        <f t="shared" si="30"/>
        <v>0</v>
      </c>
      <c r="J384" s="198">
        <f t="shared" si="31"/>
        <v>0</v>
      </c>
      <c r="K384" s="173">
        <f t="shared" si="32"/>
        <v>0</v>
      </c>
      <c r="L384" s="296"/>
      <c r="M384" s="294"/>
    </row>
    <row r="385" spans="1:13" s="289" customFormat="1" ht="12" customHeight="1" x14ac:dyDescent="0.2">
      <c r="A385" s="330"/>
      <c r="B385" s="335" t="s">
        <v>499</v>
      </c>
      <c r="C385" s="283">
        <v>1</v>
      </c>
      <c r="D385" s="283" t="s">
        <v>113</v>
      </c>
      <c r="E385" s="294">
        <v>155000</v>
      </c>
      <c r="F385" s="295">
        <f>ROUND($C385*E385,0)</f>
        <v>155000</v>
      </c>
      <c r="G385" s="196">
        <f t="shared" si="28"/>
        <v>12400</v>
      </c>
      <c r="H385" s="197">
        <f t="shared" si="29"/>
        <v>6200</v>
      </c>
      <c r="I385" s="169">
        <f t="shared" si="30"/>
        <v>105400</v>
      </c>
      <c r="J385" s="198">
        <f t="shared" si="31"/>
        <v>31000</v>
      </c>
      <c r="K385" s="173">
        <f t="shared" si="32"/>
        <v>155000</v>
      </c>
      <c r="L385" s="296"/>
      <c r="M385" s="294"/>
    </row>
    <row r="386" spans="1:13" s="289" customFormat="1" ht="6" customHeight="1" x14ac:dyDescent="0.2">
      <c r="A386" s="330"/>
      <c r="B386" s="343"/>
      <c r="C386" s="298"/>
      <c r="D386" s="283"/>
      <c r="E386" s="262"/>
      <c r="F386" s="297"/>
      <c r="G386" s="196">
        <f t="shared" si="28"/>
        <v>0</v>
      </c>
      <c r="H386" s="197">
        <f t="shared" si="29"/>
        <v>0</v>
      </c>
      <c r="I386" s="169">
        <f t="shared" si="30"/>
        <v>0</v>
      </c>
      <c r="J386" s="198">
        <f t="shared" si="31"/>
        <v>0</v>
      </c>
      <c r="K386" s="173">
        <f t="shared" si="32"/>
        <v>0</v>
      </c>
      <c r="L386" s="263"/>
      <c r="M386" s="262"/>
    </row>
    <row r="387" spans="1:13" s="289" customFormat="1" ht="15" x14ac:dyDescent="0.2">
      <c r="A387" s="330"/>
      <c r="B387" s="333" t="s">
        <v>500</v>
      </c>
      <c r="C387" s="298"/>
      <c r="D387" s="283"/>
      <c r="E387" s="262"/>
      <c r="F387" s="297"/>
      <c r="G387" s="196">
        <f t="shared" si="28"/>
        <v>0</v>
      </c>
      <c r="H387" s="197">
        <f t="shared" si="29"/>
        <v>0</v>
      </c>
      <c r="I387" s="169">
        <f t="shared" si="30"/>
        <v>0</v>
      </c>
      <c r="J387" s="198">
        <f t="shared" si="31"/>
        <v>0</v>
      </c>
      <c r="K387" s="173">
        <f t="shared" si="32"/>
        <v>0</v>
      </c>
      <c r="L387" s="263"/>
      <c r="M387" s="262"/>
    </row>
    <row r="388" spans="1:13" s="289" customFormat="1" x14ac:dyDescent="0.2">
      <c r="A388" s="330"/>
      <c r="B388" s="334" t="s">
        <v>462</v>
      </c>
      <c r="C388" s="298"/>
      <c r="D388" s="283"/>
      <c r="E388" s="262"/>
      <c r="F388" s="297"/>
      <c r="G388" s="196">
        <f t="shared" si="28"/>
        <v>0</v>
      </c>
      <c r="H388" s="197">
        <f t="shared" si="29"/>
        <v>0</v>
      </c>
      <c r="I388" s="169">
        <f t="shared" si="30"/>
        <v>0</v>
      </c>
      <c r="J388" s="198">
        <f t="shared" si="31"/>
        <v>0</v>
      </c>
      <c r="K388" s="173">
        <f t="shared" si="32"/>
        <v>0</v>
      </c>
      <c r="L388" s="263"/>
      <c r="M388" s="262"/>
    </row>
    <row r="389" spans="1:13" s="289" customFormat="1" x14ac:dyDescent="0.2">
      <c r="A389" s="330" t="s">
        <v>407</v>
      </c>
      <c r="B389" s="335" t="s">
        <v>501</v>
      </c>
      <c r="C389" s="298"/>
      <c r="D389" s="283"/>
      <c r="E389" s="262"/>
      <c r="F389" s="297"/>
      <c r="G389" s="196">
        <f t="shared" si="28"/>
        <v>0</v>
      </c>
      <c r="H389" s="197">
        <f t="shared" si="29"/>
        <v>0</v>
      </c>
      <c r="I389" s="169">
        <f t="shared" si="30"/>
        <v>0</v>
      </c>
      <c r="J389" s="198">
        <f t="shared" si="31"/>
        <v>0</v>
      </c>
      <c r="K389" s="173">
        <f t="shared" si="32"/>
        <v>0</v>
      </c>
      <c r="L389" s="263"/>
      <c r="M389" s="262"/>
    </row>
    <row r="390" spans="1:13" s="289" customFormat="1" x14ac:dyDescent="0.2">
      <c r="A390" s="330"/>
      <c r="B390" s="335" t="s">
        <v>466</v>
      </c>
      <c r="C390" s="298"/>
      <c r="D390" s="283"/>
      <c r="E390" s="262"/>
      <c r="F390" s="297"/>
      <c r="G390" s="196">
        <f t="shared" si="28"/>
        <v>0</v>
      </c>
      <c r="H390" s="197">
        <f t="shared" si="29"/>
        <v>0</v>
      </c>
      <c r="I390" s="169">
        <f t="shared" si="30"/>
        <v>0</v>
      </c>
      <c r="J390" s="198">
        <f t="shared" si="31"/>
        <v>0</v>
      </c>
      <c r="K390" s="173">
        <f t="shared" si="32"/>
        <v>0</v>
      </c>
      <c r="L390" s="263"/>
      <c r="M390" s="262"/>
    </row>
    <row r="391" spans="1:13" s="289" customFormat="1" x14ac:dyDescent="0.2">
      <c r="A391" s="330"/>
      <c r="B391" s="334" t="s">
        <v>472</v>
      </c>
      <c r="C391" s="298"/>
      <c r="D391" s="283"/>
      <c r="E391" s="294"/>
      <c r="F391" s="295"/>
      <c r="G391" s="196">
        <f t="shared" si="28"/>
        <v>0</v>
      </c>
      <c r="H391" s="197">
        <f t="shared" si="29"/>
        <v>0</v>
      </c>
      <c r="I391" s="169">
        <f t="shared" si="30"/>
        <v>0</v>
      </c>
      <c r="J391" s="198">
        <f t="shared" si="31"/>
        <v>0</v>
      </c>
      <c r="K391" s="173">
        <f t="shared" si="32"/>
        <v>0</v>
      </c>
      <c r="L391" s="296"/>
      <c r="M391" s="294"/>
    </row>
    <row r="392" spans="1:13" s="289" customFormat="1" x14ac:dyDescent="0.2">
      <c r="A392" s="330"/>
      <c r="B392" s="335" t="s">
        <v>502</v>
      </c>
      <c r="C392" s="283">
        <v>1</v>
      </c>
      <c r="D392" s="283" t="s">
        <v>113</v>
      </c>
      <c r="E392" s="294">
        <v>40000</v>
      </c>
      <c r="F392" s="295">
        <f>ROUND($C392*E392,0)</f>
        <v>40000</v>
      </c>
      <c r="G392" s="196">
        <f t="shared" si="28"/>
        <v>3200</v>
      </c>
      <c r="H392" s="197">
        <f t="shared" si="29"/>
        <v>1600</v>
      </c>
      <c r="I392" s="169">
        <f t="shared" si="30"/>
        <v>27200</v>
      </c>
      <c r="J392" s="198">
        <f t="shared" si="31"/>
        <v>8000</v>
      </c>
      <c r="K392" s="173">
        <f t="shared" si="32"/>
        <v>40000</v>
      </c>
      <c r="L392" s="296"/>
      <c r="M392" s="294"/>
    </row>
    <row r="393" spans="1:13" s="289" customFormat="1" ht="6" customHeight="1" x14ac:dyDescent="0.2">
      <c r="A393" s="330"/>
      <c r="B393" s="335"/>
      <c r="C393" s="283"/>
      <c r="D393" s="283"/>
      <c r="E393" s="262"/>
      <c r="F393" s="297"/>
      <c r="G393" s="196">
        <f t="shared" si="28"/>
        <v>0</v>
      </c>
      <c r="H393" s="197">
        <f t="shared" si="29"/>
        <v>0</v>
      </c>
      <c r="I393" s="169">
        <f t="shared" si="30"/>
        <v>0</v>
      </c>
      <c r="J393" s="198">
        <f t="shared" si="31"/>
        <v>0</v>
      </c>
      <c r="K393" s="173">
        <f t="shared" si="32"/>
        <v>0</v>
      </c>
      <c r="L393" s="263"/>
      <c r="M393" s="262"/>
    </row>
    <row r="394" spans="1:13" s="289" customFormat="1" ht="30" x14ac:dyDescent="0.2">
      <c r="A394" s="330"/>
      <c r="B394" s="333" t="s">
        <v>503</v>
      </c>
      <c r="C394" s="298"/>
      <c r="D394" s="283"/>
      <c r="E394" s="262"/>
      <c r="F394" s="297"/>
      <c r="G394" s="196">
        <f t="shared" si="28"/>
        <v>0</v>
      </c>
      <c r="H394" s="197">
        <f t="shared" si="29"/>
        <v>0</v>
      </c>
      <c r="I394" s="169">
        <f t="shared" si="30"/>
        <v>0</v>
      </c>
      <c r="J394" s="198">
        <f t="shared" si="31"/>
        <v>0</v>
      </c>
      <c r="K394" s="173">
        <f t="shared" si="32"/>
        <v>0</v>
      </c>
      <c r="L394" s="263"/>
      <c r="M394" s="262"/>
    </row>
    <row r="395" spans="1:13" s="289" customFormat="1" x14ac:dyDescent="0.2">
      <c r="A395" s="330"/>
      <c r="B395" s="334" t="s">
        <v>462</v>
      </c>
      <c r="C395" s="298"/>
      <c r="D395" s="283"/>
      <c r="E395" s="262"/>
      <c r="F395" s="297"/>
      <c r="G395" s="196">
        <f t="shared" si="28"/>
        <v>0</v>
      </c>
      <c r="H395" s="197">
        <f t="shared" si="29"/>
        <v>0</v>
      </c>
      <c r="I395" s="169">
        <f t="shared" si="30"/>
        <v>0</v>
      </c>
      <c r="J395" s="198">
        <f t="shared" si="31"/>
        <v>0</v>
      </c>
      <c r="K395" s="173">
        <f t="shared" si="32"/>
        <v>0</v>
      </c>
      <c r="L395" s="263"/>
      <c r="M395" s="262"/>
    </row>
    <row r="396" spans="1:13" s="289" customFormat="1" x14ac:dyDescent="0.2">
      <c r="A396" s="330" t="s">
        <v>409</v>
      </c>
      <c r="B396" s="335" t="s">
        <v>501</v>
      </c>
      <c r="C396" s="298"/>
      <c r="D396" s="283"/>
      <c r="E396" s="262"/>
      <c r="F396" s="297"/>
      <c r="G396" s="196">
        <f t="shared" si="28"/>
        <v>0</v>
      </c>
      <c r="H396" s="197">
        <f t="shared" si="29"/>
        <v>0</v>
      </c>
      <c r="I396" s="169">
        <f t="shared" si="30"/>
        <v>0</v>
      </c>
      <c r="J396" s="198">
        <f t="shared" si="31"/>
        <v>0</v>
      </c>
      <c r="K396" s="173">
        <f t="shared" si="32"/>
        <v>0</v>
      </c>
      <c r="L396" s="263"/>
      <c r="M396" s="262"/>
    </row>
    <row r="397" spans="1:13" s="289" customFormat="1" x14ac:dyDescent="0.2">
      <c r="A397" s="330"/>
      <c r="B397" s="335" t="s">
        <v>466</v>
      </c>
      <c r="C397" s="298"/>
      <c r="D397" s="283"/>
      <c r="E397" s="262"/>
      <c r="F397" s="297"/>
      <c r="G397" s="196">
        <f t="shared" si="28"/>
        <v>0</v>
      </c>
      <c r="H397" s="197">
        <f t="shared" si="29"/>
        <v>0</v>
      </c>
      <c r="I397" s="169">
        <f t="shared" si="30"/>
        <v>0</v>
      </c>
      <c r="J397" s="198">
        <f t="shared" si="31"/>
        <v>0</v>
      </c>
      <c r="K397" s="173">
        <f t="shared" si="32"/>
        <v>0</v>
      </c>
      <c r="L397" s="263"/>
      <c r="M397" s="262"/>
    </row>
    <row r="398" spans="1:13" s="289" customFormat="1" x14ac:dyDescent="0.2">
      <c r="A398" s="330"/>
      <c r="B398" s="334" t="s">
        <v>472</v>
      </c>
      <c r="C398" s="298"/>
      <c r="D398" s="283"/>
      <c r="E398" s="294"/>
      <c r="F398" s="295"/>
      <c r="G398" s="196">
        <f t="shared" ref="G398:G461" si="33">IFERROR((ROUND(E398/1.25*10%,2)),0)</f>
        <v>0</v>
      </c>
      <c r="H398" s="197">
        <f t="shared" ref="H398:H461" si="34">IFERROR((ROUND(E398/1.25*5%,2)),0)</f>
        <v>0</v>
      </c>
      <c r="I398" s="169">
        <f t="shared" ref="I398:I461" si="35">IFERROR((ROUND(E398/1.25*85%,2)),0)</f>
        <v>0</v>
      </c>
      <c r="J398" s="198">
        <f t="shared" ref="J398:J461" si="36">IFERROR((ROUND(E398-(E398/1.25),2)),0)</f>
        <v>0</v>
      </c>
      <c r="K398" s="173">
        <f t="shared" ref="K398:K461" si="37">SUM(G398:J398)</f>
        <v>0</v>
      </c>
      <c r="L398" s="296"/>
      <c r="M398" s="294"/>
    </row>
    <row r="399" spans="1:13" s="289" customFormat="1" x14ac:dyDescent="0.2">
      <c r="A399" s="330"/>
      <c r="B399" s="335" t="s">
        <v>504</v>
      </c>
      <c r="C399" s="283">
        <v>6</v>
      </c>
      <c r="D399" s="283" t="s">
        <v>113</v>
      </c>
      <c r="E399" s="294">
        <v>34000</v>
      </c>
      <c r="F399" s="295">
        <f>ROUND($C399*E399,0)</f>
        <v>204000</v>
      </c>
      <c r="G399" s="196">
        <f t="shared" si="33"/>
        <v>2720</v>
      </c>
      <c r="H399" s="197">
        <f t="shared" si="34"/>
        <v>1360</v>
      </c>
      <c r="I399" s="169">
        <f t="shared" si="35"/>
        <v>23120</v>
      </c>
      <c r="J399" s="198">
        <f t="shared" si="36"/>
        <v>6800</v>
      </c>
      <c r="K399" s="173">
        <f t="shared" si="37"/>
        <v>34000</v>
      </c>
      <c r="L399" s="296"/>
      <c r="M399" s="294"/>
    </row>
    <row r="400" spans="1:13" s="289" customFormat="1" ht="6" customHeight="1" x14ac:dyDescent="0.2">
      <c r="A400" s="330"/>
      <c r="B400" s="335"/>
      <c r="C400" s="298"/>
      <c r="D400" s="283"/>
      <c r="E400" s="262"/>
      <c r="F400" s="297"/>
      <c r="G400" s="196">
        <f t="shared" si="33"/>
        <v>0</v>
      </c>
      <c r="H400" s="197">
        <f t="shared" si="34"/>
        <v>0</v>
      </c>
      <c r="I400" s="169">
        <f t="shared" si="35"/>
        <v>0</v>
      </c>
      <c r="J400" s="198">
        <f t="shared" si="36"/>
        <v>0</v>
      </c>
      <c r="K400" s="173">
        <f t="shared" si="37"/>
        <v>0</v>
      </c>
      <c r="L400" s="263"/>
      <c r="M400" s="262"/>
    </row>
    <row r="401" spans="1:13" s="289" customFormat="1" ht="15" x14ac:dyDescent="0.2">
      <c r="A401" s="330"/>
      <c r="B401" s="333" t="s">
        <v>505</v>
      </c>
      <c r="C401" s="298"/>
      <c r="D401" s="283"/>
      <c r="E401" s="262"/>
      <c r="F401" s="297"/>
      <c r="G401" s="196">
        <f t="shared" si="33"/>
        <v>0</v>
      </c>
      <c r="H401" s="197">
        <f t="shared" si="34"/>
        <v>0</v>
      </c>
      <c r="I401" s="169">
        <f t="shared" si="35"/>
        <v>0</v>
      </c>
      <c r="J401" s="198">
        <f t="shared" si="36"/>
        <v>0</v>
      </c>
      <c r="K401" s="173">
        <f t="shared" si="37"/>
        <v>0</v>
      </c>
      <c r="L401" s="263"/>
      <c r="M401" s="262"/>
    </row>
    <row r="402" spans="1:13" s="289" customFormat="1" x14ac:dyDescent="0.2">
      <c r="A402" s="330"/>
      <c r="B402" s="334" t="s">
        <v>462</v>
      </c>
      <c r="C402" s="298"/>
      <c r="D402" s="283"/>
      <c r="E402" s="262"/>
      <c r="F402" s="297"/>
      <c r="G402" s="196">
        <f t="shared" si="33"/>
        <v>0</v>
      </c>
      <c r="H402" s="197">
        <f t="shared" si="34"/>
        <v>0</v>
      </c>
      <c r="I402" s="169">
        <f t="shared" si="35"/>
        <v>0</v>
      </c>
      <c r="J402" s="198">
        <f t="shared" si="36"/>
        <v>0</v>
      </c>
      <c r="K402" s="173">
        <f t="shared" si="37"/>
        <v>0</v>
      </c>
      <c r="L402" s="263"/>
      <c r="M402" s="262"/>
    </row>
    <row r="403" spans="1:13" s="289" customFormat="1" x14ac:dyDescent="0.2">
      <c r="A403" s="330" t="s">
        <v>411</v>
      </c>
      <c r="B403" s="335" t="s">
        <v>506</v>
      </c>
      <c r="C403" s="298"/>
      <c r="D403" s="283"/>
      <c r="E403" s="262"/>
      <c r="F403" s="297"/>
      <c r="G403" s="196">
        <f t="shared" si="33"/>
        <v>0</v>
      </c>
      <c r="H403" s="197">
        <f t="shared" si="34"/>
        <v>0</v>
      </c>
      <c r="I403" s="169">
        <f t="shared" si="35"/>
        <v>0</v>
      </c>
      <c r="J403" s="198">
        <f t="shared" si="36"/>
        <v>0</v>
      </c>
      <c r="K403" s="173">
        <f t="shared" si="37"/>
        <v>0</v>
      </c>
      <c r="L403" s="263"/>
      <c r="M403" s="262"/>
    </row>
    <row r="404" spans="1:13" s="289" customFormat="1" x14ac:dyDescent="0.2">
      <c r="A404" s="330"/>
      <c r="B404" s="335" t="s">
        <v>466</v>
      </c>
      <c r="C404" s="298"/>
      <c r="D404" s="283"/>
      <c r="E404" s="262"/>
      <c r="F404" s="297"/>
      <c r="G404" s="196">
        <f t="shared" si="33"/>
        <v>0</v>
      </c>
      <c r="H404" s="197">
        <f t="shared" si="34"/>
        <v>0</v>
      </c>
      <c r="I404" s="169">
        <f t="shared" si="35"/>
        <v>0</v>
      </c>
      <c r="J404" s="198">
        <f t="shared" si="36"/>
        <v>0</v>
      </c>
      <c r="K404" s="173">
        <f t="shared" si="37"/>
        <v>0</v>
      </c>
      <c r="L404" s="263"/>
      <c r="M404" s="262"/>
    </row>
    <row r="405" spans="1:13" s="289" customFormat="1" x14ac:dyDescent="0.2">
      <c r="A405" s="330"/>
      <c r="B405" s="334" t="s">
        <v>472</v>
      </c>
      <c r="C405" s="298"/>
      <c r="D405" s="283"/>
      <c r="E405" s="294"/>
      <c r="F405" s="295"/>
      <c r="G405" s="196">
        <f t="shared" si="33"/>
        <v>0</v>
      </c>
      <c r="H405" s="197">
        <f t="shared" si="34"/>
        <v>0</v>
      </c>
      <c r="I405" s="169">
        <f t="shared" si="35"/>
        <v>0</v>
      </c>
      <c r="J405" s="198">
        <f t="shared" si="36"/>
        <v>0</v>
      </c>
      <c r="K405" s="173">
        <f t="shared" si="37"/>
        <v>0</v>
      </c>
      <c r="L405" s="296"/>
      <c r="M405" s="294"/>
    </row>
    <row r="406" spans="1:13" s="289" customFormat="1" x14ac:dyDescent="0.2">
      <c r="A406" s="330"/>
      <c r="B406" s="335" t="s">
        <v>507</v>
      </c>
      <c r="C406" s="283">
        <v>1</v>
      </c>
      <c r="D406" s="283" t="s">
        <v>113</v>
      </c>
      <c r="E406" s="294">
        <v>42000</v>
      </c>
      <c r="F406" s="295">
        <f>ROUND($C406*E406,0)</f>
        <v>42000</v>
      </c>
      <c r="G406" s="196">
        <f t="shared" si="33"/>
        <v>3360</v>
      </c>
      <c r="H406" s="197">
        <f t="shared" si="34"/>
        <v>1680</v>
      </c>
      <c r="I406" s="169">
        <f t="shared" si="35"/>
        <v>28560</v>
      </c>
      <c r="J406" s="198">
        <f t="shared" si="36"/>
        <v>8400</v>
      </c>
      <c r="K406" s="173">
        <f t="shared" si="37"/>
        <v>42000</v>
      </c>
      <c r="L406" s="296"/>
      <c r="M406" s="294"/>
    </row>
    <row r="407" spans="1:13" s="289" customFormat="1" x14ac:dyDescent="0.2">
      <c r="A407" s="330"/>
      <c r="B407" s="335"/>
      <c r="C407" s="283"/>
      <c r="D407" s="283"/>
      <c r="E407" s="262"/>
      <c r="F407" s="297"/>
      <c r="G407" s="196">
        <f t="shared" si="33"/>
        <v>0</v>
      </c>
      <c r="H407" s="197">
        <f t="shared" si="34"/>
        <v>0</v>
      </c>
      <c r="I407" s="169">
        <f t="shared" si="35"/>
        <v>0</v>
      </c>
      <c r="J407" s="198">
        <f t="shared" si="36"/>
        <v>0</v>
      </c>
      <c r="K407" s="173">
        <f t="shared" si="37"/>
        <v>0</v>
      </c>
      <c r="L407" s="263"/>
      <c r="M407" s="262"/>
    </row>
    <row r="408" spans="1:13" s="289" customFormat="1" ht="15" x14ac:dyDescent="0.2">
      <c r="A408" s="330"/>
      <c r="B408" s="333" t="s">
        <v>508</v>
      </c>
      <c r="C408" s="298"/>
      <c r="D408" s="283"/>
      <c r="E408" s="262"/>
      <c r="F408" s="297"/>
      <c r="G408" s="196">
        <f t="shared" si="33"/>
        <v>0</v>
      </c>
      <c r="H408" s="197">
        <f t="shared" si="34"/>
        <v>0</v>
      </c>
      <c r="I408" s="169">
        <f t="shared" si="35"/>
        <v>0</v>
      </c>
      <c r="J408" s="198">
        <f t="shared" si="36"/>
        <v>0</v>
      </c>
      <c r="K408" s="173">
        <f t="shared" si="37"/>
        <v>0</v>
      </c>
      <c r="L408" s="263"/>
      <c r="M408" s="262"/>
    </row>
    <row r="409" spans="1:13" s="289" customFormat="1" x14ac:dyDescent="0.2">
      <c r="A409" s="330"/>
      <c r="B409" s="334" t="s">
        <v>462</v>
      </c>
      <c r="C409" s="298"/>
      <c r="D409" s="283"/>
      <c r="E409" s="262"/>
      <c r="F409" s="297"/>
      <c r="G409" s="196">
        <f t="shared" si="33"/>
        <v>0</v>
      </c>
      <c r="H409" s="197">
        <f t="shared" si="34"/>
        <v>0</v>
      </c>
      <c r="I409" s="169">
        <f t="shared" si="35"/>
        <v>0</v>
      </c>
      <c r="J409" s="198">
        <f t="shared" si="36"/>
        <v>0</v>
      </c>
      <c r="K409" s="173">
        <f t="shared" si="37"/>
        <v>0</v>
      </c>
      <c r="L409" s="263"/>
      <c r="M409" s="262"/>
    </row>
    <row r="410" spans="1:13" s="289" customFormat="1" x14ac:dyDescent="0.2">
      <c r="A410" s="330" t="s">
        <v>413</v>
      </c>
      <c r="B410" s="335" t="s">
        <v>501</v>
      </c>
      <c r="C410" s="298"/>
      <c r="D410" s="283"/>
      <c r="E410" s="262"/>
      <c r="F410" s="297"/>
      <c r="G410" s="196">
        <f t="shared" si="33"/>
        <v>0</v>
      </c>
      <c r="H410" s="197">
        <f t="shared" si="34"/>
        <v>0</v>
      </c>
      <c r="I410" s="169">
        <f t="shared" si="35"/>
        <v>0</v>
      </c>
      <c r="J410" s="198">
        <f t="shared" si="36"/>
        <v>0</v>
      </c>
      <c r="K410" s="173">
        <f t="shared" si="37"/>
        <v>0</v>
      </c>
      <c r="L410" s="263"/>
      <c r="M410" s="262"/>
    </row>
    <row r="411" spans="1:13" s="289" customFormat="1" x14ac:dyDescent="0.2">
      <c r="A411" s="330"/>
      <c r="B411" s="335" t="s">
        <v>466</v>
      </c>
      <c r="C411" s="298"/>
      <c r="D411" s="283"/>
      <c r="E411" s="262"/>
      <c r="F411" s="297"/>
      <c r="G411" s="196">
        <f t="shared" si="33"/>
        <v>0</v>
      </c>
      <c r="H411" s="197">
        <f t="shared" si="34"/>
        <v>0</v>
      </c>
      <c r="I411" s="169">
        <f t="shared" si="35"/>
        <v>0</v>
      </c>
      <c r="J411" s="198">
        <f t="shared" si="36"/>
        <v>0</v>
      </c>
      <c r="K411" s="173">
        <f t="shared" si="37"/>
        <v>0</v>
      </c>
      <c r="L411" s="263"/>
      <c r="M411" s="262"/>
    </row>
    <row r="412" spans="1:13" s="289" customFormat="1" x14ac:dyDescent="0.2">
      <c r="A412" s="330"/>
      <c r="B412" s="334" t="s">
        <v>472</v>
      </c>
      <c r="C412" s="298"/>
      <c r="D412" s="283"/>
      <c r="E412" s="294"/>
      <c r="F412" s="295"/>
      <c r="G412" s="196">
        <f t="shared" si="33"/>
        <v>0</v>
      </c>
      <c r="H412" s="197">
        <f t="shared" si="34"/>
        <v>0</v>
      </c>
      <c r="I412" s="169">
        <f t="shared" si="35"/>
        <v>0</v>
      </c>
      <c r="J412" s="198">
        <f t="shared" si="36"/>
        <v>0</v>
      </c>
      <c r="K412" s="173">
        <f t="shared" si="37"/>
        <v>0</v>
      </c>
      <c r="L412" s="296"/>
      <c r="M412" s="294"/>
    </row>
    <row r="413" spans="1:13" s="289" customFormat="1" x14ac:dyDescent="0.2">
      <c r="A413" s="330"/>
      <c r="B413" s="335" t="s">
        <v>509</v>
      </c>
      <c r="C413" s="283">
        <v>1</v>
      </c>
      <c r="D413" s="283" t="s">
        <v>113</v>
      </c>
      <c r="E413" s="294">
        <v>38000</v>
      </c>
      <c r="F413" s="295">
        <f>ROUND($C413*E413,0)</f>
        <v>38000</v>
      </c>
      <c r="G413" s="196">
        <f t="shared" si="33"/>
        <v>3040</v>
      </c>
      <c r="H413" s="197">
        <f t="shared" si="34"/>
        <v>1520</v>
      </c>
      <c r="I413" s="169">
        <f t="shared" si="35"/>
        <v>25840</v>
      </c>
      <c r="J413" s="198">
        <f t="shared" si="36"/>
        <v>7600</v>
      </c>
      <c r="K413" s="173">
        <f t="shared" si="37"/>
        <v>38000</v>
      </c>
      <c r="L413" s="296"/>
      <c r="M413" s="294"/>
    </row>
    <row r="414" spans="1:13" s="289" customFormat="1" ht="5.0999999999999996" customHeight="1" x14ac:dyDescent="0.2">
      <c r="A414" s="330"/>
      <c r="B414" s="335"/>
      <c r="C414" s="283"/>
      <c r="D414" s="283"/>
      <c r="E414" s="262"/>
      <c r="F414" s="295"/>
      <c r="G414" s="196">
        <f t="shared" si="33"/>
        <v>0</v>
      </c>
      <c r="H414" s="197">
        <f t="shared" si="34"/>
        <v>0</v>
      </c>
      <c r="I414" s="169">
        <f t="shared" si="35"/>
        <v>0</v>
      </c>
      <c r="J414" s="198">
        <f t="shared" si="36"/>
        <v>0</v>
      </c>
      <c r="K414" s="173">
        <f t="shared" si="37"/>
        <v>0</v>
      </c>
      <c r="L414" s="263"/>
      <c r="M414" s="262"/>
    </row>
    <row r="415" spans="1:13" s="289" customFormat="1" ht="15" x14ac:dyDescent="0.2">
      <c r="A415" s="330"/>
      <c r="B415" s="333" t="s">
        <v>510</v>
      </c>
      <c r="C415" s="298"/>
      <c r="D415" s="283"/>
      <c r="E415" s="262"/>
      <c r="F415" s="295"/>
      <c r="G415" s="196">
        <f t="shared" si="33"/>
        <v>0</v>
      </c>
      <c r="H415" s="197">
        <f t="shared" si="34"/>
        <v>0</v>
      </c>
      <c r="I415" s="169">
        <f t="shared" si="35"/>
        <v>0</v>
      </c>
      <c r="J415" s="198">
        <f t="shared" si="36"/>
        <v>0</v>
      </c>
      <c r="K415" s="173">
        <f t="shared" si="37"/>
        <v>0</v>
      </c>
      <c r="L415" s="263"/>
      <c r="M415" s="262"/>
    </row>
    <row r="416" spans="1:13" s="289" customFormat="1" x14ac:dyDescent="0.2">
      <c r="A416" s="330"/>
      <c r="B416" s="334" t="s">
        <v>462</v>
      </c>
      <c r="C416" s="298"/>
      <c r="D416" s="283"/>
      <c r="E416" s="262"/>
      <c r="F416" s="295"/>
      <c r="G416" s="196">
        <f t="shared" si="33"/>
        <v>0</v>
      </c>
      <c r="H416" s="197">
        <f t="shared" si="34"/>
        <v>0</v>
      </c>
      <c r="I416" s="169">
        <f t="shared" si="35"/>
        <v>0</v>
      </c>
      <c r="J416" s="198">
        <f t="shared" si="36"/>
        <v>0</v>
      </c>
      <c r="K416" s="173">
        <f t="shared" si="37"/>
        <v>0</v>
      </c>
      <c r="L416" s="263"/>
      <c r="M416" s="262"/>
    </row>
    <row r="417" spans="1:13" s="289" customFormat="1" x14ac:dyDescent="0.2">
      <c r="A417" s="330" t="s">
        <v>415</v>
      </c>
      <c r="B417" s="335" t="s">
        <v>511</v>
      </c>
      <c r="C417" s="298"/>
      <c r="D417" s="283"/>
      <c r="E417" s="262"/>
      <c r="F417" s="295"/>
      <c r="G417" s="196">
        <f t="shared" si="33"/>
        <v>0</v>
      </c>
      <c r="H417" s="197">
        <f t="shared" si="34"/>
        <v>0</v>
      </c>
      <c r="I417" s="169">
        <f t="shared" si="35"/>
        <v>0</v>
      </c>
      <c r="J417" s="198">
        <f t="shared" si="36"/>
        <v>0</v>
      </c>
      <c r="K417" s="173">
        <f t="shared" si="37"/>
        <v>0</v>
      </c>
      <c r="L417" s="263"/>
      <c r="M417" s="262"/>
    </row>
    <row r="418" spans="1:13" s="289" customFormat="1" x14ac:dyDescent="0.2">
      <c r="A418" s="330"/>
      <c r="B418" s="335" t="s">
        <v>512</v>
      </c>
      <c r="C418" s="298"/>
      <c r="D418" s="283"/>
      <c r="E418" s="262"/>
      <c r="F418" s="295"/>
      <c r="G418" s="196">
        <f t="shared" si="33"/>
        <v>0</v>
      </c>
      <c r="H418" s="197">
        <f t="shared" si="34"/>
        <v>0</v>
      </c>
      <c r="I418" s="169">
        <f t="shared" si="35"/>
        <v>0</v>
      </c>
      <c r="J418" s="198">
        <f t="shared" si="36"/>
        <v>0</v>
      </c>
      <c r="K418" s="173">
        <f t="shared" si="37"/>
        <v>0</v>
      </c>
      <c r="L418" s="263"/>
      <c r="M418" s="262"/>
    </row>
    <row r="419" spans="1:13" s="289" customFormat="1" x14ac:dyDescent="0.2">
      <c r="A419" s="330"/>
      <c r="B419" s="335" t="s">
        <v>466</v>
      </c>
      <c r="C419" s="298"/>
      <c r="D419" s="283"/>
      <c r="E419" s="262"/>
      <c r="F419" s="295"/>
      <c r="G419" s="196">
        <f t="shared" si="33"/>
        <v>0</v>
      </c>
      <c r="H419" s="197">
        <f t="shared" si="34"/>
        <v>0</v>
      </c>
      <c r="I419" s="169">
        <f t="shared" si="35"/>
        <v>0</v>
      </c>
      <c r="J419" s="198">
        <f t="shared" si="36"/>
        <v>0</v>
      </c>
      <c r="K419" s="173">
        <f t="shared" si="37"/>
        <v>0</v>
      </c>
      <c r="L419" s="263"/>
      <c r="M419" s="262"/>
    </row>
    <row r="420" spans="1:13" s="289" customFormat="1" x14ac:dyDescent="0.2">
      <c r="A420" s="330"/>
      <c r="B420" s="335" t="s">
        <v>467</v>
      </c>
      <c r="C420" s="298"/>
      <c r="D420" s="283"/>
      <c r="E420" s="262"/>
      <c r="F420" s="295"/>
      <c r="G420" s="196">
        <f t="shared" si="33"/>
        <v>0</v>
      </c>
      <c r="H420" s="197">
        <f t="shared" si="34"/>
        <v>0</v>
      </c>
      <c r="I420" s="169">
        <f t="shared" si="35"/>
        <v>0</v>
      </c>
      <c r="J420" s="198">
        <f t="shared" si="36"/>
        <v>0</v>
      </c>
      <c r="K420" s="173">
        <f t="shared" si="37"/>
        <v>0</v>
      </c>
      <c r="L420" s="263"/>
      <c r="M420" s="262"/>
    </row>
    <row r="421" spans="1:13" s="289" customFormat="1" x14ac:dyDescent="0.2">
      <c r="A421" s="330"/>
      <c r="B421" s="335" t="s">
        <v>468</v>
      </c>
      <c r="C421" s="298"/>
      <c r="D421" s="283"/>
      <c r="E421" s="262"/>
      <c r="F421" s="295"/>
      <c r="G421" s="196">
        <f t="shared" si="33"/>
        <v>0</v>
      </c>
      <c r="H421" s="197">
        <f t="shared" si="34"/>
        <v>0</v>
      </c>
      <c r="I421" s="169">
        <f t="shared" si="35"/>
        <v>0</v>
      </c>
      <c r="J421" s="198">
        <f t="shared" si="36"/>
        <v>0</v>
      </c>
      <c r="K421" s="173">
        <f t="shared" si="37"/>
        <v>0</v>
      </c>
      <c r="L421" s="263"/>
      <c r="M421" s="262"/>
    </row>
    <row r="422" spans="1:13" s="289" customFormat="1" x14ac:dyDescent="0.2">
      <c r="A422" s="330"/>
      <c r="B422" s="335" t="s">
        <v>513</v>
      </c>
      <c r="C422" s="298"/>
      <c r="D422" s="283"/>
      <c r="E422" s="262"/>
      <c r="F422" s="295"/>
      <c r="G422" s="196">
        <f t="shared" si="33"/>
        <v>0</v>
      </c>
      <c r="H422" s="197">
        <f t="shared" si="34"/>
        <v>0</v>
      </c>
      <c r="I422" s="169">
        <f t="shared" si="35"/>
        <v>0</v>
      </c>
      <c r="J422" s="198">
        <f t="shared" si="36"/>
        <v>0</v>
      </c>
      <c r="K422" s="173">
        <f t="shared" si="37"/>
        <v>0</v>
      </c>
      <c r="L422" s="263"/>
      <c r="M422" s="262"/>
    </row>
    <row r="423" spans="1:13" s="289" customFormat="1" x14ac:dyDescent="0.2">
      <c r="A423" s="336"/>
      <c r="B423" s="337" t="s">
        <v>470</v>
      </c>
      <c r="C423" s="338"/>
      <c r="D423" s="301"/>
      <c r="E423" s="267"/>
      <c r="F423" s="303"/>
      <c r="G423" s="196">
        <f t="shared" si="33"/>
        <v>0</v>
      </c>
      <c r="H423" s="197">
        <f t="shared" si="34"/>
        <v>0</v>
      </c>
      <c r="I423" s="169">
        <f t="shared" si="35"/>
        <v>0</v>
      </c>
      <c r="J423" s="198">
        <f t="shared" si="36"/>
        <v>0</v>
      </c>
      <c r="K423" s="173">
        <f t="shared" si="37"/>
        <v>0</v>
      </c>
      <c r="L423" s="268"/>
      <c r="M423" s="267"/>
    </row>
    <row r="424" spans="1:13" s="289" customFormat="1" x14ac:dyDescent="0.2">
      <c r="A424" s="340"/>
      <c r="B424" s="341" t="s">
        <v>514</v>
      </c>
      <c r="C424" s="314"/>
      <c r="D424" s="307"/>
      <c r="E424" s="269"/>
      <c r="F424" s="309"/>
      <c r="G424" s="196">
        <f t="shared" si="33"/>
        <v>0</v>
      </c>
      <c r="H424" s="197">
        <f t="shared" si="34"/>
        <v>0</v>
      </c>
      <c r="I424" s="169">
        <f t="shared" si="35"/>
        <v>0</v>
      </c>
      <c r="J424" s="198">
        <f t="shared" si="36"/>
        <v>0</v>
      </c>
      <c r="K424" s="173">
        <f t="shared" si="37"/>
        <v>0</v>
      </c>
      <c r="L424" s="270"/>
      <c r="M424" s="269"/>
    </row>
    <row r="425" spans="1:13" s="289" customFormat="1" x14ac:dyDescent="0.2">
      <c r="A425" s="330"/>
      <c r="B425" s="334" t="s">
        <v>472</v>
      </c>
      <c r="C425" s="298"/>
      <c r="D425" s="283"/>
      <c r="E425" s="262"/>
      <c r="F425" s="295"/>
      <c r="G425" s="196">
        <f t="shared" si="33"/>
        <v>0</v>
      </c>
      <c r="H425" s="197">
        <f t="shared" si="34"/>
        <v>0</v>
      </c>
      <c r="I425" s="169">
        <f t="shared" si="35"/>
        <v>0</v>
      </c>
      <c r="J425" s="198">
        <f t="shared" si="36"/>
        <v>0</v>
      </c>
      <c r="K425" s="173">
        <f t="shared" si="37"/>
        <v>0</v>
      </c>
      <c r="L425" s="263"/>
      <c r="M425" s="262"/>
    </row>
    <row r="426" spans="1:13" s="289" customFormat="1" x14ac:dyDescent="0.2">
      <c r="A426" s="330"/>
      <c r="B426" s="335" t="s">
        <v>515</v>
      </c>
      <c r="C426" s="298"/>
      <c r="D426" s="283"/>
      <c r="E426" s="262"/>
      <c r="F426" s="295"/>
      <c r="G426" s="196">
        <f t="shared" si="33"/>
        <v>0</v>
      </c>
      <c r="H426" s="197">
        <f t="shared" si="34"/>
        <v>0</v>
      </c>
      <c r="I426" s="169">
        <f t="shared" si="35"/>
        <v>0</v>
      </c>
      <c r="J426" s="198">
        <f t="shared" si="36"/>
        <v>0</v>
      </c>
      <c r="K426" s="173">
        <f t="shared" si="37"/>
        <v>0</v>
      </c>
      <c r="L426" s="263"/>
      <c r="M426" s="262"/>
    </row>
    <row r="427" spans="1:13" s="289" customFormat="1" x14ac:dyDescent="0.2">
      <c r="A427" s="330"/>
      <c r="B427" s="335" t="s">
        <v>516</v>
      </c>
      <c r="C427" s="298"/>
      <c r="D427" s="283"/>
      <c r="E427" s="294"/>
      <c r="F427" s="295"/>
      <c r="G427" s="196">
        <f t="shared" si="33"/>
        <v>0</v>
      </c>
      <c r="H427" s="197">
        <f t="shared" si="34"/>
        <v>0</v>
      </c>
      <c r="I427" s="169">
        <f t="shared" si="35"/>
        <v>0</v>
      </c>
      <c r="J427" s="198">
        <f t="shared" si="36"/>
        <v>0</v>
      </c>
      <c r="K427" s="173">
        <f t="shared" si="37"/>
        <v>0</v>
      </c>
      <c r="L427" s="296"/>
      <c r="M427" s="294"/>
    </row>
    <row r="428" spans="1:13" s="289" customFormat="1" x14ac:dyDescent="0.2">
      <c r="A428" s="330"/>
      <c r="B428" s="335" t="s">
        <v>517</v>
      </c>
      <c r="C428" s="283">
        <v>1</v>
      </c>
      <c r="D428" s="283" t="s">
        <v>113</v>
      </c>
      <c r="E428" s="294">
        <v>85000</v>
      </c>
      <c r="F428" s="295">
        <f>ROUND($C428*E428,0)</f>
        <v>85000</v>
      </c>
      <c r="G428" s="196">
        <f t="shared" si="33"/>
        <v>6800</v>
      </c>
      <c r="H428" s="197">
        <f t="shared" si="34"/>
        <v>3400</v>
      </c>
      <c r="I428" s="169">
        <f t="shared" si="35"/>
        <v>57800</v>
      </c>
      <c r="J428" s="198">
        <f t="shared" si="36"/>
        <v>17000</v>
      </c>
      <c r="K428" s="173">
        <f t="shared" si="37"/>
        <v>85000</v>
      </c>
      <c r="L428" s="296"/>
      <c r="M428" s="294"/>
    </row>
    <row r="429" spans="1:13" s="289" customFormat="1" x14ac:dyDescent="0.2">
      <c r="A429" s="330"/>
      <c r="B429" s="335"/>
      <c r="C429" s="283"/>
      <c r="D429" s="283"/>
      <c r="E429" s="262"/>
      <c r="F429" s="295"/>
      <c r="G429" s="196">
        <f t="shared" si="33"/>
        <v>0</v>
      </c>
      <c r="H429" s="197">
        <f t="shared" si="34"/>
        <v>0</v>
      </c>
      <c r="I429" s="169">
        <f t="shared" si="35"/>
        <v>0</v>
      </c>
      <c r="J429" s="198">
        <f t="shared" si="36"/>
        <v>0</v>
      </c>
      <c r="K429" s="173">
        <f t="shared" si="37"/>
        <v>0</v>
      </c>
      <c r="L429" s="263"/>
      <c r="M429" s="262"/>
    </row>
    <row r="430" spans="1:13" s="289" customFormat="1" ht="15" x14ac:dyDescent="0.2">
      <c r="A430" s="330"/>
      <c r="B430" s="333" t="s">
        <v>518</v>
      </c>
      <c r="C430" s="298"/>
      <c r="D430" s="283"/>
      <c r="E430" s="262"/>
      <c r="F430" s="295"/>
      <c r="G430" s="196">
        <f t="shared" si="33"/>
        <v>0</v>
      </c>
      <c r="H430" s="197">
        <f t="shared" si="34"/>
        <v>0</v>
      </c>
      <c r="I430" s="169">
        <f t="shared" si="35"/>
        <v>0</v>
      </c>
      <c r="J430" s="198">
        <f t="shared" si="36"/>
        <v>0</v>
      </c>
      <c r="K430" s="173">
        <f t="shared" si="37"/>
        <v>0</v>
      </c>
      <c r="L430" s="263"/>
      <c r="M430" s="262"/>
    </row>
    <row r="431" spans="1:13" s="289" customFormat="1" x14ac:dyDescent="0.2">
      <c r="A431" s="330"/>
      <c r="B431" s="334" t="s">
        <v>462</v>
      </c>
      <c r="C431" s="298"/>
      <c r="D431" s="283"/>
      <c r="E431" s="262"/>
      <c r="F431" s="295"/>
      <c r="G431" s="196">
        <f t="shared" si="33"/>
        <v>0</v>
      </c>
      <c r="H431" s="197">
        <f t="shared" si="34"/>
        <v>0</v>
      </c>
      <c r="I431" s="169">
        <f t="shared" si="35"/>
        <v>0</v>
      </c>
      <c r="J431" s="198">
        <f t="shared" si="36"/>
        <v>0</v>
      </c>
      <c r="K431" s="173">
        <f t="shared" si="37"/>
        <v>0</v>
      </c>
      <c r="L431" s="263"/>
      <c r="M431" s="262"/>
    </row>
    <row r="432" spans="1:13" s="289" customFormat="1" x14ac:dyDescent="0.2">
      <c r="A432" s="330" t="s">
        <v>417</v>
      </c>
      <c r="B432" s="335" t="s">
        <v>519</v>
      </c>
      <c r="C432" s="298"/>
      <c r="D432" s="283"/>
      <c r="E432" s="262"/>
      <c r="F432" s="295"/>
      <c r="G432" s="196">
        <f t="shared" si="33"/>
        <v>0</v>
      </c>
      <c r="H432" s="197">
        <f t="shared" si="34"/>
        <v>0</v>
      </c>
      <c r="I432" s="169">
        <f t="shared" si="35"/>
        <v>0</v>
      </c>
      <c r="J432" s="198">
        <f t="shared" si="36"/>
        <v>0</v>
      </c>
      <c r="K432" s="173">
        <f t="shared" si="37"/>
        <v>0</v>
      </c>
      <c r="L432" s="263"/>
      <c r="M432" s="262"/>
    </row>
    <row r="433" spans="1:13" s="289" customFormat="1" x14ac:dyDescent="0.2">
      <c r="A433" s="330"/>
      <c r="B433" s="335" t="s">
        <v>512</v>
      </c>
      <c r="C433" s="298"/>
      <c r="D433" s="283"/>
      <c r="E433" s="262"/>
      <c r="F433" s="295"/>
      <c r="G433" s="196">
        <f t="shared" si="33"/>
        <v>0</v>
      </c>
      <c r="H433" s="197">
        <f t="shared" si="34"/>
        <v>0</v>
      </c>
      <c r="I433" s="169">
        <f t="shared" si="35"/>
        <v>0</v>
      </c>
      <c r="J433" s="198">
        <f t="shared" si="36"/>
        <v>0</v>
      </c>
      <c r="K433" s="173">
        <f t="shared" si="37"/>
        <v>0</v>
      </c>
      <c r="L433" s="263"/>
      <c r="M433" s="262"/>
    </row>
    <row r="434" spans="1:13" s="289" customFormat="1" x14ac:dyDescent="0.2">
      <c r="A434" s="330"/>
      <c r="B434" s="335" t="s">
        <v>466</v>
      </c>
      <c r="C434" s="298"/>
      <c r="D434" s="283"/>
      <c r="E434" s="262"/>
      <c r="F434" s="295"/>
      <c r="G434" s="196">
        <f t="shared" si="33"/>
        <v>0</v>
      </c>
      <c r="H434" s="197">
        <f t="shared" si="34"/>
        <v>0</v>
      </c>
      <c r="I434" s="169">
        <f t="shared" si="35"/>
        <v>0</v>
      </c>
      <c r="J434" s="198">
        <f t="shared" si="36"/>
        <v>0</v>
      </c>
      <c r="K434" s="173">
        <f t="shared" si="37"/>
        <v>0</v>
      </c>
      <c r="L434" s="263"/>
      <c r="M434" s="262"/>
    </row>
    <row r="435" spans="1:13" s="289" customFormat="1" x14ac:dyDescent="0.2">
      <c r="A435" s="330"/>
      <c r="B435" s="335" t="s">
        <v>467</v>
      </c>
      <c r="C435" s="298"/>
      <c r="D435" s="283"/>
      <c r="E435" s="262"/>
      <c r="F435" s="295"/>
      <c r="G435" s="196">
        <f t="shared" si="33"/>
        <v>0</v>
      </c>
      <c r="H435" s="197">
        <f t="shared" si="34"/>
        <v>0</v>
      </c>
      <c r="I435" s="169">
        <f t="shared" si="35"/>
        <v>0</v>
      </c>
      <c r="J435" s="198">
        <f t="shared" si="36"/>
        <v>0</v>
      </c>
      <c r="K435" s="173">
        <f t="shared" si="37"/>
        <v>0</v>
      </c>
      <c r="L435" s="263"/>
      <c r="M435" s="262"/>
    </row>
    <row r="436" spans="1:13" s="289" customFormat="1" x14ac:dyDescent="0.2">
      <c r="A436" s="330"/>
      <c r="B436" s="335" t="s">
        <v>468</v>
      </c>
      <c r="C436" s="298"/>
      <c r="D436" s="283"/>
      <c r="E436" s="262"/>
      <c r="F436" s="295"/>
      <c r="G436" s="196">
        <f t="shared" si="33"/>
        <v>0</v>
      </c>
      <c r="H436" s="197">
        <f t="shared" si="34"/>
        <v>0</v>
      </c>
      <c r="I436" s="169">
        <f t="shared" si="35"/>
        <v>0</v>
      </c>
      <c r="J436" s="198">
        <f t="shared" si="36"/>
        <v>0</v>
      </c>
      <c r="K436" s="173">
        <f t="shared" si="37"/>
        <v>0</v>
      </c>
      <c r="L436" s="263"/>
      <c r="M436" s="262"/>
    </row>
    <row r="437" spans="1:13" s="289" customFormat="1" x14ac:dyDescent="0.2">
      <c r="A437" s="330"/>
      <c r="B437" s="335" t="s">
        <v>520</v>
      </c>
      <c r="C437" s="298"/>
      <c r="D437" s="283"/>
      <c r="E437" s="262"/>
      <c r="F437" s="295"/>
      <c r="G437" s="196">
        <f t="shared" si="33"/>
        <v>0</v>
      </c>
      <c r="H437" s="197">
        <f t="shared" si="34"/>
        <v>0</v>
      </c>
      <c r="I437" s="169">
        <f t="shared" si="35"/>
        <v>0</v>
      </c>
      <c r="J437" s="198">
        <f t="shared" si="36"/>
        <v>0</v>
      </c>
      <c r="K437" s="173">
        <f t="shared" si="37"/>
        <v>0</v>
      </c>
      <c r="L437" s="263"/>
      <c r="M437" s="262"/>
    </row>
    <row r="438" spans="1:13" s="289" customFormat="1" x14ac:dyDescent="0.2">
      <c r="A438" s="330"/>
      <c r="B438" s="335" t="s">
        <v>470</v>
      </c>
      <c r="C438" s="298"/>
      <c r="D438" s="283"/>
      <c r="E438" s="262"/>
      <c r="F438" s="295"/>
      <c r="G438" s="196">
        <f t="shared" si="33"/>
        <v>0</v>
      </c>
      <c r="H438" s="197">
        <f t="shared" si="34"/>
        <v>0</v>
      </c>
      <c r="I438" s="169">
        <f t="shared" si="35"/>
        <v>0</v>
      </c>
      <c r="J438" s="198">
        <f t="shared" si="36"/>
        <v>0</v>
      </c>
      <c r="K438" s="173">
        <f t="shared" si="37"/>
        <v>0</v>
      </c>
      <c r="L438" s="263"/>
      <c r="M438" s="262"/>
    </row>
    <row r="439" spans="1:13" s="289" customFormat="1" x14ac:dyDescent="0.2">
      <c r="A439" s="330"/>
      <c r="B439" s="335" t="s">
        <v>521</v>
      </c>
      <c r="C439" s="298"/>
      <c r="D439" s="283"/>
      <c r="E439" s="262"/>
      <c r="F439" s="295"/>
      <c r="G439" s="196">
        <f t="shared" si="33"/>
        <v>0</v>
      </c>
      <c r="H439" s="197">
        <f t="shared" si="34"/>
        <v>0</v>
      </c>
      <c r="I439" s="169">
        <f t="shared" si="35"/>
        <v>0</v>
      </c>
      <c r="J439" s="198">
        <f t="shared" si="36"/>
        <v>0</v>
      </c>
      <c r="K439" s="173">
        <f t="shared" si="37"/>
        <v>0</v>
      </c>
      <c r="L439" s="263"/>
      <c r="M439" s="262"/>
    </row>
    <row r="440" spans="1:13" s="289" customFormat="1" x14ac:dyDescent="0.2">
      <c r="A440" s="330"/>
      <c r="B440" s="334" t="s">
        <v>472</v>
      </c>
      <c r="C440" s="298"/>
      <c r="D440" s="283"/>
      <c r="E440" s="262"/>
      <c r="F440" s="295"/>
      <c r="G440" s="196">
        <f t="shared" si="33"/>
        <v>0</v>
      </c>
      <c r="H440" s="197">
        <f t="shared" si="34"/>
        <v>0</v>
      </c>
      <c r="I440" s="169">
        <f t="shared" si="35"/>
        <v>0</v>
      </c>
      <c r="J440" s="198">
        <f t="shared" si="36"/>
        <v>0</v>
      </c>
      <c r="K440" s="173">
        <f t="shared" si="37"/>
        <v>0</v>
      </c>
      <c r="L440" s="263"/>
      <c r="M440" s="262"/>
    </row>
    <row r="441" spans="1:13" s="289" customFormat="1" x14ac:dyDescent="0.2">
      <c r="A441" s="330"/>
      <c r="B441" s="335" t="s">
        <v>522</v>
      </c>
      <c r="C441" s="298"/>
      <c r="D441" s="283"/>
      <c r="E441" s="294"/>
      <c r="F441" s="295"/>
      <c r="G441" s="196">
        <f t="shared" si="33"/>
        <v>0</v>
      </c>
      <c r="H441" s="197">
        <f t="shared" si="34"/>
        <v>0</v>
      </c>
      <c r="I441" s="169">
        <f t="shared" si="35"/>
        <v>0</v>
      </c>
      <c r="J441" s="198">
        <f t="shared" si="36"/>
        <v>0</v>
      </c>
      <c r="K441" s="173">
        <f t="shared" si="37"/>
        <v>0</v>
      </c>
      <c r="L441" s="296"/>
      <c r="M441" s="294"/>
    </row>
    <row r="442" spans="1:13" s="289" customFormat="1" x14ac:dyDescent="0.2">
      <c r="A442" s="330"/>
      <c r="B442" s="335" t="s">
        <v>523</v>
      </c>
      <c r="C442" s="283">
        <v>1</v>
      </c>
      <c r="D442" s="283" t="s">
        <v>113</v>
      </c>
      <c r="E442" s="294">
        <v>80000</v>
      </c>
      <c r="F442" s="295">
        <f>ROUND($C442*E442,0)</f>
        <v>80000</v>
      </c>
      <c r="G442" s="196">
        <f t="shared" si="33"/>
        <v>6400</v>
      </c>
      <c r="H442" s="197">
        <f t="shared" si="34"/>
        <v>3200</v>
      </c>
      <c r="I442" s="169">
        <f t="shared" si="35"/>
        <v>54400</v>
      </c>
      <c r="J442" s="198">
        <f t="shared" si="36"/>
        <v>16000</v>
      </c>
      <c r="K442" s="173">
        <f t="shared" si="37"/>
        <v>80000</v>
      </c>
      <c r="L442" s="296"/>
      <c r="M442" s="294"/>
    </row>
    <row r="443" spans="1:13" s="289" customFormat="1" x14ac:dyDescent="0.2">
      <c r="A443" s="330"/>
      <c r="B443" s="334"/>
      <c r="C443" s="298"/>
      <c r="D443" s="283"/>
      <c r="E443" s="262"/>
      <c r="F443" s="295"/>
      <c r="G443" s="196">
        <f t="shared" si="33"/>
        <v>0</v>
      </c>
      <c r="H443" s="197">
        <f t="shared" si="34"/>
        <v>0</v>
      </c>
      <c r="I443" s="169">
        <f t="shared" si="35"/>
        <v>0</v>
      </c>
      <c r="J443" s="198">
        <f t="shared" si="36"/>
        <v>0</v>
      </c>
      <c r="K443" s="173">
        <f t="shared" si="37"/>
        <v>0</v>
      </c>
      <c r="L443" s="263"/>
      <c r="M443" s="262"/>
    </row>
    <row r="444" spans="1:13" s="289" customFormat="1" ht="15" x14ac:dyDescent="0.2">
      <c r="A444" s="330"/>
      <c r="B444" s="333" t="s">
        <v>524</v>
      </c>
      <c r="C444" s="298"/>
      <c r="D444" s="283"/>
      <c r="E444" s="262"/>
      <c r="F444" s="295"/>
      <c r="G444" s="196">
        <f t="shared" si="33"/>
        <v>0</v>
      </c>
      <c r="H444" s="197">
        <f t="shared" si="34"/>
        <v>0</v>
      </c>
      <c r="I444" s="169">
        <f t="shared" si="35"/>
        <v>0</v>
      </c>
      <c r="J444" s="198">
        <f t="shared" si="36"/>
        <v>0</v>
      </c>
      <c r="K444" s="173">
        <f t="shared" si="37"/>
        <v>0</v>
      </c>
      <c r="L444" s="263"/>
      <c r="M444" s="262"/>
    </row>
    <row r="445" spans="1:13" s="289" customFormat="1" x14ac:dyDescent="0.2">
      <c r="A445" s="330"/>
      <c r="B445" s="334" t="s">
        <v>462</v>
      </c>
      <c r="C445" s="298"/>
      <c r="D445" s="283"/>
      <c r="E445" s="262"/>
      <c r="F445" s="295"/>
      <c r="G445" s="196">
        <f t="shared" si="33"/>
        <v>0</v>
      </c>
      <c r="H445" s="197">
        <f t="shared" si="34"/>
        <v>0</v>
      </c>
      <c r="I445" s="169">
        <f t="shared" si="35"/>
        <v>0</v>
      </c>
      <c r="J445" s="198">
        <f t="shared" si="36"/>
        <v>0</v>
      </c>
      <c r="K445" s="173">
        <f t="shared" si="37"/>
        <v>0</v>
      </c>
      <c r="L445" s="263"/>
      <c r="M445" s="262"/>
    </row>
    <row r="446" spans="1:13" s="289" customFormat="1" x14ac:dyDescent="0.2">
      <c r="A446" s="330" t="s">
        <v>525</v>
      </c>
      <c r="B446" s="335" t="s">
        <v>526</v>
      </c>
      <c r="C446" s="298"/>
      <c r="D446" s="283"/>
      <c r="E446" s="262"/>
      <c r="F446" s="295"/>
      <c r="G446" s="196">
        <f t="shared" si="33"/>
        <v>0</v>
      </c>
      <c r="H446" s="197">
        <f t="shared" si="34"/>
        <v>0</v>
      </c>
      <c r="I446" s="169">
        <f t="shared" si="35"/>
        <v>0</v>
      </c>
      <c r="J446" s="198">
        <f t="shared" si="36"/>
        <v>0</v>
      </c>
      <c r="K446" s="173">
        <f t="shared" si="37"/>
        <v>0</v>
      </c>
      <c r="L446" s="263"/>
      <c r="M446" s="262"/>
    </row>
    <row r="447" spans="1:13" s="289" customFormat="1" x14ac:dyDescent="0.2">
      <c r="A447" s="330"/>
      <c r="B447" s="335" t="s">
        <v>527</v>
      </c>
      <c r="C447" s="298"/>
      <c r="D447" s="283"/>
      <c r="E447" s="262"/>
      <c r="F447" s="295"/>
      <c r="G447" s="196">
        <f t="shared" si="33"/>
        <v>0</v>
      </c>
      <c r="H447" s="197">
        <f t="shared" si="34"/>
        <v>0</v>
      </c>
      <c r="I447" s="169">
        <f t="shared" si="35"/>
        <v>0</v>
      </c>
      <c r="J447" s="198">
        <f t="shared" si="36"/>
        <v>0</v>
      </c>
      <c r="K447" s="173">
        <f t="shared" si="37"/>
        <v>0</v>
      </c>
      <c r="L447" s="263"/>
      <c r="M447" s="262"/>
    </row>
    <row r="448" spans="1:13" s="289" customFormat="1" x14ac:dyDescent="0.2">
      <c r="A448" s="330"/>
      <c r="B448" s="335" t="s">
        <v>466</v>
      </c>
      <c r="C448" s="298"/>
      <c r="D448" s="283"/>
      <c r="E448" s="262"/>
      <c r="F448" s="295"/>
      <c r="G448" s="196">
        <f t="shared" si="33"/>
        <v>0</v>
      </c>
      <c r="H448" s="197">
        <f t="shared" si="34"/>
        <v>0</v>
      </c>
      <c r="I448" s="169">
        <f t="shared" si="35"/>
        <v>0</v>
      </c>
      <c r="J448" s="198">
        <f t="shared" si="36"/>
        <v>0</v>
      </c>
      <c r="K448" s="173">
        <f t="shared" si="37"/>
        <v>0</v>
      </c>
      <c r="L448" s="263"/>
      <c r="M448" s="262"/>
    </row>
    <row r="449" spans="1:13" s="289" customFormat="1" x14ac:dyDescent="0.2">
      <c r="A449" s="330"/>
      <c r="B449" s="335" t="s">
        <v>467</v>
      </c>
      <c r="C449" s="298"/>
      <c r="D449" s="283"/>
      <c r="E449" s="262"/>
      <c r="F449" s="295"/>
      <c r="G449" s="196">
        <f t="shared" si="33"/>
        <v>0</v>
      </c>
      <c r="H449" s="197">
        <f t="shared" si="34"/>
        <v>0</v>
      </c>
      <c r="I449" s="169">
        <f t="shared" si="35"/>
        <v>0</v>
      </c>
      <c r="J449" s="198">
        <f t="shared" si="36"/>
        <v>0</v>
      </c>
      <c r="K449" s="173">
        <f t="shared" si="37"/>
        <v>0</v>
      </c>
      <c r="L449" s="263"/>
      <c r="M449" s="262"/>
    </row>
    <row r="450" spans="1:13" s="289" customFormat="1" x14ac:dyDescent="0.2">
      <c r="A450" s="330"/>
      <c r="B450" s="335" t="s">
        <v>468</v>
      </c>
      <c r="C450" s="298"/>
      <c r="D450" s="283"/>
      <c r="E450" s="262"/>
      <c r="F450" s="295"/>
      <c r="G450" s="196">
        <f t="shared" si="33"/>
        <v>0</v>
      </c>
      <c r="H450" s="197">
        <f t="shared" si="34"/>
        <v>0</v>
      </c>
      <c r="I450" s="169">
        <f t="shared" si="35"/>
        <v>0</v>
      </c>
      <c r="J450" s="198">
        <f t="shared" si="36"/>
        <v>0</v>
      </c>
      <c r="K450" s="173">
        <f t="shared" si="37"/>
        <v>0</v>
      </c>
      <c r="L450" s="263"/>
      <c r="M450" s="262"/>
    </row>
    <row r="451" spans="1:13" s="289" customFormat="1" x14ac:dyDescent="0.2">
      <c r="A451" s="330"/>
      <c r="B451" s="335" t="s">
        <v>528</v>
      </c>
      <c r="C451" s="298"/>
      <c r="D451" s="283"/>
      <c r="E451" s="262"/>
      <c r="F451" s="295"/>
      <c r="G451" s="196">
        <f t="shared" si="33"/>
        <v>0</v>
      </c>
      <c r="H451" s="197">
        <f t="shared" si="34"/>
        <v>0</v>
      </c>
      <c r="I451" s="169">
        <f t="shared" si="35"/>
        <v>0</v>
      </c>
      <c r="J451" s="198">
        <f t="shared" si="36"/>
        <v>0</v>
      </c>
      <c r="K451" s="173">
        <f t="shared" si="37"/>
        <v>0</v>
      </c>
      <c r="L451" s="263"/>
      <c r="M451" s="262"/>
    </row>
    <row r="452" spans="1:13" s="289" customFormat="1" x14ac:dyDescent="0.2">
      <c r="A452" s="330"/>
      <c r="B452" s="335" t="s">
        <v>470</v>
      </c>
      <c r="C452" s="298"/>
      <c r="D452" s="283"/>
      <c r="E452" s="262"/>
      <c r="F452" s="295"/>
      <c r="G452" s="196">
        <f t="shared" si="33"/>
        <v>0</v>
      </c>
      <c r="H452" s="197">
        <f t="shared" si="34"/>
        <v>0</v>
      </c>
      <c r="I452" s="169">
        <f t="shared" si="35"/>
        <v>0</v>
      </c>
      <c r="J452" s="198">
        <f t="shared" si="36"/>
        <v>0</v>
      </c>
      <c r="K452" s="173">
        <f t="shared" si="37"/>
        <v>0</v>
      </c>
      <c r="L452" s="263"/>
      <c r="M452" s="262"/>
    </row>
    <row r="453" spans="1:13" s="289" customFormat="1" x14ac:dyDescent="0.2">
      <c r="A453" s="330"/>
      <c r="B453" s="335" t="s">
        <v>529</v>
      </c>
      <c r="C453" s="298"/>
      <c r="D453" s="283"/>
      <c r="E453" s="262"/>
      <c r="F453" s="295"/>
      <c r="G453" s="196">
        <f t="shared" si="33"/>
        <v>0</v>
      </c>
      <c r="H453" s="197">
        <f t="shared" si="34"/>
        <v>0</v>
      </c>
      <c r="I453" s="169">
        <f t="shared" si="35"/>
        <v>0</v>
      </c>
      <c r="J453" s="198">
        <f t="shared" si="36"/>
        <v>0</v>
      </c>
      <c r="K453" s="173">
        <f t="shared" si="37"/>
        <v>0</v>
      </c>
      <c r="L453" s="263"/>
      <c r="M453" s="262"/>
    </row>
    <row r="454" spans="1:13" s="289" customFormat="1" x14ac:dyDescent="0.2">
      <c r="A454" s="330"/>
      <c r="B454" s="334" t="s">
        <v>472</v>
      </c>
      <c r="C454" s="298"/>
      <c r="D454" s="283"/>
      <c r="E454" s="262"/>
      <c r="F454" s="295"/>
      <c r="G454" s="196">
        <f t="shared" si="33"/>
        <v>0</v>
      </c>
      <c r="H454" s="197">
        <f t="shared" si="34"/>
        <v>0</v>
      </c>
      <c r="I454" s="169">
        <f t="shared" si="35"/>
        <v>0</v>
      </c>
      <c r="J454" s="198">
        <f t="shared" si="36"/>
        <v>0</v>
      </c>
      <c r="K454" s="173">
        <f t="shared" si="37"/>
        <v>0</v>
      </c>
      <c r="L454" s="263"/>
      <c r="M454" s="262"/>
    </row>
    <row r="455" spans="1:13" s="289" customFormat="1" x14ac:dyDescent="0.2">
      <c r="A455" s="330"/>
      <c r="B455" s="335" t="s">
        <v>530</v>
      </c>
      <c r="C455" s="298"/>
      <c r="D455" s="283"/>
      <c r="E455" s="294"/>
      <c r="F455" s="295"/>
      <c r="G455" s="196">
        <f t="shared" si="33"/>
        <v>0</v>
      </c>
      <c r="H455" s="197">
        <f t="shared" si="34"/>
        <v>0</v>
      </c>
      <c r="I455" s="169">
        <f t="shared" si="35"/>
        <v>0</v>
      </c>
      <c r="J455" s="198">
        <f t="shared" si="36"/>
        <v>0</v>
      </c>
      <c r="K455" s="173">
        <f t="shared" si="37"/>
        <v>0</v>
      </c>
      <c r="L455" s="296"/>
      <c r="M455" s="294"/>
    </row>
    <row r="456" spans="1:13" s="289" customFormat="1" x14ac:dyDescent="0.2">
      <c r="A456" s="330"/>
      <c r="B456" s="335" t="s">
        <v>531</v>
      </c>
      <c r="C456" s="283">
        <v>1</v>
      </c>
      <c r="D456" s="283" t="s">
        <v>113</v>
      </c>
      <c r="E456" s="294">
        <v>96000</v>
      </c>
      <c r="F456" s="295">
        <f>ROUND($C456*E456,0)</f>
        <v>96000</v>
      </c>
      <c r="G456" s="196">
        <f t="shared" si="33"/>
        <v>7680</v>
      </c>
      <c r="H456" s="197">
        <f t="shared" si="34"/>
        <v>3840</v>
      </c>
      <c r="I456" s="169">
        <f t="shared" si="35"/>
        <v>65280</v>
      </c>
      <c r="J456" s="198">
        <f t="shared" si="36"/>
        <v>19200</v>
      </c>
      <c r="K456" s="173">
        <f t="shared" si="37"/>
        <v>96000</v>
      </c>
      <c r="L456" s="296"/>
      <c r="M456" s="294"/>
    </row>
    <row r="457" spans="1:13" s="289" customFormat="1" x14ac:dyDescent="0.2">
      <c r="A457" s="330"/>
      <c r="B457" s="334"/>
      <c r="C457" s="298"/>
      <c r="D457" s="283"/>
      <c r="E457" s="262"/>
      <c r="F457" s="295"/>
      <c r="G457" s="196">
        <f t="shared" si="33"/>
        <v>0</v>
      </c>
      <c r="H457" s="197">
        <f t="shared" si="34"/>
        <v>0</v>
      </c>
      <c r="I457" s="169">
        <f t="shared" si="35"/>
        <v>0</v>
      </c>
      <c r="J457" s="198">
        <f t="shared" si="36"/>
        <v>0</v>
      </c>
      <c r="K457" s="173">
        <f t="shared" si="37"/>
        <v>0</v>
      </c>
      <c r="L457" s="263"/>
      <c r="M457" s="262"/>
    </row>
    <row r="458" spans="1:13" s="289" customFormat="1" ht="15" x14ac:dyDescent="0.2">
      <c r="A458" s="330"/>
      <c r="B458" s="333" t="s">
        <v>532</v>
      </c>
      <c r="C458" s="298"/>
      <c r="D458" s="283"/>
      <c r="E458" s="262"/>
      <c r="F458" s="295"/>
      <c r="G458" s="196">
        <f t="shared" si="33"/>
        <v>0</v>
      </c>
      <c r="H458" s="197">
        <f t="shared" si="34"/>
        <v>0</v>
      </c>
      <c r="I458" s="169">
        <f t="shared" si="35"/>
        <v>0</v>
      </c>
      <c r="J458" s="198">
        <f t="shared" si="36"/>
        <v>0</v>
      </c>
      <c r="K458" s="173">
        <f t="shared" si="37"/>
        <v>0</v>
      </c>
      <c r="L458" s="263"/>
      <c r="M458" s="262"/>
    </row>
    <row r="459" spans="1:13" s="289" customFormat="1" x14ac:dyDescent="0.2">
      <c r="A459" s="330"/>
      <c r="B459" s="334" t="s">
        <v>462</v>
      </c>
      <c r="C459" s="298"/>
      <c r="D459" s="283"/>
      <c r="E459" s="262"/>
      <c r="F459" s="295"/>
      <c r="G459" s="196">
        <f t="shared" si="33"/>
        <v>0</v>
      </c>
      <c r="H459" s="197">
        <f t="shared" si="34"/>
        <v>0</v>
      </c>
      <c r="I459" s="169">
        <f t="shared" si="35"/>
        <v>0</v>
      </c>
      <c r="J459" s="198">
        <f t="shared" si="36"/>
        <v>0</v>
      </c>
      <c r="K459" s="173">
        <f t="shared" si="37"/>
        <v>0</v>
      </c>
      <c r="L459" s="263"/>
      <c r="M459" s="262"/>
    </row>
    <row r="460" spans="1:13" s="289" customFormat="1" x14ac:dyDescent="0.2">
      <c r="A460" s="330" t="s">
        <v>533</v>
      </c>
      <c r="B460" s="335" t="s">
        <v>534</v>
      </c>
      <c r="C460" s="298"/>
      <c r="D460" s="283"/>
      <c r="E460" s="262"/>
      <c r="F460" s="295"/>
      <c r="G460" s="196">
        <f t="shared" si="33"/>
        <v>0</v>
      </c>
      <c r="H460" s="197">
        <f t="shared" si="34"/>
        <v>0</v>
      </c>
      <c r="I460" s="169">
        <f t="shared" si="35"/>
        <v>0</v>
      </c>
      <c r="J460" s="198">
        <f t="shared" si="36"/>
        <v>0</v>
      </c>
      <c r="K460" s="173">
        <f t="shared" si="37"/>
        <v>0</v>
      </c>
      <c r="L460" s="263"/>
      <c r="M460" s="262"/>
    </row>
    <row r="461" spans="1:13" s="289" customFormat="1" x14ac:dyDescent="0.2">
      <c r="A461" s="330"/>
      <c r="B461" s="335" t="s">
        <v>535</v>
      </c>
      <c r="C461" s="298"/>
      <c r="D461" s="283"/>
      <c r="E461" s="262"/>
      <c r="F461" s="295"/>
      <c r="G461" s="196">
        <f t="shared" si="33"/>
        <v>0</v>
      </c>
      <c r="H461" s="197">
        <f t="shared" si="34"/>
        <v>0</v>
      </c>
      <c r="I461" s="169">
        <f t="shared" si="35"/>
        <v>0</v>
      </c>
      <c r="J461" s="198">
        <f t="shared" si="36"/>
        <v>0</v>
      </c>
      <c r="K461" s="173">
        <f t="shared" si="37"/>
        <v>0</v>
      </c>
      <c r="L461" s="263"/>
      <c r="M461" s="262"/>
    </row>
    <row r="462" spans="1:13" s="289" customFormat="1" x14ac:dyDescent="0.2">
      <c r="A462" s="330"/>
      <c r="B462" s="335" t="s">
        <v>466</v>
      </c>
      <c r="C462" s="298"/>
      <c r="D462" s="283"/>
      <c r="E462" s="262"/>
      <c r="F462" s="295"/>
      <c r="G462" s="196">
        <f t="shared" ref="G462:G525" si="38">IFERROR((ROUND(E462/1.25*10%,2)),0)</f>
        <v>0</v>
      </c>
      <c r="H462" s="197">
        <f t="shared" ref="H462:H525" si="39">IFERROR((ROUND(E462/1.25*5%,2)),0)</f>
        <v>0</v>
      </c>
      <c r="I462" s="169">
        <f t="shared" ref="I462:I525" si="40">IFERROR((ROUND(E462/1.25*85%,2)),0)</f>
        <v>0</v>
      </c>
      <c r="J462" s="198">
        <f t="shared" ref="J462:J525" si="41">IFERROR((ROUND(E462-(E462/1.25),2)),0)</f>
        <v>0</v>
      </c>
      <c r="K462" s="173">
        <f t="shared" ref="K462:K525" si="42">SUM(G462:J462)</f>
        <v>0</v>
      </c>
      <c r="L462" s="263"/>
      <c r="M462" s="262"/>
    </row>
    <row r="463" spans="1:13" s="289" customFormat="1" x14ac:dyDescent="0.2">
      <c r="A463" s="330"/>
      <c r="B463" s="335" t="s">
        <v>467</v>
      </c>
      <c r="C463" s="298"/>
      <c r="D463" s="283"/>
      <c r="E463" s="262"/>
      <c r="F463" s="295"/>
      <c r="G463" s="196">
        <f t="shared" si="38"/>
        <v>0</v>
      </c>
      <c r="H463" s="197">
        <f t="shared" si="39"/>
        <v>0</v>
      </c>
      <c r="I463" s="169">
        <f t="shared" si="40"/>
        <v>0</v>
      </c>
      <c r="J463" s="198">
        <f t="shared" si="41"/>
        <v>0</v>
      </c>
      <c r="K463" s="173">
        <f t="shared" si="42"/>
        <v>0</v>
      </c>
      <c r="L463" s="263"/>
      <c r="M463" s="262"/>
    </row>
    <row r="464" spans="1:13" s="289" customFormat="1" x14ac:dyDescent="0.2">
      <c r="A464" s="330"/>
      <c r="B464" s="335" t="s">
        <v>468</v>
      </c>
      <c r="C464" s="298"/>
      <c r="D464" s="283"/>
      <c r="E464" s="262"/>
      <c r="F464" s="295"/>
      <c r="G464" s="196">
        <f t="shared" si="38"/>
        <v>0</v>
      </c>
      <c r="H464" s="197">
        <f t="shared" si="39"/>
        <v>0</v>
      </c>
      <c r="I464" s="169">
        <f t="shared" si="40"/>
        <v>0</v>
      </c>
      <c r="J464" s="198">
        <f t="shared" si="41"/>
        <v>0</v>
      </c>
      <c r="K464" s="173">
        <f t="shared" si="42"/>
        <v>0</v>
      </c>
      <c r="L464" s="263"/>
      <c r="M464" s="262"/>
    </row>
    <row r="465" spans="1:13" s="289" customFormat="1" x14ac:dyDescent="0.2">
      <c r="A465" s="330"/>
      <c r="B465" s="335" t="s">
        <v>536</v>
      </c>
      <c r="C465" s="298"/>
      <c r="D465" s="283"/>
      <c r="E465" s="262"/>
      <c r="F465" s="295"/>
      <c r="G465" s="196">
        <f t="shared" si="38"/>
        <v>0</v>
      </c>
      <c r="H465" s="197">
        <f t="shared" si="39"/>
        <v>0</v>
      </c>
      <c r="I465" s="169">
        <f t="shared" si="40"/>
        <v>0</v>
      </c>
      <c r="J465" s="198">
        <f t="shared" si="41"/>
        <v>0</v>
      </c>
      <c r="K465" s="173">
        <f t="shared" si="42"/>
        <v>0</v>
      </c>
      <c r="L465" s="263"/>
      <c r="M465" s="262"/>
    </row>
    <row r="466" spans="1:13" s="289" customFormat="1" x14ac:dyDescent="0.2">
      <c r="A466" s="336"/>
      <c r="B466" s="337" t="s">
        <v>470</v>
      </c>
      <c r="C466" s="338"/>
      <c r="D466" s="301"/>
      <c r="E466" s="267"/>
      <c r="F466" s="303"/>
      <c r="G466" s="196">
        <f t="shared" si="38"/>
        <v>0</v>
      </c>
      <c r="H466" s="197">
        <f t="shared" si="39"/>
        <v>0</v>
      </c>
      <c r="I466" s="169">
        <f t="shared" si="40"/>
        <v>0</v>
      </c>
      <c r="J466" s="198">
        <f t="shared" si="41"/>
        <v>0</v>
      </c>
      <c r="K466" s="173">
        <f t="shared" si="42"/>
        <v>0</v>
      </c>
      <c r="L466" s="268"/>
      <c r="M466" s="267"/>
    </row>
    <row r="467" spans="1:13" s="289" customFormat="1" x14ac:dyDescent="0.2">
      <c r="A467" s="340"/>
      <c r="B467" s="341" t="s">
        <v>537</v>
      </c>
      <c r="C467" s="314"/>
      <c r="D467" s="307"/>
      <c r="E467" s="269"/>
      <c r="F467" s="309"/>
      <c r="G467" s="196">
        <f t="shared" si="38"/>
        <v>0</v>
      </c>
      <c r="H467" s="197">
        <f t="shared" si="39"/>
        <v>0</v>
      </c>
      <c r="I467" s="169">
        <f t="shared" si="40"/>
        <v>0</v>
      </c>
      <c r="J467" s="198">
        <f t="shared" si="41"/>
        <v>0</v>
      </c>
      <c r="K467" s="173">
        <f t="shared" si="42"/>
        <v>0</v>
      </c>
      <c r="L467" s="270"/>
      <c r="M467" s="269"/>
    </row>
    <row r="468" spans="1:13" s="289" customFormat="1" x14ac:dyDescent="0.2">
      <c r="A468" s="330"/>
      <c r="B468" s="334" t="s">
        <v>472</v>
      </c>
      <c r="C468" s="298"/>
      <c r="D468" s="283"/>
      <c r="E468" s="262"/>
      <c r="F468" s="295"/>
      <c r="G468" s="196">
        <f t="shared" si="38"/>
        <v>0</v>
      </c>
      <c r="H468" s="197">
        <f t="shared" si="39"/>
        <v>0</v>
      </c>
      <c r="I468" s="169">
        <f t="shared" si="40"/>
        <v>0</v>
      </c>
      <c r="J468" s="198">
        <f t="shared" si="41"/>
        <v>0</v>
      </c>
      <c r="K468" s="173">
        <f t="shared" si="42"/>
        <v>0</v>
      </c>
      <c r="L468" s="263"/>
      <c r="M468" s="262"/>
    </row>
    <row r="469" spans="1:13" s="289" customFormat="1" x14ac:dyDescent="0.2">
      <c r="A469" s="330"/>
      <c r="B469" s="335" t="s">
        <v>522</v>
      </c>
      <c r="C469" s="298"/>
      <c r="D469" s="283"/>
      <c r="E469" s="262"/>
      <c r="F469" s="295"/>
      <c r="G469" s="196">
        <f t="shared" si="38"/>
        <v>0</v>
      </c>
      <c r="H469" s="197">
        <f t="shared" si="39"/>
        <v>0</v>
      </c>
      <c r="I469" s="169">
        <f t="shared" si="40"/>
        <v>0</v>
      </c>
      <c r="J469" s="198">
        <f t="shared" si="41"/>
        <v>0</v>
      </c>
      <c r="K469" s="173">
        <f t="shared" si="42"/>
        <v>0</v>
      </c>
      <c r="L469" s="263"/>
      <c r="M469" s="262"/>
    </row>
    <row r="470" spans="1:13" s="289" customFormat="1" x14ac:dyDescent="0.2">
      <c r="A470" s="330"/>
      <c r="B470" s="335" t="s">
        <v>516</v>
      </c>
      <c r="C470" s="298"/>
      <c r="D470" s="283"/>
      <c r="E470" s="294"/>
      <c r="F470" s="295"/>
      <c r="G470" s="196">
        <f t="shared" si="38"/>
        <v>0</v>
      </c>
      <c r="H470" s="197">
        <f t="shared" si="39"/>
        <v>0</v>
      </c>
      <c r="I470" s="169">
        <f t="shared" si="40"/>
        <v>0</v>
      </c>
      <c r="J470" s="198">
        <f t="shared" si="41"/>
        <v>0</v>
      </c>
      <c r="K470" s="173">
        <f t="shared" si="42"/>
        <v>0</v>
      </c>
      <c r="L470" s="296"/>
      <c r="M470" s="294"/>
    </row>
    <row r="471" spans="1:13" s="289" customFormat="1" x14ac:dyDescent="0.2">
      <c r="A471" s="330"/>
      <c r="B471" s="335" t="s">
        <v>523</v>
      </c>
      <c r="C471" s="283">
        <v>1</v>
      </c>
      <c r="D471" s="283" t="s">
        <v>113</v>
      </c>
      <c r="E471" s="294">
        <v>85000</v>
      </c>
      <c r="F471" s="295">
        <f>ROUND($C471*E471,0)</f>
        <v>85000</v>
      </c>
      <c r="G471" s="196">
        <f t="shared" si="38"/>
        <v>6800</v>
      </c>
      <c r="H471" s="197">
        <f t="shared" si="39"/>
        <v>3400</v>
      </c>
      <c r="I471" s="169">
        <f t="shared" si="40"/>
        <v>57800</v>
      </c>
      <c r="J471" s="198">
        <f t="shared" si="41"/>
        <v>17000</v>
      </c>
      <c r="K471" s="173">
        <f t="shared" si="42"/>
        <v>85000</v>
      </c>
      <c r="L471" s="296"/>
      <c r="M471" s="294"/>
    </row>
    <row r="472" spans="1:13" s="289" customFormat="1" x14ac:dyDescent="0.2">
      <c r="A472" s="330"/>
      <c r="B472" s="334"/>
      <c r="C472" s="298"/>
      <c r="D472" s="283"/>
      <c r="E472" s="262"/>
      <c r="F472" s="295"/>
      <c r="G472" s="196">
        <f t="shared" si="38"/>
        <v>0</v>
      </c>
      <c r="H472" s="197">
        <f t="shared" si="39"/>
        <v>0</v>
      </c>
      <c r="I472" s="169">
        <f t="shared" si="40"/>
        <v>0</v>
      </c>
      <c r="J472" s="198">
        <f t="shared" si="41"/>
        <v>0</v>
      </c>
      <c r="K472" s="173">
        <f t="shared" si="42"/>
        <v>0</v>
      </c>
      <c r="L472" s="263"/>
      <c r="M472" s="262"/>
    </row>
    <row r="473" spans="1:13" s="289" customFormat="1" ht="15" x14ac:dyDescent="0.2">
      <c r="A473" s="330"/>
      <c r="B473" s="333" t="s">
        <v>538</v>
      </c>
      <c r="C473" s="298"/>
      <c r="D473" s="283"/>
      <c r="E473" s="262"/>
      <c r="F473" s="295"/>
      <c r="G473" s="196">
        <f t="shared" si="38"/>
        <v>0</v>
      </c>
      <c r="H473" s="197">
        <f t="shared" si="39"/>
        <v>0</v>
      </c>
      <c r="I473" s="169">
        <f t="shared" si="40"/>
        <v>0</v>
      </c>
      <c r="J473" s="198">
        <f t="shared" si="41"/>
        <v>0</v>
      </c>
      <c r="K473" s="173">
        <f t="shared" si="42"/>
        <v>0</v>
      </c>
      <c r="L473" s="263"/>
      <c r="M473" s="262"/>
    </row>
    <row r="474" spans="1:13" s="289" customFormat="1" x14ac:dyDescent="0.2">
      <c r="A474" s="330"/>
      <c r="B474" s="334" t="s">
        <v>462</v>
      </c>
      <c r="C474" s="298"/>
      <c r="D474" s="283"/>
      <c r="E474" s="262"/>
      <c r="F474" s="295"/>
      <c r="G474" s="196">
        <f t="shared" si="38"/>
        <v>0</v>
      </c>
      <c r="H474" s="197">
        <f t="shared" si="39"/>
        <v>0</v>
      </c>
      <c r="I474" s="169">
        <f t="shared" si="40"/>
        <v>0</v>
      </c>
      <c r="J474" s="198">
        <f t="shared" si="41"/>
        <v>0</v>
      </c>
      <c r="K474" s="173">
        <f t="shared" si="42"/>
        <v>0</v>
      </c>
      <c r="L474" s="263"/>
      <c r="M474" s="262"/>
    </row>
    <row r="475" spans="1:13" s="289" customFormat="1" x14ac:dyDescent="0.2">
      <c r="A475" s="330" t="s">
        <v>539</v>
      </c>
      <c r="B475" s="335" t="s">
        <v>519</v>
      </c>
      <c r="C475" s="298"/>
      <c r="D475" s="283"/>
      <c r="E475" s="262"/>
      <c r="F475" s="295"/>
      <c r="G475" s="196">
        <f t="shared" si="38"/>
        <v>0</v>
      </c>
      <c r="H475" s="197">
        <f t="shared" si="39"/>
        <v>0</v>
      </c>
      <c r="I475" s="169">
        <f t="shared" si="40"/>
        <v>0</v>
      </c>
      <c r="J475" s="198">
        <f t="shared" si="41"/>
        <v>0</v>
      </c>
      <c r="K475" s="173">
        <f t="shared" si="42"/>
        <v>0</v>
      </c>
      <c r="L475" s="263"/>
      <c r="M475" s="262"/>
    </row>
    <row r="476" spans="1:13" s="289" customFormat="1" x14ac:dyDescent="0.2">
      <c r="A476" s="330"/>
      <c r="B476" s="335" t="s">
        <v>535</v>
      </c>
      <c r="C476" s="298"/>
      <c r="D476" s="283"/>
      <c r="E476" s="262"/>
      <c r="F476" s="295"/>
      <c r="G476" s="196">
        <f t="shared" si="38"/>
        <v>0</v>
      </c>
      <c r="H476" s="197">
        <f t="shared" si="39"/>
        <v>0</v>
      </c>
      <c r="I476" s="169">
        <f t="shared" si="40"/>
        <v>0</v>
      </c>
      <c r="J476" s="198">
        <f t="shared" si="41"/>
        <v>0</v>
      </c>
      <c r="K476" s="173">
        <f t="shared" si="42"/>
        <v>0</v>
      </c>
      <c r="L476" s="263"/>
      <c r="M476" s="262"/>
    </row>
    <row r="477" spans="1:13" s="289" customFormat="1" x14ac:dyDescent="0.2">
      <c r="A477" s="330"/>
      <c r="B477" s="335" t="s">
        <v>466</v>
      </c>
      <c r="C477" s="298"/>
      <c r="D477" s="283"/>
      <c r="E477" s="262"/>
      <c r="F477" s="295"/>
      <c r="G477" s="196">
        <f t="shared" si="38"/>
        <v>0</v>
      </c>
      <c r="H477" s="197">
        <f t="shared" si="39"/>
        <v>0</v>
      </c>
      <c r="I477" s="169">
        <f t="shared" si="40"/>
        <v>0</v>
      </c>
      <c r="J477" s="198">
        <f t="shared" si="41"/>
        <v>0</v>
      </c>
      <c r="K477" s="173">
        <f t="shared" si="42"/>
        <v>0</v>
      </c>
      <c r="L477" s="263"/>
      <c r="M477" s="262"/>
    </row>
    <row r="478" spans="1:13" s="289" customFormat="1" x14ac:dyDescent="0.2">
      <c r="A478" s="330"/>
      <c r="B478" s="335" t="s">
        <v>467</v>
      </c>
      <c r="C478" s="298"/>
      <c r="D478" s="283"/>
      <c r="E478" s="262"/>
      <c r="F478" s="295"/>
      <c r="G478" s="196">
        <f t="shared" si="38"/>
        <v>0</v>
      </c>
      <c r="H478" s="197">
        <f t="shared" si="39"/>
        <v>0</v>
      </c>
      <c r="I478" s="169">
        <f t="shared" si="40"/>
        <v>0</v>
      </c>
      <c r="J478" s="198">
        <f t="shared" si="41"/>
        <v>0</v>
      </c>
      <c r="K478" s="173">
        <f t="shared" si="42"/>
        <v>0</v>
      </c>
      <c r="L478" s="263"/>
      <c r="M478" s="262"/>
    </row>
    <row r="479" spans="1:13" s="289" customFormat="1" x14ac:dyDescent="0.2">
      <c r="A479" s="330"/>
      <c r="B479" s="335" t="s">
        <v>468</v>
      </c>
      <c r="C479" s="298"/>
      <c r="D479" s="283"/>
      <c r="E479" s="262"/>
      <c r="F479" s="295"/>
      <c r="G479" s="196">
        <f t="shared" si="38"/>
        <v>0</v>
      </c>
      <c r="H479" s="197">
        <f t="shared" si="39"/>
        <v>0</v>
      </c>
      <c r="I479" s="169">
        <f t="shared" si="40"/>
        <v>0</v>
      </c>
      <c r="J479" s="198">
        <f t="shared" si="41"/>
        <v>0</v>
      </c>
      <c r="K479" s="173">
        <f t="shared" si="42"/>
        <v>0</v>
      </c>
      <c r="L479" s="263"/>
      <c r="M479" s="262"/>
    </row>
    <row r="480" spans="1:13" s="289" customFormat="1" x14ac:dyDescent="0.2">
      <c r="A480" s="330"/>
      <c r="B480" s="335" t="s">
        <v>520</v>
      </c>
      <c r="C480" s="298"/>
      <c r="D480" s="283"/>
      <c r="E480" s="262"/>
      <c r="F480" s="295"/>
      <c r="G480" s="196">
        <f t="shared" si="38"/>
        <v>0</v>
      </c>
      <c r="H480" s="197">
        <f t="shared" si="39"/>
        <v>0</v>
      </c>
      <c r="I480" s="169">
        <f t="shared" si="40"/>
        <v>0</v>
      </c>
      <c r="J480" s="198">
        <f t="shared" si="41"/>
        <v>0</v>
      </c>
      <c r="K480" s="173">
        <f t="shared" si="42"/>
        <v>0</v>
      </c>
      <c r="L480" s="263"/>
      <c r="M480" s="262"/>
    </row>
    <row r="481" spans="1:13" s="289" customFormat="1" x14ac:dyDescent="0.2">
      <c r="A481" s="330"/>
      <c r="B481" s="335" t="s">
        <v>470</v>
      </c>
      <c r="C481" s="298"/>
      <c r="D481" s="283"/>
      <c r="E481" s="262"/>
      <c r="F481" s="295"/>
      <c r="G481" s="196">
        <f t="shared" si="38"/>
        <v>0</v>
      </c>
      <c r="H481" s="197">
        <f t="shared" si="39"/>
        <v>0</v>
      </c>
      <c r="I481" s="169">
        <f t="shared" si="40"/>
        <v>0</v>
      </c>
      <c r="J481" s="198">
        <f t="shared" si="41"/>
        <v>0</v>
      </c>
      <c r="K481" s="173">
        <f t="shared" si="42"/>
        <v>0</v>
      </c>
      <c r="L481" s="263"/>
      <c r="M481" s="262"/>
    </row>
    <row r="482" spans="1:13" s="289" customFormat="1" x14ac:dyDescent="0.2">
      <c r="A482" s="330"/>
      <c r="B482" s="335" t="s">
        <v>521</v>
      </c>
      <c r="C482" s="298"/>
      <c r="D482" s="283"/>
      <c r="E482" s="262"/>
      <c r="F482" s="295"/>
      <c r="G482" s="196">
        <f t="shared" si="38"/>
        <v>0</v>
      </c>
      <c r="H482" s="197">
        <f t="shared" si="39"/>
        <v>0</v>
      </c>
      <c r="I482" s="169">
        <f t="shared" si="40"/>
        <v>0</v>
      </c>
      <c r="J482" s="198">
        <f t="shared" si="41"/>
        <v>0</v>
      </c>
      <c r="K482" s="173">
        <f t="shared" si="42"/>
        <v>0</v>
      </c>
      <c r="L482" s="263"/>
      <c r="M482" s="262"/>
    </row>
    <row r="483" spans="1:13" s="289" customFormat="1" x14ac:dyDescent="0.2">
      <c r="A483" s="330"/>
      <c r="B483" s="334" t="s">
        <v>472</v>
      </c>
      <c r="C483" s="298"/>
      <c r="D483" s="283"/>
      <c r="E483" s="262"/>
      <c r="F483" s="295"/>
      <c r="G483" s="196">
        <f t="shared" si="38"/>
        <v>0</v>
      </c>
      <c r="H483" s="197">
        <f t="shared" si="39"/>
        <v>0</v>
      </c>
      <c r="I483" s="169">
        <f t="shared" si="40"/>
        <v>0</v>
      </c>
      <c r="J483" s="198">
        <f t="shared" si="41"/>
        <v>0</v>
      </c>
      <c r="K483" s="173">
        <f t="shared" si="42"/>
        <v>0</v>
      </c>
      <c r="L483" s="263"/>
      <c r="M483" s="262"/>
    </row>
    <row r="484" spans="1:13" s="289" customFormat="1" x14ac:dyDescent="0.2">
      <c r="A484" s="330"/>
      <c r="B484" s="335" t="s">
        <v>522</v>
      </c>
      <c r="C484" s="298"/>
      <c r="D484" s="283"/>
      <c r="E484" s="262"/>
      <c r="F484" s="295"/>
      <c r="G484" s="196">
        <f t="shared" si="38"/>
        <v>0</v>
      </c>
      <c r="H484" s="197">
        <f t="shared" si="39"/>
        <v>0</v>
      </c>
      <c r="I484" s="169">
        <f t="shared" si="40"/>
        <v>0</v>
      </c>
      <c r="J484" s="198">
        <f t="shared" si="41"/>
        <v>0</v>
      </c>
      <c r="K484" s="173">
        <f t="shared" si="42"/>
        <v>0</v>
      </c>
      <c r="L484" s="263"/>
      <c r="M484" s="262"/>
    </row>
    <row r="485" spans="1:13" s="289" customFormat="1" x14ac:dyDescent="0.2">
      <c r="A485" s="330"/>
      <c r="B485" s="335" t="s">
        <v>540</v>
      </c>
      <c r="C485" s="298"/>
      <c r="D485" s="283"/>
      <c r="E485" s="294"/>
      <c r="F485" s="295"/>
      <c r="G485" s="196">
        <f t="shared" si="38"/>
        <v>0</v>
      </c>
      <c r="H485" s="197">
        <f t="shared" si="39"/>
        <v>0</v>
      </c>
      <c r="I485" s="169">
        <f t="shared" si="40"/>
        <v>0</v>
      </c>
      <c r="J485" s="198">
        <f t="shared" si="41"/>
        <v>0</v>
      </c>
      <c r="K485" s="173">
        <f t="shared" si="42"/>
        <v>0</v>
      </c>
      <c r="L485" s="296"/>
      <c r="M485" s="294"/>
    </row>
    <row r="486" spans="1:13" s="289" customFormat="1" x14ac:dyDescent="0.2">
      <c r="A486" s="330"/>
      <c r="B486" s="335" t="s">
        <v>523</v>
      </c>
      <c r="C486" s="283">
        <v>1</v>
      </c>
      <c r="D486" s="283" t="s">
        <v>113</v>
      </c>
      <c r="E486" s="294">
        <v>95000</v>
      </c>
      <c r="F486" s="295">
        <f>ROUND($C486*E486,0)</f>
        <v>95000</v>
      </c>
      <c r="G486" s="196">
        <f t="shared" si="38"/>
        <v>7600</v>
      </c>
      <c r="H486" s="197">
        <f t="shared" si="39"/>
        <v>3800</v>
      </c>
      <c r="I486" s="169">
        <f t="shared" si="40"/>
        <v>64600</v>
      </c>
      <c r="J486" s="198">
        <f t="shared" si="41"/>
        <v>19000</v>
      </c>
      <c r="K486" s="173">
        <f t="shared" si="42"/>
        <v>95000</v>
      </c>
      <c r="L486" s="296"/>
      <c r="M486" s="294"/>
    </row>
    <row r="487" spans="1:13" s="289" customFormat="1" x14ac:dyDescent="0.2">
      <c r="A487" s="330"/>
      <c r="B487" s="335"/>
      <c r="C487" s="298"/>
      <c r="D487" s="283"/>
      <c r="E487" s="262"/>
      <c r="F487" s="295"/>
      <c r="G487" s="196">
        <f t="shared" si="38"/>
        <v>0</v>
      </c>
      <c r="H487" s="197">
        <f t="shared" si="39"/>
        <v>0</v>
      </c>
      <c r="I487" s="169">
        <f t="shared" si="40"/>
        <v>0</v>
      </c>
      <c r="J487" s="198">
        <f t="shared" si="41"/>
        <v>0</v>
      </c>
      <c r="K487" s="173">
        <f t="shared" si="42"/>
        <v>0</v>
      </c>
      <c r="L487" s="263"/>
      <c r="M487" s="262"/>
    </row>
    <row r="488" spans="1:13" s="289" customFormat="1" ht="15" x14ac:dyDescent="0.2">
      <c r="A488" s="330"/>
      <c r="B488" s="333" t="s">
        <v>541</v>
      </c>
      <c r="C488" s="298"/>
      <c r="D488" s="283"/>
      <c r="E488" s="262"/>
      <c r="F488" s="295"/>
      <c r="G488" s="196">
        <f t="shared" si="38"/>
        <v>0</v>
      </c>
      <c r="H488" s="197">
        <f t="shared" si="39"/>
        <v>0</v>
      </c>
      <c r="I488" s="169">
        <f t="shared" si="40"/>
        <v>0</v>
      </c>
      <c r="J488" s="198">
        <f t="shared" si="41"/>
        <v>0</v>
      </c>
      <c r="K488" s="173">
        <f t="shared" si="42"/>
        <v>0</v>
      </c>
      <c r="L488" s="263"/>
      <c r="M488" s="262"/>
    </row>
    <row r="489" spans="1:13" s="289" customFormat="1" x14ac:dyDescent="0.2">
      <c r="A489" s="330"/>
      <c r="B489" s="334" t="s">
        <v>462</v>
      </c>
      <c r="C489" s="298"/>
      <c r="D489" s="283"/>
      <c r="E489" s="262"/>
      <c r="F489" s="295"/>
      <c r="G489" s="196">
        <f t="shared" si="38"/>
        <v>0</v>
      </c>
      <c r="H489" s="197">
        <f t="shared" si="39"/>
        <v>0</v>
      </c>
      <c r="I489" s="169">
        <f t="shared" si="40"/>
        <v>0</v>
      </c>
      <c r="J489" s="198">
        <f t="shared" si="41"/>
        <v>0</v>
      </c>
      <c r="K489" s="173">
        <f t="shared" si="42"/>
        <v>0</v>
      </c>
      <c r="L489" s="263"/>
      <c r="M489" s="262"/>
    </row>
    <row r="490" spans="1:13" s="289" customFormat="1" x14ac:dyDescent="0.2">
      <c r="A490" s="330" t="s">
        <v>542</v>
      </c>
      <c r="B490" s="335" t="s">
        <v>543</v>
      </c>
      <c r="C490" s="298"/>
      <c r="D490" s="283"/>
      <c r="E490" s="262"/>
      <c r="F490" s="295"/>
      <c r="G490" s="196">
        <f t="shared" si="38"/>
        <v>0</v>
      </c>
      <c r="H490" s="197">
        <f t="shared" si="39"/>
        <v>0</v>
      </c>
      <c r="I490" s="169">
        <f t="shared" si="40"/>
        <v>0</v>
      </c>
      <c r="J490" s="198">
        <f t="shared" si="41"/>
        <v>0</v>
      </c>
      <c r="K490" s="173">
        <f t="shared" si="42"/>
        <v>0</v>
      </c>
      <c r="L490" s="263"/>
      <c r="M490" s="262"/>
    </row>
    <row r="491" spans="1:13" s="289" customFormat="1" x14ac:dyDescent="0.2">
      <c r="A491" s="330"/>
      <c r="B491" s="335" t="s">
        <v>527</v>
      </c>
      <c r="C491" s="298"/>
      <c r="D491" s="283"/>
      <c r="E491" s="262"/>
      <c r="F491" s="295"/>
      <c r="G491" s="196">
        <f t="shared" si="38"/>
        <v>0</v>
      </c>
      <c r="H491" s="197">
        <f t="shared" si="39"/>
        <v>0</v>
      </c>
      <c r="I491" s="169">
        <f t="shared" si="40"/>
        <v>0</v>
      </c>
      <c r="J491" s="198">
        <f t="shared" si="41"/>
        <v>0</v>
      </c>
      <c r="K491" s="173">
        <f t="shared" si="42"/>
        <v>0</v>
      </c>
      <c r="L491" s="263"/>
      <c r="M491" s="262"/>
    </row>
    <row r="492" spans="1:13" s="289" customFormat="1" x14ac:dyDescent="0.2">
      <c r="A492" s="330"/>
      <c r="B492" s="335" t="s">
        <v>466</v>
      </c>
      <c r="C492" s="298"/>
      <c r="D492" s="283"/>
      <c r="E492" s="262"/>
      <c r="F492" s="295"/>
      <c r="G492" s="196">
        <f t="shared" si="38"/>
        <v>0</v>
      </c>
      <c r="H492" s="197">
        <f t="shared" si="39"/>
        <v>0</v>
      </c>
      <c r="I492" s="169">
        <f t="shared" si="40"/>
        <v>0</v>
      </c>
      <c r="J492" s="198">
        <f t="shared" si="41"/>
        <v>0</v>
      </c>
      <c r="K492" s="173">
        <f t="shared" si="42"/>
        <v>0</v>
      </c>
      <c r="L492" s="263"/>
      <c r="M492" s="262"/>
    </row>
    <row r="493" spans="1:13" s="289" customFormat="1" x14ac:dyDescent="0.2">
      <c r="A493" s="330"/>
      <c r="B493" s="335" t="s">
        <v>467</v>
      </c>
      <c r="C493" s="298"/>
      <c r="D493" s="283"/>
      <c r="E493" s="262"/>
      <c r="F493" s="295"/>
      <c r="G493" s="196">
        <f t="shared" si="38"/>
        <v>0</v>
      </c>
      <c r="H493" s="197">
        <f t="shared" si="39"/>
        <v>0</v>
      </c>
      <c r="I493" s="169">
        <f t="shared" si="40"/>
        <v>0</v>
      </c>
      <c r="J493" s="198">
        <f t="shared" si="41"/>
        <v>0</v>
      </c>
      <c r="K493" s="173">
        <f t="shared" si="42"/>
        <v>0</v>
      </c>
      <c r="L493" s="263"/>
      <c r="M493" s="262"/>
    </row>
    <row r="494" spans="1:13" s="289" customFormat="1" x14ac:dyDescent="0.2">
      <c r="A494" s="330"/>
      <c r="B494" s="335" t="s">
        <v>468</v>
      </c>
      <c r="C494" s="298"/>
      <c r="D494" s="283"/>
      <c r="E494" s="262"/>
      <c r="F494" s="295"/>
      <c r="G494" s="196">
        <f t="shared" si="38"/>
        <v>0</v>
      </c>
      <c r="H494" s="197">
        <f t="shared" si="39"/>
        <v>0</v>
      </c>
      <c r="I494" s="169">
        <f t="shared" si="40"/>
        <v>0</v>
      </c>
      <c r="J494" s="198">
        <f t="shared" si="41"/>
        <v>0</v>
      </c>
      <c r="K494" s="173">
        <f t="shared" si="42"/>
        <v>0</v>
      </c>
      <c r="L494" s="263"/>
      <c r="M494" s="262"/>
    </row>
    <row r="495" spans="1:13" s="289" customFormat="1" x14ac:dyDescent="0.2">
      <c r="A495" s="330"/>
      <c r="B495" s="335" t="s">
        <v>544</v>
      </c>
      <c r="C495" s="298"/>
      <c r="D495" s="283"/>
      <c r="E495" s="262"/>
      <c r="F495" s="295"/>
      <c r="G495" s="196">
        <f t="shared" si="38"/>
        <v>0</v>
      </c>
      <c r="H495" s="197">
        <f t="shared" si="39"/>
        <v>0</v>
      </c>
      <c r="I495" s="169">
        <f t="shared" si="40"/>
        <v>0</v>
      </c>
      <c r="J495" s="198">
        <f t="shared" si="41"/>
        <v>0</v>
      </c>
      <c r="K495" s="173">
        <f t="shared" si="42"/>
        <v>0</v>
      </c>
      <c r="L495" s="263"/>
      <c r="M495" s="262"/>
    </row>
    <row r="496" spans="1:13" s="289" customFormat="1" x14ac:dyDescent="0.2">
      <c r="A496" s="330"/>
      <c r="B496" s="335" t="s">
        <v>470</v>
      </c>
      <c r="C496" s="298"/>
      <c r="D496" s="283"/>
      <c r="E496" s="262"/>
      <c r="F496" s="295"/>
      <c r="G496" s="196">
        <f t="shared" si="38"/>
        <v>0</v>
      </c>
      <c r="H496" s="197">
        <f t="shared" si="39"/>
        <v>0</v>
      </c>
      <c r="I496" s="169">
        <f t="shared" si="40"/>
        <v>0</v>
      </c>
      <c r="J496" s="198">
        <f t="shared" si="41"/>
        <v>0</v>
      </c>
      <c r="K496" s="173">
        <f t="shared" si="42"/>
        <v>0</v>
      </c>
      <c r="L496" s="263"/>
      <c r="M496" s="262"/>
    </row>
    <row r="497" spans="1:13" s="289" customFormat="1" x14ac:dyDescent="0.2">
      <c r="A497" s="330"/>
      <c r="B497" s="335" t="s">
        <v>545</v>
      </c>
      <c r="C497" s="298"/>
      <c r="D497" s="283"/>
      <c r="E497" s="262"/>
      <c r="F497" s="295"/>
      <c r="G497" s="196">
        <f t="shared" si="38"/>
        <v>0</v>
      </c>
      <c r="H497" s="197">
        <f t="shared" si="39"/>
        <v>0</v>
      </c>
      <c r="I497" s="169">
        <f t="shared" si="40"/>
        <v>0</v>
      </c>
      <c r="J497" s="198">
        <f t="shared" si="41"/>
        <v>0</v>
      </c>
      <c r="K497" s="173">
        <f t="shared" si="42"/>
        <v>0</v>
      </c>
      <c r="L497" s="263"/>
      <c r="M497" s="262"/>
    </row>
    <row r="498" spans="1:13" s="289" customFormat="1" x14ac:dyDescent="0.2">
      <c r="A498" s="330"/>
      <c r="B498" s="334" t="s">
        <v>472</v>
      </c>
      <c r="C498" s="298"/>
      <c r="D498" s="283"/>
      <c r="E498" s="262"/>
      <c r="F498" s="295"/>
      <c r="G498" s="196">
        <f t="shared" si="38"/>
        <v>0</v>
      </c>
      <c r="H498" s="197">
        <f t="shared" si="39"/>
        <v>0</v>
      </c>
      <c r="I498" s="169">
        <f t="shared" si="40"/>
        <v>0</v>
      </c>
      <c r="J498" s="198">
        <f t="shared" si="41"/>
        <v>0</v>
      </c>
      <c r="K498" s="173">
        <f t="shared" si="42"/>
        <v>0</v>
      </c>
      <c r="L498" s="263"/>
      <c r="M498" s="262"/>
    </row>
    <row r="499" spans="1:13" s="289" customFormat="1" x14ac:dyDescent="0.2">
      <c r="A499" s="330"/>
      <c r="B499" s="335" t="s">
        <v>546</v>
      </c>
      <c r="C499" s="298"/>
      <c r="D499" s="283"/>
      <c r="E499" s="294"/>
      <c r="F499" s="295"/>
      <c r="G499" s="196">
        <f t="shared" si="38"/>
        <v>0</v>
      </c>
      <c r="H499" s="197">
        <f t="shared" si="39"/>
        <v>0</v>
      </c>
      <c r="I499" s="169">
        <f t="shared" si="40"/>
        <v>0</v>
      </c>
      <c r="J499" s="198">
        <f t="shared" si="41"/>
        <v>0</v>
      </c>
      <c r="K499" s="173">
        <f t="shared" si="42"/>
        <v>0</v>
      </c>
      <c r="L499" s="296"/>
      <c r="M499" s="294"/>
    </row>
    <row r="500" spans="1:13" s="289" customFormat="1" x14ac:dyDescent="0.2">
      <c r="A500" s="330"/>
      <c r="B500" s="335" t="s">
        <v>547</v>
      </c>
      <c r="C500" s="283">
        <v>1</v>
      </c>
      <c r="D500" s="283" t="s">
        <v>113</v>
      </c>
      <c r="E500" s="294">
        <v>115000</v>
      </c>
      <c r="F500" s="295">
        <f>ROUND($C500*E500,0)</f>
        <v>115000</v>
      </c>
      <c r="G500" s="196">
        <f t="shared" si="38"/>
        <v>9200</v>
      </c>
      <c r="H500" s="197">
        <f t="shared" si="39"/>
        <v>4600</v>
      </c>
      <c r="I500" s="169">
        <f t="shared" si="40"/>
        <v>78200</v>
      </c>
      <c r="J500" s="198">
        <f t="shared" si="41"/>
        <v>23000</v>
      </c>
      <c r="K500" s="173">
        <f t="shared" si="42"/>
        <v>115000</v>
      </c>
      <c r="L500" s="296"/>
      <c r="M500" s="294"/>
    </row>
    <row r="501" spans="1:13" s="289" customFormat="1" x14ac:dyDescent="0.2">
      <c r="A501" s="330"/>
      <c r="B501" s="335"/>
      <c r="C501" s="283"/>
      <c r="D501" s="283"/>
      <c r="E501" s="262"/>
      <c r="F501" s="295"/>
      <c r="G501" s="196">
        <f t="shared" si="38"/>
        <v>0</v>
      </c>
      <c r="H501" s="197">
        <f t="shared" si="39"/>
        <v>0</v>
      </c>
      <c r="I501" s="169">
        <f t="shared" si="40"/>
        <v>0</v>
      </c>
      <c r="J501" s="198">
        <f t="shared" si="41"/>
        <v>0</v>
      </c>
      <c r="K501" s="173">
        <f t="shared" si="42"/>
        <v>0</v>
      </c>
      <c r="L501" s="263"/>
      <c r="M501" s="262"/>
    </row>
    <row r="502" spans="1:13" s="289" customFormat="1" ht="15" x14ac:dyDescent="0.2">
      <c r="A502" s="330"/>
      <c r="B502" s="333" t="s">
        <v>548</v>
      </c>
      <c r="C502" s="298"/>
      <c r="D502" s="283"/>
      <c r="E502" s="262"/>
      <c r="F502" s="295"/>
      <c r="G502" s="196">
        <f t="shared" si="38"/>
        <v>0</v>
      </c>
      <c r="H502" s="197">
        <f t="shared" si="39"/>
        <v>0</v>
      </c>
      <c r="I502" s="169">
        <f t="shared" si="40"/>
        <v>0</v>
      </c>
      <c r="J502" s="198">
        <f t="shared" si="41"/>
        <v>0</v>
      </c>
      <c r="K502" s="173">
        <f t="shared" si="42"/>
        <v>0</v>
      </c>
      <c r="L502" s="263"/>
      <c r="M502" s="262"/>
    </row>
    <row r="503" spans="1:13" s="289" customFormat="1" x14ac:dyDescent="0.2">
      <c r="A503" s="330"/>
      <c r="B503" s="334" t="s">
        <v>462</v>
      </c>
      <c r="C503" s="298"/>
      <c r="D503" s="283"/>
      <c r="E503" s="262"/>
      <c r="F503" s="295"/>
      <c r="G503" s="196">
        <f t="shared" si="38"/>
        <v>0</v>
      </c>
      <c r="H503" s="197">
        <f t="shared" si="39"/>
        <v>0</v>
      </c>
      <c r="I503" s="169">
        <f t="shared" si="40"/>
        <v>0</v>
      </c>
      <c r="J503" s="198">
        <f t="shared" si="41"/>
        <v>0</v>
      </c>
      <c r="K503" s="173">
        <f t="shared" si="42"/>
        <v>0</v>
      </c>
      <c r="L503" s="263"/>
      <c r="M503" s="262"/>
    </row>
    <row r="504" spans="1:13" s="289" customFormat="1" x14ac:dyDescent="0.2">
      <c r="A504" s="330" t="s">
        <v>549</v>
      </c>
      <c r="B504" s="335" t="s">
        <v>550</v>
      </c>
      <c r="C504" s="298"/>
      <c r="D504" s="283"/>
      <c r="E504" s="262"/>
      <c r="F504" s="295"/>
      <c r="G504" s="196">
        <f t="shared" si="38"/>
        <v>0</v>
      </c>
      <c r="H504" s="197">
        <f t="shared" si="39"/>
        <v>0</v>
      </c>
      <c r="I504" s="169">
        <f t="shared" si="40"/>
        <v>0</v>
      </c>
      <c r="J504" s="198">
        <f t="shared" si="41"/>
        <v>0</v>
      </c>
      <c r="K504" s="173">
        <f t="shared" si="42"/>
        <v>0</v>
      </c>
      <c r="L504" s="263"/>
      <c r="M504" s="262"/>
    </row>
    <row r="505" spans="1:13" s="289" customFormat="1" x14ac:dyDescent="0.2">
      <c r="A505" s="330"/>
      <c r="B505" s="335" t="s">
        <v>551</v>
      </c>
      <c r="C505" s="298"/>
      <c r="D505" s="283"/>
      <c r="E505" s="262"/>
      <c r="F505" s="295"/>
      <c r="G505" s="196">
        <f t="shared" si="38"/>
        <v>0</v>
      </c>
      <c r="H505" s="197">
        <f t="shared" si="39"/>
        <v>0</v>
      </c>
      <c r="I505" s="169">
        <f t="shared" si="40"/>
        <v>0</v>
      </c>
      <c r="J505" s="198">
        <f t="shared" si="41"/>
        <v>0</v>
      </c>
      <c r="K505" s="173">
        <f t="shared" si="42"/>
        <v>0</v>
      </c>
      <c r="L505" s="263"/>
      <c r="M505" s="262"/>
    </row>
    <row r="506" spans="1:13" s="289" customFormat="1" x14ac:dyDescent="0.2">
      <c r="A506" s="330"/>
      <c r="B506" s="335" t="s">
        <v>466</v>
      </c>
      <c r="C506" s="298"/>
      <c r="D506" s="283"/>
      <c r="E506" s="262"/>
      <c r="F506" s="295"/>
      <c r="G506" s="196">
        <f t="shared" si="38"/>
        <v>0</v>
      </c>
      <c r="H506" s="197">
        <f t="shared" si="39"/>
        <v>0</v>
      </c>
      <c r="I506" s="169">
        <f t="shared" si="40"/>
        <v>0</v>
      </c>
      <c r="J506" s="198">
        <f t="shared" si="41"/>
        <v>0</v>
      </c>
      <c r="K506" s="173">
        <f t="shared" si="42"/>
        <v>0</v>
      </c>
      <c r="L506" s="263"/>
      <c r="M506" s="262"/>
    </row>
    <row r="507" spans="1:13" s="289" customFormat="1" x14ac:dyDescent="0.2">
      <c r="A507" s="330"/>
      <c r="B507" s="335" t="s">
        <v>467</v>
      </c>
      <c r="C507" s="298"/>
      <c r="D507" s="283"/>
      <c r="E507" s="262"/>
      <c r="F507" s="295"/>
      <c r="G507" s="196">
        <f t="shared" si="38"/>
        <v>0</v>
      </c>
      <c r="H507" s="197">
        <f t="shared" si="39"/>
        <v>0</v>
      </c>
      <c r="I507" s="169">
        <f t="shared" si="40"/>
        <v>0</v>
      </c>
      <c r="J507" s="198">
        <f t="shared" si="41"/>
        <v>0</v>
      </c>
      <c r="K507" s="173">
        <f t="shared" si="42"/>
        <v>0</v>
      </c>
      <c r="L507" s="263"/>
      <c r="M507" s="262"/>
    </row>
    <row r="508" spans="1:13" s="289" customFormat="1" x14ac:dyDescent="0.2">
      <c r="A508" s="330"/>
      <c r="B508" s="335" t="s">
        <v>468</v>
      </c>
      <c r="C508" s="298"/>
      <c r="D508" s="283"/>
      <c r="E508" s="262"/>
      <c r="F508" s="295"/>
      <c r="G508" s="196">
        <f t="shared" si="38"/>
        <v>0</v>
      </c>
      <c r="H508" s="197">
        <f t="shared" si="39"/>
        <v>0</v>
      </c>
      <c r="I508" s="169">
        <f t="shared" si="40"/>
        <v>0</v>
      </c>
      <c r="J508" s="198">
        <f t="shared" si="41"/>
        <v>0</v>
      </c>
      <c r="K508" s="173">
        <f t="shared" si="42"/>
        <v>0</v>
      </c>
      <c r="L508" s="263"/>
      <c r="M508" s="262"/>
    </row>
    <row r="509" spans="1:13" s="289" customFormat="1" x14ac:dyDescent="0.2">
      <c r="A509" s="336"/>
      <c r="B509" s="337" t="s">
        <v>552</v>
      </c>
      <c r="C509" s="338"/>
      <c r="D509" s="301"/>
      <c r="E509" s="267"/>
      <c r="F509" s="303"/>
      <c r="G509" s="196">
        <f t="shared" si="38"/>
        <v>0</v>
      </c>
      <c r="H509" s="197">
        <f t="shared" si="39"/>
        <v>0</v>
      </c>
      <c r="I509" s="169">
        <f t="shared" si="40"/>
        <v>0</v>
      </c>
      <c r="J509" s="198">
        <f t="shared" si="41"/>
        <v>0</v>
      </c>
      <c r="K509" s="173">
        <f t="shared" si="42"/>
        <v>0</v>
      </c>
      <c r="L509" s="268"/>
      <c r="M509" s="267"/>
    </row>
    <row r="510" spans="1:13" s="289" customFormat="1" x14ac:dyDescent="0.2">
      <c r="A510" s="340"/>
      <c r="B510" s="341" t="s">
        <v>470</v>
      </c>
      <c r="C510" s="314"/>
      <c r="D510" s="307"/>
      <c r="E510" s="269"/>
      <c r="F510" s="309"/>
      <c r="G510" s="196">
        <f t="shared" si="38"/>
        <v>0</v>
      </c>
      <c r="H510" s="197">
        <f t="shared" si="39"/>
        <v>0</v>
      </c>
      <c r="I510" s="169">
        <f t="shared" si="40"/>
        <v>0</v>
      </c>
      <c r="J510" s="198">
        <f t="shared" si="41"/>
        <v>0</v>
      </c>
      <c r="K510" s="173">
        <f t="shared" si="42"/>
        <v>0</v>
      </c>
      <c r="L510" s="270"/>
      <c r="M510" s="269"/>
    </row>
    <row r="511" spans="1:13" s="289" customFormat="1" x14ac:dyDescent="0.2">
      <c r="A511" s="330"/>
      <c r="B511" s="335" t="s">
        <v>553</v>
      </c>
      <c r="C511" s="298"/>
      <c r="D511" s="283"/>
      <c r="E511" s="262"/>
      <c r="F511" s="295"/>
      <c r="G511" s="196">
        <f t="shared" si="38"/>
        <v>0</v>
      </c>
      <c r="H511" s="197">
        <f t="shared" si="39"/>
        <v>0</v>
      </c>
      <c r="I511" s="169">
        <f t="shared" si="40"/>
        <v>0</v>
      </c>
      <c r="J511" s="198">
        <f t="shared" si="41"/>
        <v>0</v>
      </c>
      <c r="K511" s="173">
        <f t="shared" si="42"/>
        <v>0</v>
      </c>
      <c r="L511" s="263"/>
      <c r="M511" s="262"/>
    </row>
    <row r="512" spans="1:13" s="289" customFormat="1" x14ac:dyDescent="0.2">
      <c r="A512" s="330"/>
      <c r="B512" s="334" t="s">
        <v>472</v>
      </c>
      <c r="C512" s="298"/>
      <c r="D512" s="283"/>
      <c r="E512" s="262"/>
      <c r="F512" s="295"/>
      <c r="G512" s="196">
        <f t="shared" si="38"/>
        <v>0</v>
      </c>
      <c r="H512" s="197">
        <f t="shared" si="39"/>
        <v>0</v>
      </c>
      <c r="I512" s="169">
        <f t="shared" si="40"/>
        <v>0</v>
      </c>
      <c r="J512" s="198">
        <f t="shared" si="41"/>
        <v>0</v>
      </c>
      <c r="K512" s="173">
        <f t="shared" si="42"/>
        <v>0</v>
      </c>
      <c r="L512" s="263"/>
      <c r="M512" s="262"/>
    </row>
    <row r="513" spans="1:13" s="289" customFormat="1" x14ac:dyDescent="0.2">
      <c r="A513" s="330"/>
      <c r="B513" s="335" t="s">
        <v>522</v>
      </c>
      <c r="C513" s="298"/>
      <c r="D513" s="283"/>
      <c r="E513" s="294"/>
      <c r="F513" s="295"/>
      <c r="G513" s="196">
        <f t="shared" si="38"/>
        <v>0</v>
      </c>
      <c r="H513" s="197">
        <f t="shared" si="39"/>
        <v>0</v>
      </c>
      <c r="I513" s="169">
        <f t="shared" si="40"/>
        <v>0</v>
      </c>
      <c r="J513" s="198">
        <f t="shared" si="41"/>
        <v>0</v>
      </c>
      <c r="K513" s="173">
        <f t="shared" si="42"/>
        <v>0</v>
      </c>
      <c r="L513" s="296"/>
      <c r="M513" s="294"/>
    </row>
    <row r="514" spans="1:13" s="289" customFormat="1" x14ac:dyDescent="0.2">
      <c r="A514" s="330"/>
      <c r="B514" s="335" t="s">
        <v>554</v>
      </c>
      <c r="C514" s="283">
        <v>1</v>
      </c>
      <c r="D514" s="283" t="s">
        <v>113</v>
      </c>
      <c r="E514" s="294">
        <v>92000</v>
      </c>
      <c r="F514" s="295">
        <f>ROUND($C514*E514,0)</f>
        <v>92000</v>
      </c>
      <c r="G514" s="196">
        <f t="shared" si="38"/>
        <v>7360</v>
      </c>
      <c r="H514" s="197">
        <f t="shared" si="39"/>
        <v>3680</v>
      </c>
      <c r="I514" s="169">
        <f t="shared" si="40"/>
        <v>62560</v>
      </c>
      <c r="J514" s="198">
        <f t="shared" si="41"/>
        <v>18400</v>
      </c>
      <c r="K514" s="173">
        <f t="shared" si="42"/>
        <v>92000</v>
      </c>
      <c r="L514" s="296"/>
      <c r="M514" s="294"/>
    </row>
    <row r="515" spans="1:13" s="289" customFormat="1" x14ac:dyDescent="0.2">
      <c r="A515" s="330"/>
      <c r="B515" s="335"/>
      <c r="C515" s="283"/>
      <c r="D515" s="283"/>
      <c r="E515" s="262"/>
      <c r="F515" s="295"/>
      <c r="G515" s="196">
        <f t="shared" si="38"/>
        <v>0</v>
      </c>
      <c r="H515" s="197">
        <f t="shared" si="39"/>
        <v>0</v>
      </c>
      <c r="I515" s="169">
        <f t="shared" si="40"/>
        <v>0</v>
      </c>
      <c r="J515" s="198">
        <f t="shared" si="41"/>
        <v>0</v>
      </c>
      <c r="K515" s="173">
        <f t="shared" si="42"/>
        <v>0</v>
      </c>
      <c r="L515" s="263"/>
      <c r="M515" s="262"/>
    </row>
    <row r="516" spans="1:13" s="289" customFormat="1" ht="15" x14ac:dyDescent="0.2">
      <c r="A516" s="330"/>
      <c r="B516" s="333" t="s">
        <v>555</v>
      </c>
      <c r="C516" s="298"/>
      <c r="D516" s="283"/>
      <c r="E516" s="262"/>
      <c r="F516" s="295"/>
      <c r="G516" s="196">
        <f t="shared" si="38"/>
        <v>0</v>
      </c>
      <c r="H516" s="197">
        <f t="shared" si="39"/>
        <v>0</v>
      </c>
      <c r="I516" s="169">
        <f t="shared" si="40"/>
        <v>0</v>
      </c>
      <c r="J516" s="198">
        <f t="shared" si="41"/>
        <v>0</v>
      </c>
      <c r="K516" s="173">
        <f t="shared" si="42"/>
        <v>0</v>
      </c>
      <c r="L516" s="263"/>
      <c r="M516" s="262"/>
    </row>
    <row r="517" spans="1:13" s="289" customFormat="1" x14ac:dyDescent="0.2">
      <c r="A517" s="330"/>
      <c r="B517" s="334" t="s">
        <v>462</v>
      </c>
      <c r="C517" s="298"/>
      <c r="D517" s="283"/>
      <c r="E517" s="262"/>
      <c r="F517" s="295"/>
      <c r="G517" s="196">
        <f t="shared" si="38"/>
        <v>0</v>
      </c>
      <c r="H517" s="197">
        <f t="shared" si="39"/>
        <v>0</v>
      </c>
      <c r="I517" s="169">
        <f t="shared" si="40"/>
        <v>0</v>
      </c>
      <c r="J517" s="198">
        <f t="shared" si="41"/>
        <v>0</v>
      </c>
      <c r="K517" s="173">
        <f t="shared" si="42"/>
        <v>0</v>
      </c>
      <c r="L517" s="263"/>
      <c r="M517" s="262"/>
    </row>
    <row r="518" spans="1:13" s="289" customFormat="1" x14ac:dyDescent="0.2">
      <c r="A518" s="330" t="s">
        <v>556</v>
      </c>
      <c r="B518" s="335" t="s">
        <v>534</v>
      </c>
      <c r="C518" s="298"/>
      <c r="D518" s="283"/>
      <c r="E518" s="262"/>
      <c r="F518" s="295"/>
      <c r="G518" s="196">
        <f t="shared" si="38"/>
        <v>0</v>
      </c>
      <c r="H518" s="197">
        <f t="shared" si="39"/>
        <v>0</v>
      </c>
      <c r="I518" s="169">
        <f t="shared" si="40"/>
        <v>0</v>
      </c>
      <c r="J518" s="198">
        <f t="shared" si="41"/>
        <v>0</v>
      </c>
      <c r="K518" s="173">
        <f t="shared" si="42"/>
        <v>0</v>
      </c>
      <c r="L518" s="263"/>
      <c r="M518" s="262"/>
    </row>
    <row r="519" spans="1:13" s="289" customFormat="1" x14ac:dyDescent="0.2">
      <c r="A519" s="330"/>
      <c r="B519" s="335" t="s">
        <v>557</v>
      </c>
      <c r="C519" s="298"/>
      <c r="D519" s="283"/>
      <c r="E519" s="262"/>
      <c r="F519" s="295"/>
      <c r="G519" s="196">
        <f t="shared" si="38"/>
        <v>0</v>
      </c>
      <c r="H519" s="197">
        <f t="shared" si="39"/>
        <v>0</v>
      </c>
      <c r="I519" s="169">
        <f t="shared" si="40"/>
        <v>0</v>
      </c>
      <c r="J519" s="198">
        <f t="shared" si="41"/>
        <v>0</v>
      </c>
      <c r="K519" s="173">
        <f t="shared" si="42"/>
        <v>0</v>
      </c>
      <c r="L519" s="263"/>
      <c r="M519" s="262"/>
    </row>
    <row r="520" spans="1:13" s="289" customFormat="1" x14ac:dyDescent="0.2">
      <c r="A520" s="330"/>
      <c r="B520" s="335" t="s">
        <v>466</v>
      </c>
      <c r="C520" s="298"/>
      <c r="D520" s="283"/>
      <c r="E520" s="262"/>
      <c r="F520" s="295"/>
      <c r="G520" s="196">
        <f t="shared" si="38"/>
        <v>0</v>
      </c>
      <c r="H520" s="197">
        <f t="shared" si="39"/>
        <v>0</v>
      </c>
      <c r="I520" s="169">
        <f t="shared" si="40"/>
        <v>0</v>
      </c>
      <c r="J520" s="198">
        <f t="shared" si="41"/>
        <v>0</v>
      </c>
      <c r="K520" s="173">
        <f t="shared" si="42"/>
        <v>0</v>
      </c>
      <c r="L520" s="263"/>
      <c r="M520" s="262"/>
    </row>
    <row r="521" spans="1:13" s="289" customFormat="1" x14ac:dyDescent="0.2">
      <c r="A521" s="330"/>
      <c r="B521" s="335" t="s">
        <v>467</v>
      </c>
      <c r="C521" s="298"/>
      <c r="D521" s="283"/>
      <c r="E521" s="262"/>
      <c r="F521" s="295"/>
      <c r="G521" s="196">
        <f t="shared" si="38"/>
        <v>0</v>
      </c>
      <c r="H521" s="197">
        <f t="shared" si="39"/>
        <v>0</v>
      </c>
      <c r="I521" s="169">
        <f t="shared" si="40"/>
        <v>0</v>
      </c>
      <c r="J521" s="198">
        <f t="shared" si="41"/>
        <v>0</v>
      </c>
      <c r="K521" s="173">
        <f t="shared" si="42"/>
        <v>0</v>
      </c>
      <c r="L521" s="263"/>
      <c r="M521" s="262"/>
    </row>
    <row r="522" spans="1:13" s="289" customFormat="1" x14ac:dyDescent="0.2">
      <c r="A522" s="330"/>
      <c r="B522" s="335" t="s">
        <v>468</v>
      </c>
      <c r="C522" s="298"/>
      <c r="D522" s="283"/>
      <c r="E522" s="262"/>
      <c r="F522" s="295"/>
      <c r="G522" s="196">
        <f t="shared" si="38"/>
        <v>0</v>
      </c>
      <c r="H522" s="197">
        <f t="shared" si="39"/>
        <v>0</v>
      </c>
      <c r="I522" s="169">
        <f t="shared" si="40"/>
        <v>0</v>
      </c>
      <c r="J522" s="198">
        <f t="shared" si="41"/>
        <v>0</v>
      </c>
      <c r="K522" s="173">
        <f t="shared" si="42"/>
        <v>0</v>
      </c>
      <c r="L522" s="263"/>
      <c r="M522" s="262"/>
    </row>
    <row r="523" spans="1:13" s="289" customFormat="1" x14ac:dyDescent="0.2">
      <c r="A523" s="330"/>
      <c r="B523" s="335" t="s">
        <v>536</v>
      </c>
      <c r="C523" s="298"/>
      <c r="D523" s="283"/>
      <c r="E523" s="262"/>
      <c r="F523" s="295"/>
      <c r="G523" s="196">
        <f t="shared" si="38"/>
        <v>0</v>
      </c>
      <c r="H523" s="197">
        <f t="shared" si="39"/>
        <v>0</v>
      </c>
      <c r="I523" s="169">
        <f t="shared" si="40"/>
        <v>0</v>
      </c>
      <c r="J523" s="198">
        <f t="shared" si="41"/>
        <v>0</v>
      </c>
      <c r="K523" s="173">
        <f t="shared" si="42"/>
        <v>0</v>
      </c>
      <c r="L523" s="263"/>
      <c r="M523" s="262"/>
    </row>
    <row r="524" spans="1:13" s="289" customFormat="1" x14ac:dyDescent="0.2">
      <c r="A524" s="330"/>
      <c r="B524" s="335" t="s">
        <v>470</v>
      </c>
      <c r="C524" s="298"/>
      <c r="D524" s="283"/>
      <c r="E524" s="262"/>
      <c r="F524" s="295"/>
      <c r="G524" s="196">
        <f t="shared" si="38"/>
        <v>0</v>
      </c>
      <c r="H524" s="197">
        <f t="shared" si="39"/>
        <v>0</v>
      </c>
      <c r="I524" s="169">
        <f t="shared" si="40"/>
        <v>0</v>
      </c>
      <c r="J524" s="198">
        <f t="shared" si="41"/>
        <v>0</v>
      </c>
      <c r="K524" s="173">
        <f t="shared" si="42"/>
        <v>0</v>
      </c>
      <c r="L524" s="263"/>
      <c r="M524" s="262"/>
    </row>
    <row r="525" spans="1:13" s="289" customFormat="1" x14ac:dyDescent="0.2">
      <c r="A525" s="330"/>
      <c r="B525" s="335" t="s">
        <v>537</v>
      </c>
      <c r="C525" s="298"/>
      <c r="D525" s="283"/>
      <c r="E525" s="262"/>
      <c r="F525" s="295"/>
      <c r="G525" s="196">
        <f t="shared" si="38"/>
        <v>0</v>
      </c>
      <c r="H525" s="197">
        <f t="shared" si="39"/>
        <v>0</v>
      </c>
      <c r="I525" s="169">
        <f t="shared" si="40"/>
        <v>0</v>
      </c>
      <c r="J525" s="198">
        <f t="shared" si="41"/>
        <v>0</v>
      </c>
      <c r="K525" s="173">
        <f t="shared" si="42"/>
        <v>0</v>
      </c>
      <c r="L525" s="263"/>
      <c r="M525" s="262"/>
    </row>
    <row r="526" spans="1:13" s="289" customFormat="1" x14ac:dyDescent="0.2">
      <c r="A526" s="330"/>
      <c r="B526" s="334" t="s">
        <v>472</v>
      </c>
      <c r="C526" s="298"/>
      <c r="D526" s="283"/>
      <c r="E526" s="262"/>
      <c r="F526" s="295"/>
      <c r="G526" s="196">
        <f t="shared" ref="G526:G589" si="43">IFERROR((ROUND(E526/1.25*10%,2)),0)</f>
        <v>0</v>
      </c>
      <c r="H526" s="197">
        <f t="shared" ref="H526:H589" si="44">IFERROR((ROUND(E526/1.25*5%,2)),0)</f>
        <v>0</v>
      </c>
      <c r="I526" s="169">
        <f t="shared" ref="I526:I589" si="45">IFERROR((ROUND(E526/1.25*85%,2)),0)</f>
        <v>0</v>
      </c>
      <c r="J526" s="198">
        <f t="shared" ref="J526:J589" si="46">IFERROR((ROUND(E526-(E526/1.25),2)),0)</f>
        <v>0</v>
      </c>
      <c r="K526" s="173">
        <f t="shared" ref="K526:K589" si="47">SUM(G526:J526)</f>
        <v>0</v>
      </c>
      <c r="L526" s="263"/>
      <c r="M526" s="262"/>
    </row>
    <row r="527" spans="1:13" s="289" customFormat="1" x14ac:dyDescent="0.2">
      <c r="A527" s="330"/>
      <c r="B527" s="335" t="s">
        <v>522</v>
      </c>
      <c r="C527" s="298"/>
      <c r="D527" s="283"/>
      <c r="E527" s="294"/>
      <c r="F527" s="295"/>
      <c r="G527" s="196">
        <f t="shared" si="43"/>
        <v>0</v>
      </c>
      <c r="H527" s="197">
        <f t="shared" si="44"/>
        <v>0</v>
      </c>
      <c r="I527" s="169">
        <f t="shared" si="45"/>
        <v>0</v>
      </c>
      <c r="J527" s="198">
        <f t="shared" si="46"/>
        <v>0</v>
      </c>
      <c r="K527" s="173">
        <f t="shared" si="47"/>
        <v>0</v>
      </c>
      <c r="L527" s="296"/>
      <c r="M527" s="294"/>
    </row>
    <row r="528" spans="1:13" s="289" customFormat="1" x14ac:dyDescent="0.2">
      <c r="A528" s="330"/>
      <c r="B528" s="335" t="s">
        <v>517</v>
      </c>
      <c r="C528" s="283">
        <v>1</v>
      </c>
      <c r="D528" s="283" t="s">
        <v>113</v>
      </c>
      <c r="E528" s="294">
        <v>80000</v>
      </c>
      <c r="F528" s="295">
        <f>ROUND($C528*E528,0)</f>
        <v>80000</v>
      </c>
      <c r="G528" s="196">
        <f t="shared" si="43"/>
        <v>6400</v>
      </c>
      <c r="H528" s="197">
        <f t="shared" si="44"/>
        <v>3200</v>
      </c>
      <c r="I528" s="169">
        <f t="shared" si="45"/>
        <v>54400</v>
      </c>
      <c r="J528" s="198">
        <f t="shared" si="46"/>
        <v>16000</v>
      </c>
      <c r="K528" s="173">
        <f t="shared" si="47"/>
        <v>80000</v>
      </c>
      <c r="L528" s="296"/>
      <c r="M528" s="294"/>
    </row>
    <row r="529" spans="1:13" s="289" customFormat="1" x14ac:dyDescent="0.2">
      <c r="A529" s="330"/>
      <c r="B529" s="334"/>
      <c r="C529" s="298"/>
      <c r="D529" s="283"/>
      <c r="E529" s="262"/>
      <c r="F529" s="295"/>
      <c r="G529" s="196">
        <f t="shared" si="43"/>
        <v>0</v>
      </c>
      <c r="H529" s="197">
        <f t="shared" si="44"/>
        <v>0</v>
      </c>
      <c r="I529" s="169">
        <f t="shared" si="45"/>
        <v>0</v>
      </c>
      <c r="J529" s="198">
        <f t="shared" si="46"/>
        <v>0</v>
      </c>
      <c r="K529" s="173">
        <f t="shared" si="47"/>
        <v>0</v>
      </c>
      <c r="L529" s="263"/>
      <c r="M529" s="262"/>
    </row>
    <row r="530" spans="1:13" s="289" customFormat="1" ht="15" x14ac:dyDescent="0.2">
      <c r="A530" s="330"/>
      <c r="B530" s="333" t="s">
        <v>558</v>
      </c>
      <c r="C530" s="298"/>
      <c r="D530" s="283"/>
      <c r="E530" s="262"/>
      <c r="F530" s="295"/>
      <c r="G530" s="196">
        <f t="shared" si="43"/>
        <v>0</v>
      </c>
      <c r="H530" s="197">
        <f t="shared" si="44"/>
        <v>0</v>
      </c>
      <c r="I530" s="169">
        <f t="shared" si="45"/>
        <v>0</v>
      </c>
      <c r="J530" s="198">
        <f t="shared" si="46"/>
        <v>0</v>
      </c>
      <c r="K530" s="173">
        <f t="shared" si="47"/>
        <v>0</v>
      </c>
      <c r="L530" s="263"/>
      <c r="M530" s="262"/>
    </row>
    <row r="531" spans="1:13" s="289" customFormat="1" x14ac:dyDescent="0.2">
      <c r="A531" s="330"/>
      <c r="B531" s="334" t="s">
        <v>462</v>
      </c>
      <c r="C531" s="298"/>
      <c r="D531" s="283"/>
      <c r="E531" s="262"/>
      <c r="F531" s="295"/>
      <c r="G531" s="196">
        <f t="shared" si="43"/>
        <v>0</v>
      </c>
      <c r="H531" s="197">
        <f t="shared" si="44"/>
        <v>0</v>
      </c>
      <c r="I531" s="169">
        <f t="shared" si="45"/>
        <v>0</v>
      </c>
      <c r="J531" s="198">
        <f t="shared" si="46"/>
        <v>0</v>
      </c>
      <c r="K531" s="173">
        <f t="shared" si="47"/>
        <v>0</v>
      </c>
      <c r="L531" s="263"/>
      <c r="M531" s="262"/>
    </row>
    <row r="532" spans="1:13" s="289" customFormat="1" x14ac:dyDescent="0.2">
      <c r="A532" s="330" t="s">
        <v>559</v>
      </c>
      <c r="B532" s="335" t="s">
        <v>519</v>
      </c>
      <c r="C532" s="298"/>
      <c r="D532" s="283"/>
      <c r="E532" s="262"/>
      <c r="F532" s="295"/>
      <c r="G532" s="196">
        <f t="shared" si="43"/>
        <v>0</v>
      </c>
      <c r="H532" s="197">
        <f t="shared" si="44"/>
        <v>0</v>
      </c>
      <c r="I532" s="169">
        <f t="shared" si="45"/>
        <v>0</v>
      </c>
      <c r="J532" s="198">
        <f t="shared" si="46"/>
        <v>0</v>
      </c>
      <c r="K532" s="173">
        <f t="shared" si="47"/>
        <v>0</v>
      </c>
      <c r="L532" s="263"/>
      <c r="M532" s="262"/>
    </row>
    <row r="533" spans="1:13" s="289" customFormat="1" x14ac:dyDescent="0.2">
      <c r="A533" s="330"/>
      <c r="B533" s="335" t="s">
        <v>535</v>
      </c>
      <c r="C533" s="298"/>
      <c r="D533" s="283"/>
      <c r="E533" s="262"/>
      <c r="F533" s="295"/>
      <c r="G533" s="196">
        <f t="shared" si="43"/>
        <v>0</v>
      </c>
      <c r="H533" s="197">
        <f t="shared" si="44"/>
        <v>0</v>
      </c>
      <c r="I533" s="169">
        <f t="shared" si="45"/>
        <v>0</v>
      </c>
      <c r="J533" s="198">
        <f t="shared" si="46"/>
        <v>0</v>
      </c>
      <c r="K533" s="173">
        <f t="shared" si="47"/>
        <v>0</v>
      </c>
      <c r="L533" s="263"/>
      <c r="M533" s="262"/>
    </row>
    <row r="534" spans="1:13" s="289" customFormat="1" x14ac:dyDescent="0.2">
      <c r="A534" s="330"/>
      <c r="B534" s="335" t="s">
        <v>466</v>
      </c>
      <c r="C534" s="298"/>
      <c r="D534" s="283"/>
      <c r="E534" s="262"/>
      <c r="F534" s="295"/>
      <c r="G534" s="196">
        <f t="shared" si="43"/>
        <v>0</v>
      </c>
      <c r="H534" s="197">
        <f t="shared" si="44"/>
        <v>0</v>
      </c>
      <c r="I534" s="169">
        <f t="shared" si="45"/>
        <v>0</v>
      </c>
      <c r="J534" s="198">
        <f t="shared" si="46"/>
        <v>0</v>
      </c>
      <c r="K534" s="173">
        <f t="shared" si="47"/>
        <v>0</v>
      </c>
      <c r="L534" s="263"/>
      <c r="M534" s="262"/>
    </row>
    <row r="535" spans="1:13" s="289" customFormat="1" x14ac:dyDescent="0.2">
      <c r="A535" s="330"/>
      <c r="B535" s="335" t="s">
        <v>467</v>
      </c>
      <c r="C535" s="298"/>
      <c r="D535" s="283"/>
      <c r="E535" s="262"/>
      <c r="F535" s="295"/>
      <c r="G535" s="196">
        <f t="shared" si="43"/>
        <v>0</v>
      </c>
      <c r="H535" s="197">
        <f t="shared" si="44"/>
        <v>0</v>
      </c>
      <c r="I535" s="169">
        <f t="shared" si="45"/>
        <v>0</v>
      </c>
      <c r="J535" s="198">
        <f t="shared" si="46"/>
        <v>0</v>
      </c>
      <c r="K535" s="173">
        <f t="shared" si="47"/>
        <v>0</v>
      </c>
      <c r="L535" s="263"/>
      <c r="M535" s="262"/>
    </row>
    <row r="536" spans="1:13" s="289" customFormat="1" x14ac:dyDescent="0.2">
      <c r="A536" s="330"/>
      <c r="B536" s="335" t="s">
        <v>468</v>
      </c>
      <c r="C536" s="298"/>
      <c r="D536" s="283"/>
      <c r="E536" s="262"/>
      <c r="F536" s="295"/>
      <c r="G536" s="196">
        <f t="shared" si="43"/>
        <v>0</v>
      </c>
      <c r="H536" s="197">
        <f t="shared" si="44"/>
        <v>0</v>
      </c>
      <c r="I536" s="169">
        <f t="shared" si="45"/>
        <v>0</v>
      </c>
      <c r="J536" s="198">
        <f t="shared" si="46"/>
        <v>0</v>
      </c>
      <c r="K536" s="173">
        <f t="shared" si="47"/>
        <v>0</v>
      </c>
      <c r="L536" s="263"/>
      <c r="M536" s="262"/>
    </row>
    <row r="537" spans="1:13" s="289" customFormat="1" x14ac:dyDescent="0.2">
      <c r="A537" s="330"/>
      <c r="B537" s="335" t="s">
        <v>520</v>
      </c>
      <c r="C537" s="298"/>
      <c r="D537" s="283"/>
      <c r="E537" s="262"/>
      <c r="F537" s="295"/>
      <c r="G537" s="196">
        <f t="shared" si="43"/>
        <v>0</v>
      </c>
      <c r="H537" s="197">
        <f t="shared" si="44"/>
        <v>0</v>
      </c>
      <c r="I537" s="169">
        <f t="shared" si="45"/>
        <v>0</v>
      </c>
      <c r="J537" s="198">
        <f t="shared" si="46"/>
        <v>0</v>
      </c>
      <c r="K537" s="173">
        <f t="shared" si="47"/>
        <v>0</v>
      </c>
      <c r="L537" s="263"/>
      <c r="M537" s="262"/>
    </row>
    <row r="538" spans="1:13" s="289" customFormat="1" x14ac:dyDescent="0.2">
      <c r="A538" s="330"/>
      <c r="B538" s="335" t="s">
        <v>470</v>
      </c>
      <c r="C538" s="298"/>
      <c r="D538" s="283"/>
      <c r="E538" s="262"/>
      <c r="F538" s="295"/>
      <c r="G538" s="196">
        <f t="shared" si="43"/>
        <v>0</v>
      </c>
      <c r="H538" s="197">
        <f t="shared" si="44"/>
        <v>0</v>
      </c>
      <c r="I538" s="169">
        <f t="shared" si="45"/>
        <v>0</v>
      </c>
      <c r="J538" s="198">
        <f t="shared" si="46"/>
        <v>0</v>
      </c>
      <c r="K538" s="173">
        <f t="shared" si="47"/>
        <v>0</v>
      </c>
      <c r="L538" s="263"/>
      <c r="M538" s="262"/>
    </row>
    <row r="539" spans="1:13" s="289" customFormat="1" x14ac:dyDescent="0.2">
      <c r="A539" s="330"/>
      <c r="B539" s="335" t="s">
        <v>521</v>
      </c>
      <c r="C539" s="298"/>
      <c r="D539" s="283"/>
      <c r="E539" s="262"/>
      <c r="F539" s="295"/>
      <c r="G539" s="196">
        <f t="shared" si="43"/>
        <v>0</v>
      </c>
      <c r="H539" s="197">
        <f t="shared" si="44"/>
        <v>0</v>
      </c>
      <c r="I539" s="169">
        <f t="shared" si="45"/>
        <v>0</v>
      </c>
      <c r="J539" s="198">
        <f t="shared" si="46"/>
        <v>0</v>
      </c>
      <c r="K539" s="173">
        <f t="shared" si="47"/>
        <v>0</v>
      </c>
      <c r="L539" s="263"/>
      <c r="M539" s="262"/>
    </row>
    <row r="540" spans="1:13" s="289" customFormat="1" x14ac:dyDescent="0.2">
      <c r="A540" s="330"/>
      <c r="B540" s="334" t="s">
        <v>472</v>
      </c>
      <c r="C540" s="298"/>
      <c r="D540" s="283"/>
      <c r="E540" s="262"/>
      <c r="F540" s="295"/>
      <c r="G540" s="196">
        <f t="shared" si="43"/>
        <v>0</v>
      </c>
      <c r="H540" s="197">
        <f t="shared" si="44"/>
        <v>0</v>
      </c>
      <c r="I540" s="169">
        <f t="shared" si="45"/>
        <v>0</v>
      </c>
      <c r="J540" s="198">
        <f t="shared" si="46"/>
        <v>0</v>
      </c>
      <c r="K540" s="173">
        <f t="shared" si="47"/>
        <v>0</v>
      </c>
      <c r="L540" s="263"/>
      <c r="M540" s="262"/>
    </row>
    <row r="541" spans="1:13" s="289" customFormat="1" x14ac:dyDescent="0.2">
      <c r="A541" s="330"/>
      <c r="B541" s="335" t="s">
        <v>522</v>
      </c>
      <c r="C541" s="298"/>
      <c r="D541" s="283"/>
      <c r="E541" s="294"/>
      <c r="F541" s="295"/>
      <c r="G541" s="196">
        <f t="shared" si="43"/>
        <v>0</v>
      </c>
      <c r="H541" s="197">
        <f t="shared" si="44"/>
        <v>0</v>
      </c>
      <c r="I541" s="169">
        <f t="shared" si="45"/>
        <v>0</v>
      </c>
      <c r="J541" s="198">
        <f t="shared" si="46"/>
        <v>0</v>
      </c>
      <c r="K541" s="173">
        <f t="shared" si="47"/>
        <v>0</v>
      </c>
      <c r="L541" s="296"/>
      <c r="M541" s="294"/>
    </row>
    <row r="542" spans="1:13" s="289" customFormat="1" x14ac:dyDescent="0.2">
      <c r="A542" s="330"/>
      <c r="B542" s="335" t="s">
        <v>554</v>
      </c>
      <c r="C542" s="283">
        <v>1</v>
      </c>
      <c r="D542" s="283" t="s">
        <v>113</v>
      </c>
      <c r="E542" s="294">
        <v>92000</v>
      </c>
      <c r="F542" s="295">
        <f>ROUND($C542*E542,0)</f>
        <v>92000</v>
      </c>
      <c r="G542" s="196">
        <f t="shared" si="43"/>
        <v>7360</v>
      </c>
      <c r="H542" s="197">
        <f t="shared" si="44"/>
        <v>3680</v>
      </c>
      <c r="I542" s="169">
        <f t="shared" si="45"/>
        <v>62560</v>
      </c>
      <c r="J542" s="198">
        <f t="shared" si="46"/>
        <v>18400</v>
      </c>
      <c r="K542" s="173">
        <f t="shared" si="47"/>
        <v>92000</v>
      </c>
      <c r="L542" s="296"/>
      <c r="M542" s="294"/>
    </row>
    <row r="543" spans="1:13" s="289" customFormat="1" x14ac:dyDescent="0.2">
      <c r="A543" s="330"/>
      <c r="B543" s="335"/>
      <c r="C543" s="283"/>
      <c r="D543" s="283"/>
      <c r="E543" s="262"/>
      <c r="F543" s="295"/>
      <c r="G543" s="196">
        <f t="shared" si="43"/>
        <v>0</v>
      </c>
      <c r="H543" s="197">
        <f t="shared" si="44"/>
        <v>0</v>
      </c>
      <c r="I543" s="169">
        <f t="shared" si="45"/>
        <v>0</v>
      </c>
      <c r="J543" s="198">
        <f t="shared" si="46"/>
        <v>0</v>
      </c>
      <c r="K543" s="173">
        <f t="shared" si="47"/>
        <v>0</v>
      </c>
      <c r="L543" s="263"/>
      <c r="M543" s="262"/>
    </row>
    <row r="544" spans="1:13" s="289" customFormat="1" ht="15" x14ac:dyDescent="0.2">
      <c r="A544" s="330"/>
      <c r="B544" s="333" t="s">
        <v>560</v>
      </c>
      <c r="C544" s="298"/>
      <c r="D544" s="283"/>
      <c r="E544" s="262"/>
      <c r="F544" s="295"/>
      <c r="G544" s="196">
        <f t="shared" si="43"/>
        <v>0</v>
      </c>
      <c r="H544" s="197">
        <f t="shared" si="44"/>
        <v>0</v>
      </c>
      <c r="I544" s="169">
        <f t="shared" si="45"/>
        <v>0</v>
      </c>
      <c r="J544" s="198">
        <f t="shared" si="46"/>
        <v>0</v>
      </c>
      <c r="K544" s="173">
        <f t="shared" si="47"/>
        <v>0</v>
      </c>
      <c r="L544" s="263"/>
      <c r="M544" s="262"/>
    </row>
    <row r="545" spans="1:13" s="289" customFormat="1" x14ac:dyDescent="0.2">
      <c r="A545" s="330"/>
      <c r="B545" s="334" t="s">
        <v>462</v>
      </c>
      <c r="C545" s="298"/>
      <c r="D545" s="283"/>
      <c r="E545" s="262"/>
      <c r="F545" s="295"/>
      <c r="G545" s="196">
        <f t="shared" si="43"/>
        <v>0</v>
      </c>
      <c r="H545" s="197">
        <f t="shared" si="44"/>
        <v>0</v>
      </c>
      <c r="I545" s="169">
        <f t="shared" si="45"/>
        <v>0</v>
      </c>
      <c r="J545" s="198">
        <f t="shared" si="46"/>
        <v>0</v>
      </c>
      <c r="K545" s="173">
        <f t="shared" si="47"/>
        <v>0</v>
      </c>
      <c r="L545" s="263"/>
      <c r="M545" s="262"/>
    </row>
    <row r="546" spans="1:13" s="289" customFormat="1" x14ac:dyDescent="0.2">
      <c r="A546" s="330" t="s">
        <v>561</v>
      </c>
      <c r="B546" s="335" t="s">
        <v>562</v>
      </c>
      <c r="C546" s="298"/>
      <c r="D546" s="283"/>
      <c r="E546" s="262"/>
      <c r="F546" s="295"/>
      <c r="G546" s="196">
        <f t="shared" si="43"/>
        <v>0</v>
      </c>
      <c r="H546" s="197">
        <f t="shared" si="44"/>
        <v>0</v>
      </c>
      <c r="I546" s="169">
        <f t="shared" si="45"/>
        <v>0</v>
      </c>
      <c r="J546" s="198">
        <f t="shared" si="46"/>
        <v>0</v>
      </c>
      <c r="K546" s="173">
        <f t="shared" si="47"/>
        <v>0</v>
      </c>
      <c r="L546" s="263"/>
      <c r="M546" s="262"/>
    </row>
    <row r="547" spans="1:13" s="289" customFormat="1" x14ac:dyDescent="0.2">
      <c r="A547" s="330"/>
      <c r="B547" s="335" t="s">
        <v>563</v>
      </c>
      <c r="C547" s="298"/>
      <c r="D547" s="283"/>
      <c r="E547" s="262"/>
      <c r="F547" s="295"/>
      <c r="G547" s="196">
        <f t="shared" si="43"/>
        <v>0</v>
      </c>
      <c r="H547" s="197">
        <f t="shared" si="44"/>
        <v>0</v>
      </c>
      <c r="I547" s="169">
        <f t="shared" si="45"/>
        <v>0</v>
      </c>
      <c r="J547" s="198">
        <f t="shared" si="46"/>
        <v>0</v>
      </c>
      <c r="K547" s="173">
        <f t="shared" si="47"/>
        <v>0</v>
      </c>
      <c r="L547" s="263"/>
      <c r="M547" s="262"/>
    </row>
    <row r="548" spans="1:13" s="289" customFormat="1" x14ac:dyDescent="0.2">
      <c r="A548" s="330"/>
      <c r="B548" s="335" t="s">
        <v>466</v>
      </c>
      <c r="C548" s="298"/>
      <c r="D548" s="283"/>
      <c r="E548" s="262"/>
      <c r="F548" s="295"/>
      <c r="G548" s="196">
        <f t="shared" si="43"/>
        <v>0</v>
      </c>
      <c r="H548" s="197">
        <f t="shared" si="44"/>
        <v>0</v>
      </c>
      <c r="I548" s="169">
        <f t="shared" si="45"/>
        <v>0</v>
      </c>
      <c r="J548" s="198">
        <f t="shared" si="46"/>
        <v>0</v>
      </c>
      <c r="K548" s="173">
        <f t="shared" si="47"/>
        <v>0</v>
      </c>
      <c r="L548" s="263"/>
      <c r="M548" s="262"/>
    </row>
    <row r="549" spans="1:13" s="289" customFormat="1" x14ac:dyDescent="0.2">
      <c r="A549" s="330"/>
      <c r="B549" s="335" t="s">
        <v>467</v>
      </c>
      <c r="C549" s="298"/>
      <c r="D549" s="283"/>
      <c r="E549" s="262"/>
      <c r="F549" s="295"/>
      <c r="G549" s="196">
        <f t="shared" si="43"/>
        <v>0</v>
      </c>
      <c r="H549" s="197">
        <f t="shared" si="44"/>
        <v>0</v>
      </c>
      <c r="I549" s="169">
        <f t="shared" si="45"/>
        <v>0</v>
      </c>
      <c r="J549" s="198">
        <f t="shared" si="46"/>
        <v>0</v>
      </c>
      <c r="K549" s="173">
        <f t="shared" si="47"/>
        <v>0</v>
      </c>
      <c r="L549" s="263"/>
      <c r="M549" s="262"/>
    </row>
    <row r="550" spans="1:13" s="289" customFormat="1" x14ac:dyDescent="0.2">
      <c r="A550" s="330"/>
      <c r="B550" s="335" t="s">
        <v>468</v>
      </c>
      <c r="C550" s="298"/>
      <c r="D550" s="283"/>
      <c r="E550" s="262"/>
      <c r="F550" s="295"/>
      <c r="G550" s="196">
        <f t="shared" si="43"/>
        <v>0</v>
      </c>
      <c r="H550" s="197">
        <f t="shared" si="44"/>
        <v>0</v>
      </c>
      <c r="I550" s="169">
        <f t="shared" si="45"/>
        <v>0</v>
      </c>
      <c r="J550" s="198">
        <f t="shared" si="46"/>
        <v>0</v>
      </c>
      <c r="K550" s="173">
        <f t="shared" si="47"/>
        <v>0</v>
      </c>
      <c r="L550" s="263"/>
      <c r="M550" s="262"/>
    </row>
    <row r="551" spans="1:13" s="289" customFormat="1" x14ac:dyDescent="0.2">
      <c r="A551" s="330"/>
      <c r="B551" s="335" t="s">
        <v>564</v>
      </c>
      <c r="C551" s="298"/>
      <c r="D551" s="283"/>
      <c r="E551" s="262"/>
      <c r="F551" s="295"/>
      <c r="G551" s="196">
        <f t="shared" si="43"/>
        <v>0</v>
      </c>
      <c r="H551" s="197">
        <f t="shared" si="44"/>
        <v>0</v>
      </c>
      <c r="I551" s="169">
        <f t="shared" si="45"/>
        <v>0</v>
      </c>
      <c r="J551" s="198">
        <f t="shared" si="46"/>
        <v>0</v>
      </c>
      <c r="K551" s="173">
        <f t="shared" si="47"/>
        <v>0</v>
      </c>
      <c r="L551" s="263"/>
      <c r="M551" s="262"/>
    </row>
    <row r="552" spans="1:13" s="289" customFormat="1" x14ac:dyDescent="0.2">
      <c r="A552" s="336"/>
      <c r="B552" s="337" t="s">
        <v>470</v>
      </c>
      <c r="C552" s="338"/>
      <c r="D552" s="301"/>
      <c r="E552" s="267"/>
      <c r="F552" s="303"/>
      <c r="G552" s="196">
        <f t="shared" si="43"/>
        <v>0</v>
      </c>
      <c r="H552" s="197">
        <f t="shared" si="44"/>
        <v>0</v>
      </c>
      <c r="I552" s="169">
        <f t="shared" si="45"/>
        <v>0</v>
      </c>
      <c r="J552" s="198">
        <f t="shared" si="46"/>
        <v>0</v>
      </c>
      <c r="K552" s="173">
        <f t="shared" si="47"/>
        <v>0</v>
      </c>
      <c r="L552" s="268"/>
      <c r="M552" s="267"/>
    </row>
    <row r="553" spans="1:13" s="289" customFormat="1" x14ac:dyDescent="0.2">
      <c r="A553" s="340"/>
      <c r="B553" s="341" t="s">
        <v>565</v>
      </c>
      <c r="C553" s="314"/>
      <c r="D553" s="307"/>
      <c r="E553" s="269"/>
      <c r="F553" s="309"/>
      <c r="G553" s="196">
        <f t="shared" si="43"/>
        <v>0</v>
      </c>
      <c r="H553" s="197">
        <f t="shared" si="44"/>
        <v>0</v>
      </c>
      <c r="I553" s="169">
        <f t="shared" si="45"/>
        <v>0</v>
      </c>
      <c r="J553" s="198">
        <f t="shared" si="46"/>
        <v>0</v>
      </c>
      <c r="K553" s="173">
        <f t="shared" si="47"/>
        <v>0</v>
      </c>
      <c r="L553" s="270"/>
      <c r="M553" s="269"/>
    </row>
    <row r="554" spans="1:13" s="289" customFormat="1" x14ac:dyDescent="0.2">
      <c r="A554" s="330"/>
      <c r="B554" s="334" t="s">
        <v>472</v>
      </c>
      <c r="C554" s="298"/>
      <c r="D554" s="283"/>
      <c r="E554" s="262"/>
      <c r="F554" s="295"/>
      <c r="G554" s="196">
        <f t="shared" si="43"/>
        <v>0</v>
      </c>
      <c r="H554" s="197">
        <f t="shared" si="44"/>
        <v>0</v>
      </c>
      <c r="I554" s="169">
        <f t="shared" si="45"/>
        <v>0</v>
      </c>
      <c r="J554" s="198">
        <f t="shared" si="46"/>
        <v>0</v>
      </c>
      <c r="K554" s="173">
        <f t="shared" si="47"/>
        <v>0</v>
      </c>
      <c r="L554" s="263"/>
      <c r="M554" s="262"/>
    </row>
    <row r="555" spans="1:13" s="289" customFormat="1" x14ac:dyDescent="0.2">
      <c r="A555" s="330"/>
      <c r="B555" s="335" t="s">
        <v>546</v>
      </c>
      <c r="C555" s="298"/>
      <c r="D555" s="283"/>
      <c r="E555" s="294"/>
      <c r="F555" s="295"/>
      <c r="G555" s="196">
        <f t="shared" si="43"/>
        <v>0</v>
      </c>
      <c r="H555" s="197">
        <f t="shared" si="44"/>
        <v>0</v>
      </c>
      <c r="I555" s="169">
        <f t="shared" si="45"/>
        <v>0</v>
      </c>
      <c r="J555" s="198">
        <f t="shared" si="46"/>
        <v>0</v>
      </c>
      <c r="K555" s="173">
        <f t="shared" si="47"/>
        <v>0</v>
      </c>
      <c r="L555" s="296"/>
      <c r="M555" s="294"/>
    </row>
    <row r="556" spans="1:13" s="289" customFormat="1" x14ac:dyDescent="0.2">
      <c r="A556" s="330"/>
      <c r="B556" s="335" t="s">
        <v>566</v>
      </c>
      <c r="C556" s="283">
        <v>1</v>
      </c>
      <c r="D556" s="283" t="s">
        <v>113</v>
      </c>
      <c r="E556" s="294">
        <v>36000</v>
      </c>
      <c r="F556" s="295">
        <f>ROUND($C556*E556,0)</f>
        <v>36000</v>
      </c>
      <c r="G556" s="196">
        <f t="shared" si="43"/>
        <v>2880</v>
      </c>
      <c r="H556" s="197">
        <f t="shared" si="44"/>
        <v>1440</v>
      </c>
      <c r="I556" s="169">
        <f t="shared" si="45"/>
        <v>24480</v>
      </c>
      <c r="J556" s="198">
        <f t="shared" si="46"/>
        <v>7200</v>
      </c>
      <c r="K556" s="173">
        <f t="shared" si="47"/>
        <v>36000</v>
      </c>
      <c r="L556" s="296"/>
      <c r="M556" s="294"/>
    </row>
    <row r="557" spans="1:13" s="289" customFormat="1" x14ac:dyDescent="0.2">
      <c r="A557" s="330"/>
      <c r="B557" s="335"/>
      <c r="C557" s="283"/>
      <c r="D557" s="283"/>
      <c r="E557" s="262"/>
      <c r="F557" s="295"/>
      <c r="G557" s="196">
        <f t="shared" si="43"/>
        <v>0</v>
      </c>
      <c r="H557" s="197">
        <f t="shared" si="44"/>
        <v>0</v>
      </c>
      <c r="I557" s="169">
        <f t="shared" si="45"/>
        <v>0</v>
      </c>
      <c r="J557" s="198">
        <f t="shared" si="46"/>
        <v>0</v>
      </c>
      <c r="K557" s="173">
        <f t="shared" si="47"/>
        <v>0</v>
      </c>
      <c r="L557" s="263"/>
      <c r="M557" s="262"/>
    </row>
    <row r="558" spans="1:13" s="289" customFormat="1" ht="15" x14ac:dyDescent="0.2">
      <c r="A558" s="330"/>
      <c r="B558" s="333" t="s">
        <v>567</v>
      </c>
      <c r="C558" s="298"/>
      <c r="D558" s="283"/>
      <c r="E558" s="262"/>
      <c r="F558" s="295"/>
      <c r="G558" s="196">
        <f t="shared" si="43"/>
        <v>0</v>
      </c>
      <c r="H558" s="197">
        <f t="shared" si="44"/>
        <v>0</v>
      </c>
      <c r="I558" s="169">
        <f t="shared" si="45"/>
        <v>0</v>
      </c>
      <c r="J558" s="198">
        <f t="shared" si="46"/>
        <v>0</v>
      </c>
      <c r="K558" s="173">
        <f t="shared" si="47"/>
        <v>0</v>
      </c>
      <c r="L558" s="263"/>
      <c r="M558" s="262"/>
    </row>
    <row r="559" spans="1:13" s="289" customFormat="1" x14ac:dyDescent="0.2">
      <c r="A559" s="330"/>
      <c r="B559" s="334" t="s">
        <v>462</v>
      </c>
      <c r="C559" s="298"/>
      <c r="D559" s="283"/>
      <c r="E559" s="262"/>
      <c r="F559" s="295"/>
      <c r="G559" s="196">
        <f t="shared" si="43"/>
        <v>0</v>
      </c>
      <c r="H559" s="197">
        <f t="shared" si="44"/>
        <v>0</v>
      </c>
      <c r="I559" s="169">
        <f t="shared" si="45"/>
        <v>0</v>
      </c>
      <c r="J559" s="198">
        <f t="shared" si="46"/>
        <v>0</v>
      </c>
      <c r="K559" s="173">
        <f t="shared" si="47"/>
        <v>0</v>
      </c>
      <c r="L559" s="263"/>
      <c r="M559" s="262"/>
    </row>
    <row r="560" spans="1:13" s="289" customFormat="1" x14ac:dyDescent="0.2">
      <c r="A560" s="330" t="s">
        <v>568</v>
      </c>
      <c r="B560" s="335" t="s">
        <v>569</v>
      </c>
      <c r="C560" s="298"/>
      <c r="D560" s="283"/>
      <c r="E560" s="262"/>
      <c r="F560" s="295"/>
      <c r="G560" s="196">
        <f t="shared" si="43"/>
        <v>0</v>
      </c>
      <c r="H560" s="197">
        <f t="shared" si="44"/>
        <v>0</v>
      </c>
      <c r="I560" s="169">
        <f t="shared" si="45"/>
        <v>0</v>
      </c>
      <c r="J560" s="198">
        <f t="shared" si="46"/>
        <v>0</v>
      </c>
      <c r="K560" s="173">
        <f t="shared" si="47"/>
        <v>0</v>
      </c>
      <c r="L560" s="263"/>
      <c r="M560" s="262"/>
    </row>
    <row r="561" spans="1:13" s="289" customFormat="1" x14ac:dyDescent="0.2">
      <c r="A561" s="330"/>
      <c r="B561" s="335" t="s">
        <v>563</v>
      </c>
      <c r="C561" s="298"/>
      <c r="D561" s="283"/>
      <c r="E561" s="262"/>
      <c r="F561" s="295"/>
      <c r="G561" s="196">
        <f t="shared" si="43"/>
        <v>0</v>
      </c>
      <c r="H561" s="197">
        <f t="shared" si="44"/>
        <v>0</v>
      </c>
      <c r="I561" s="169">
        <f t="shared" si="45"/>
        <v>0</v>
      </c>
      <c r="J561" s="198">
        <f t="shared" si="46"/>
        <v>0</v>
      </c>
      <c r="K561" s="173">
        <f t="shared" si="47"/>
        <v>0</v>
      </c>
      <c r="L561" s="263"/>
      <c r="M561" s="262"/>
    </row>
    <row r="562" spans="1:13" s="289" customFormat="1" x14ac:dyDescent="0.2">
      <c r="A562" s="330"/>
      <c r="B562" s="335" t="s">
        <v>466</v>
      </c>
      <c r="C562" s="298"/>
      <c r="D562" s="283"/>
      <c r="E562" s="262"/>
      <c r="F562" s="295"/>
      <c r="G562" s="196">
        <f t="shared" si="43"/>
        <v>0</v>
      </c>
      <c r="H562" s="197">
        <f t="shared" si="44"/>
        <v>0</v>
      </c>
      <c r="I562" s="169">
        <f t="shared" si="45"/>
        <v>0</v>
      </c>
      <c r="J562" s="198">
        <f t="shared" si="46"/>
        <v>0</v>
      </c>
      <c r="K562" s="173">
        <f t="shared" si="47"/>
        <v>0</v>
      </c>
      <c r="L562" s="263"/>
      <c r="M562" s="262"/>
    </row>
    <row r="563" spans="1:13" s="289" customFormat="1" x14ac:dyDescent="0.2">
      <c r="A563" s="330"/>
      <c r="B563" s="335" t="s">
        <v>467</v>
      </c>
      <c r="C563" s="298"/>
      <c r="D563" s="283"/>
      <c r="E563" s="262"/>
      <c r="F563" s="295"/>
      <c r="G563" s="196">
        <f t="shared" si="43"/>
        <v>0</v>
      </c>
      <c r="H563" s="197">
        <f t="shared" si="44"/>
        <v>0</v>
      </c>
      <c r="I563" s="169">
        <f t="shared" si="45"/>
        <v>0</v>
      </c>
      <c r="J563" s="198">
        <f t="shared" si="46"/>
        <v>0</v>
      </c>
      <c r="K563" s="173">
        <f t="shared" si="47"/>
        <v>0</v>
      </c>
      <c r="L563" s="263"/>
      <c r="M563" s="262"/>
    </row>
    <row r="564" spans="1:13" s="289" customFormat="1" x14ac:dyDescent="0.2">
      <c r="A564" s="330"/>
      <c r="B564" s="335" t="s">
        <v>468</v>
      </c>
      <c r="C564" s="298"/>
      <c r="D564" s="283"/>
      <c r="E564" s="262"/>
      <c r="F564" s="295"/>
      <c r="G564" s="196">
        <f t="shared" si="43"/>
        <v>0</v>
      </c>
      <c r="H564" s="197">
        <f t="shared" si="44"/>
        <v>0</v>
      </c>
      <c r="I564" s="169">
        <f t="shared" si="45"/>
        <v>0</v>
      </c>
      <c r="J564" s="198">
        <f t="shared" si="46"/>
        <v>0</v>
      </c>
      <c r="K564" s="173">
        <f t="shared" si="47"/>
        <v>0</v>
      </c>
      <c r="L564" s="263"/>
      <c r="M564" s="262"/>
    </row>
    <row r="565" spans="1:13" s="289" customFormat="1" x14ac:dyDescent="0.2">
      <c r="A565" s="330"/>
      <c r="B565" s="335" t="s">
        <v>564</v>
      </c>
      <c r="C565" s="298"/>
      <c r="D565" s="283"/>
      <c r="E565" s="262"/>
      <c r="F565" s="295"/>
      <c r="G565" s="196">
        <f t="shared" si="43"/>
        <v>0</v>
      </c>
      <c r="H565" s="197">
        <f t="shared" si="44"/>
        <v>0</v>
      </c>
      <c r="I565" s="169">
        <f t="shared" si="45"/>
        <v>0</v>
      </c>
      <c r="J565" s="198">
        <f t="shared" si="46"/>
        <v>0</v>
      </c>
      <c r="K565" s="173">
        <f t="shared" si="47"/>
        <v>0</v>
      </c>
      <c r="L565" s="263"/>
      <c r="M565" s="262"/>
    </row>
    <row r="566" spans="1:13" s="289" customFormat="1" x14ac:dyDescent="0.2">
      <c r="A566" s="330"/>
      <c r="B566" s="335" t="s">
        <v>470</v>
      </c>
      <c r="C566" s="298"/>
      <c r="D566" s="283"/>
      <c r="E566" s="262"/>
      <c r="F566" s="295"/>
      <c r="G566" s="196">
        <f t="shared" si="43"/>
        <v>0</v>
      </c>
      <c r="H566" s="197">
        <f t="shared" si="44"/>
        <v>0</v>
      </c>
      <c r="I566" s="169">
        <f t="shared" si="45"/>
        <v>0</v>
      </c>
      <c r="J566" s="198">
        <f t="shared" si="46"/>
        <v>0</v>
      </c>
      <c r="K566" s="173">
        <f t="shared" si="47"/>
        <v>0</v>
      </c>
      <c r="L566" s="263"/>
      <c r="M566" s="262"/>
    </row>
    <row r="567" spans="1:13" s="289" customFormat="1" x14ac:dyDescent="0.2">
      <c r="A567" s="330"/>
      <c r="B567" s="335" t="s">
        <v>565</v>
      </c>
      <c r="C567" s="298"/>
      <c r="D567" s="283"/>
      <c r="E567" s="262"/>
      <c r="F567" s="295"/>
      <c r="G567" s="196">
        <f t="shared" si="43"/>
        <v>0</v>
      </c>
      <c r="H567" s="197">
        <f t="shared" si="44"/>
        <v>0</v>
      </c>
      <c r="I567" s="169">
        <f t="shared" si="45"/>
        <v>0</v>
      </c>
      <c r="J567" s="198">
        <f t="shared" si="46"/>
        <v>0</v>
      </c>
      <c r="K567" s="173">
        <f t="shared" si="47"/>
        <v>0</v>
      </c>
      <c r="L567" s="263"/>
      <c r="M567" s="262"/>
    </row>
    <row r="568" spans="1:13" s="289" customFormat="1" x14ac:dyDescent="0.2">
      <c r="A568" s="330"/>
      <c r="B568" s="334" t="s">
        <v>472</v>
      </c>
      <c r="C568" s="298"/>
      <c r="D568" s="283"/>
      <c r="E568" s="262"/>
      <c r="F568" s="295"/>
      <c r="G568" s="196">
        <f t="shared" si="43"/>
        <v>0</v>
      </c>
      <c r="H568" s="197">
        <f t="shared" si="44"/>
        <v>0</v>
      </c>
      <c r="I568" s="169">
        <f t="shared" si="45"/>
        <v>0</v>
      </c>
      <c r="J568" s="198">
        <f t="shared" si="46"/>
        <v>0</v>
      </c>
      <c r="K568" s="173">
        <f t="shared" si="47"/>
        <v>0</v>
      </c>
      <c r="L568" s="263"/>
      <c r="M568" s="262"/>
    </row>
    <row r="569" spans="1:13" s="289" customFormat="1" x14ac:dyDescent="0.2">
      <c r="A569" s="330"/>
      <c r="B569" s="335" t="s">
        <v>516</v>
      </c>
      <c r="C569" s="298"/>
      <c r="D569" s="283"/>
      <c r="E569" s="294"/>
      <c r="F569" s="295"/>
      <c r="G569" s="196">
        <f t="shared" si="43"/>
        <v>0</v>
      </c>
      <c r="H569" s="197">
        <f t="shared" si="44"/>
        <v>0</v>
      </c>
      <c r="I569" s="169">
        <f t="shared" si="45"/>
        <v>0</v>
      </c>
      <c r="J569" s="198">
        <f t="shared" si="46"/>
        <v>0</v>
      </c>
      <c r="K569" s="173">
        <f t="shared" si="47"/>
        <v>0</v>
      </c>
      <c r="L569" s="296"/>
      <c r="M569" s="294"/>
    </row>
    <row r="570" spans="1:13" s="289" customFormat="1" x14ac:dyDescent="0.2">
      <c r="A570" s="330"/>
      <c r="B570" s="335" t="s">
        <v>570</v>
      </c>
      <c r="C570" s="283">
        <v>1</v>
      </c>
      <c r="D570" s="283" t="s">
        <v>113</v>
      </c>
      <c r="E570" s="294">
        <v>35000</v>
      </c>
      <c r="F570" s="295">
        <f>ROUND($C570*E570,0)</f>
        <v>35000</v>
      </c>
      <c r="G570" s="196">
        <f t="shared" si="43"/>
        <v>2800</v>
      </c>
      <c r="H570" s="197">
        <f t="shared" si="44"/>
        <v>1400</v>
      </c>
      <c r="I570" s="169">
        <f t="shared" si="45"/>
        <v>23800</v>
      </c>
      <c r="J570" s="198">
        <f t="shared" si="46"/>
        <v>7000</v>
      </c>
      <c r="K570" s="173">
        <f t="shared" si="47"/>
        <v>35000</v>
      </c>
      <c r="L570" s="296"/>
      <c r="M570" s="294"/>
    </row>
    <row r="571" spans="1:13" s="289" customFormat="1" x14ac:dyDescent="0.2">
      <c r="A571" s="330"/>
      <c r="B571" s="335"/>
      <c r="C571" s="283"/>
      <c r="D571" s="283"/>
      <c r="E571" s="262"/>
      <c r="F571" s="295"/>
      <c r="G571" s="196">
        <f t="shared" si="43"/>
        <v>0</v>
      </c>
      <c r="H571" s="197">
        <f t="shared" si="44"/>
        <v>0</v>
      </c>
      <c r="I571" s="169">
        <f t="shared" si="45"/>
        <v>0</v>
      </c>
      <c r="J571" s="198">
        <f t="shared" si="46"/>
        <v>0</v>
      </c>
      <c r="K571" s="173">
        <f t="shared" si="47"/>
        <v>0</v>
      </c>
      <c r="L571" s="263"/>
      <c r="M571" s="262"/>
    </row>
    <row r="572" spans="1:13" s="289" customFormat="1" ht="15" x14ac:dyDescent="0.2">
      <c r="A572" s="330"/>
      <c r="B572" s="333" t="s">
        <v>571</v>
      </c>
      <c r="C572" s="298"/>
      <c r="D572" s="283"/>
      <c r="E572" s="262"/>
      <c r="F572" s="295"/>
      <c r="G572" s="196">
        <f t="shared" si="43"/>
        <v>0</v>
      </c>
      <c r="H572" s="197">
        <f t="shared" si="44"/>
        <v>0</v>
      </c>
      <c r="I572" s="169">
        <f t="shared" si="45"/>
        <v>0</v>
      </c>
      <c r="J572" s="198">
        <f t="shared" si="46"/>
        <v>0</v>
      </c>
      <c r="K572" s="173">
        <f t="shared" si="47"/>
        <v>0</v>
      </c>
      <c r="L572" s="263"/>
      <c r="M572" s="262"/>
    </row>
    <row r="573" spans="1:13" s="289" customFormat="1" x14ac:dyDescent="0.2">
      <c r="A573" s="330"/>
      <c r="B573" s="334" t="s">
        <v>462</v>
      </c>
      <c r="C573" s="298"/>
      <c r="D573" s="283"/>
      <c r="E573" s="262"/>
      <c r="F573" s="295"/>
      <c r="G573" s="196">
        <f t="shared" si="43"/>
        <v>0</v>
      </c>
      <c r="H573" s="197">
        <f t="shared" si="44"/>
        <v>0</v>
      </c>
      <c r="I573" s="169">
        <f t="shared" si="45"/>
        <v>0</v>
      </c>
      <c r="J573" s="198">
        <f t="shared" si="46"/>
        <v>0</v>
      </c>
      <c r="K573" s="173">
        <f t="shared" si="47"/>
        <v>0</v>
      </c>
      <c r="L573" s="263"/>
      <c r="M573" s="262"/>
    </row>
    <row r="574" spans="1:13" s="289" customFormat="1" x14ac:dyDescent="0.2">
      <c r="A574" s="330" t="s">
        <v>572</v>
      </c>
      <c r="B574" s="335" t="s">
        <v>573</v>
      </c>
      <c r="C574" s="298"/>
      <c r="D574" s="283"/>
      <c r="E574" s="262"/>
      <c r="F574" s="295"/>
      <c r="G574" s="196">
        <f t="shared" si="43"/>
        <v>0</v>
      </c>
      <c r="H574" s="197">
        <f t="shared" si="44"/>
        <v>0</v>
      </c>
      <c r="I574" s="169">
        <f t="shared" si="45"/>
        <v>0</v>
      </c>
      <c r="J574" s="198">
        <f t="shared" si="46"/>
        <v>0</v>
      </c>
      <c r="K574" s="173">
        <f t="shared" si="47"/>
        <v>0</v>
      </c>
      <c r="L574" s="263"/>
      <c r="M574" s="262"/>
    </row>
    <row r="575" spans="1:13" s="289" customFormat="1" x14ac:dyDescent="0.2">
      <c r="A575" s="330"/>
      <c r="B575" s="335" t="s">
        <v>574</v>
      </c>
      <c r="C575" s="298"/>
      <c r="D575" s="283"/>
      <c r="E575" s="262"/>
      <c r="F575" s="295"/>
      <c r="G575" s="196">
        <f t="shared" si="43"/>
        <v>0</v>
      </c>
      <c r="H575" s="197">
        <f t="shared" si="44"/>
        <v>0</v>
      </c>
      <c r="I575" s="169">
        <f t="shared" si="45"/>
        <v>0</v>
      </c>
      <c r="J575" s="198">
        <f t="shared" si="46"/>
        <v>0</v>
      </c>
      <c r="K575" s="173">
        <f t="shared" si="47"/>
        <v>0</v>
      </c>
      <c r="L575" s="263"/>
      <c r="M575" s="262"/>
    </row>
    <row r="576" spans="1:13" s="289" customFormat="1" x14ac:dyDescent="0.2">
      <c r="A576" s="330"/>
      <c r="B576" s="335" t="s">
        <v>466</v>
      </c>
      <c r="C576" s="298"/>
      <c r="D576" s="283"/>
      <c r="E576" s="262"/>
      <c r="F576" s="295"/>
      <c r="G576" s="196">
        <f t="shared" si="43"/>
        <v>0</v>
      </c>
      <c r="H576" s="197">
        <f t="shared" si="44"/>
        <v>0</v>
      </c>
      <c r="I576" s="169">
        <f t="shared" si="45"/>
        <v>0</v>
      </c>
      <c r="J576" s="198">
        <f t="shared" si="46"/>
        <v>0</v>
      </c>
      <c r="K576" s="173">
        <f t="shared" si="47"/>
        <v>0</v>
      </c>
      <c r="L576" s="263"/>
      <c r="M576" s="262"/>
    </row>
    <row r="577" spans="1:13" s="289" customFormat="1" x14ac:dyDescent="0.2">
      <c r="A577" s="330"/>
      <c r="B577" s="335" t="s">
        <v>467</v>
      </c>
      <c r="C577" s="298"/>
      <c r="D577" s="283"/>
      <c r="E577" s="262"/>
      <c r="F577" s="295"/>
      <c r="G577" s="196">
        <f t="shared" si="43"/>
        <v>0</v>
      </c>
      <c r="H577" s="197">
        <f t="shared" si="44"/>
        <v>0</v>
      </c>
      <c r="I577" s="169">
        <f t="shared" si="45"/>
        <v>0</v>
      </c>
      <c r="J577" s="198">
        <f t="shared" si="46"/>
        <v>0</v>
      </c>
      <c r="K577" s="173">
        <f t="shared" si="47"/>
        <v>0</v>
      </c>
      <c r="L577" s="263"/>
      <c r="M577" s="262"/>
    </row>
    <row r="578" spans="1:13" s="289" customFormat="1" x14ac:dyDescent="0.2">
      <c r="A578" s="330"/>
      <c r="B578" s="335" t="s">
        <v>468</v>
      </c>
      <c r="C578" s="298"/>
      <c r="D578" s="283"/>
      <c r="E578" s="262"/>
      <c r="F578" s="295"/>
      <c r="G578" s="196">
        <f t="shared" si="43"/>
        <v>0</v>
      </c>
      <c r="H578" s="197">
        <f t="shared" si="44"/>
        <v>0</v>
      </c>
      <c r="I578" s="169">
        <f t="shared" si="45"/>
        <v>0</v>
      </c>
      <c r="J578" s="198">
        <f t="shared" si="46"/>
        <v>0</v>
      </c>
      <c r="K578" s="173">
        <f t="shared" si="47"/>
        <v>0</v>
      </c>
      <c r="L578" s="263"/>
      <c r="M578" s="262"/>
    </row>
    <row r="579" spans="1:13" s="289" customFormat="1" x14ac:dyDescent="0.2">
      <c r="A579" s="330"/>
      <c r="B579" s="335" t="s">
        <v>552</v>
      </c>
      <c r="C579" s="298"/>
      <c r="D579" s="283"/>
      <c r="E579" s="262"/>
      <c r="F579" s="295"/>
      <c r="G579" s="196">
        <f t="shared" si="43"/>
        <v>0</v>
      </c>
      <c r="H579" s="197">
        <f t="shared" si="44"/>
        <v>0</v>
      </c>
      <c r="I579" s="169">
        <f t="shared" si="45"/>
        <v>0</v>
      </c>
      <c r="J579" s="198">
        <f t="shared" si="46"/>
        <v>0</v>
      </c>
      <c r="K579" s="173">
        <f t="shared" si="47"/>
        <v>0</v>
      </c>
      <c r="L579" s="263"/>
      <c r="M579" s="262"/>
    </row>
    <row r="580" spans="1:13" s="289" customFormat="1" x14ac:dyDescent="0.2">
      <c r="A580" s="330"/>
      <c r="B580" s="335" t="s">
        <v>470</v>
      </c>
      <c r="C580" s="298"/>
      <c r="D580" s="283"/>
      <c r="E580" s="262"/>
      <c r="F580" s="295"/>
      <c r="G580" s="196">
        <f t="shared" si="43"/>
        <v>0</v>
      </c>
      <c r="H580" s="197">
        <f t="shared" si="44"/>
        <v>0</v>
      </c>
      <c r="I580" s="169">
        <f t="shared" si="45"/>
        <v>0</v>
      </c>
      <c r="J580" s="198">
        <f t="shared" si="46"/>
        <v>0</v>
      </c>
      <c r="K580" s="173">
        <f t="shared" si="47"/>
        <v>0</v>
      </c>
      <c r="L580" s="263"/>
      <c r="M580" s="262"/>
    </row>
    <row r="581" spans="1:13" s="289" customFormat="1" x14ac:dyDescent="0.2">
      <c r="A581" s="330"/>
      <c r="B581" s="335" t="s">
        <v>553</v>
      </c>
      <c r="C581" s="298"/>
      <c r="D581" s="283"/>
      <c r="E581" s="262"/>
      <c r="F581" s="295"/>
      <c r="G581" s="196">
        <f t="shared" si="43"/>
        <v>0</v>
      </c>
      <c r="H581" s="197">
        <f t="shared" si="44"/>
        <v>0</v>
      </c>
      <c r="I581" s="169">
        <f t="shared" si="45"/>
        <v>0</v>
      </c>
      <c r="J581" s="198">
        <f t="shared" si="46"/>
        <v>0</v>
      </c>
      <c r="K581" s="173">
        <f t="shared" si="47"/>
        <v>0</v>
      </c>
      <c r="L581" s="263"/>
      <c r="M581" s="262"/>
    </row>
    <row r="582" spans="1:13" s="289" customFormat="1" x14ac:dyDescent="0.2">
      <c r="A582" s="330"/>
      <c r="B582" s="334" t="s">
        <v>472</v>
      </c>
      <c r="C582" s="298"/>
      <c r="D582" s="283"/>
      <c r="E582" s="262"/>
      <c r="F582" s="295"/>
      <c r="G582" s="196">
        <f t="shared" si="43"/>
        <v>0</v>
      </c>
      <c r="H582" s="197">
        <f t="shared" si="44"/>
        <v>0</v>
      </c>
      <c r="I582" s="169">
        <f t="shared" si="45"/>
        <v>0</v>
      </c>
      <c r="J582" s="198">
        <f t="shared" si="46"/>
        <v>0</v>
      </c>
      <c r="K582" s="173">
        <f t="shared" si="47"/>
        <v>0</v>
      </c>
      <c r="L582" s="263"/>
      <c r="M582" s="262"/>
    </row>
    <row r="583" spans="1:13" s="289" customFormat="1" x14ac:dyDescent="0.2">
      <c r="A583" s="330"/>
      <c r="B583" s="335" t="s">
        <v>575</v>
      </c>
      <c r="C583" s="298"/>
      <c r="D583" s="283"/>
      <c r="E583" s="262"/>
      <c r="F583" s="295"/>
      <c r="G583" s="196">
        <f t="shared" si="43"/>
        <v>0</v>
      </c>
      <c r="H583" s="197">
        <f t="shared" si="44"/>
        <v>0</v>
      </c>
      <c r="I583" s="169">
        <f t="shared" si="45"/>
        <v>0</v>
      </c>
      <c r="J583" s="198">
        <f t="shared" si="46"/>
        <v>0</v>
      </c>
      <c r="K583" s="173">
        <f t="shared" si="47"/>
        <v>0</v>
      </c>
      <c r="L583" s="263"/>
      <c r="M583" s="262"/>
    </row>
    <row r="584" spans="1:13" s="289" customFormat="1" x14ac:dyDescent="0.2">
      <c r="A584" s="330"/>
      <c r="B584" s="335" t="s">
        <v>576</v>
      </c>
      <c r="C584" s="298"/>
      <c r="D584" s="283"/>
      <c r="E584" s="294"/>
      <c r="F584" s="295"/>
      <c r="G584" s="196">
        <f t="shared" si="43"/>
        <v>0</v>
      </c>
      <c r="H584" s="197">
        <f t="shared" si="44"/>
        <v>0</v>
      </c>
      <c r="I584" s="169">
        <f t="shared" si="45"/>
        <v>0</v>
      </c>
      <c r="J584" s="198">
        <f t="shared" si="46"/>
        <v>0</v>
      </c>
      <c r="K584" s="173">
        <f t="shared" si="47"/>
        <v>0</v>
      </c>
      <c r="L584" s="296"/>
      <c r="M584" s="294"/>
    </row>
    <row r="585" spans="1:13" s="289" customFormat="1" x14ac:dyDescent="0.2">
      <c r="A585" s="330"/>
      <c r="B585" s="335" t="s">
        <v>577</v>
      </c>
      <c r="C585" s="283">
        <v>1</v>
      </c>
      <c r="D585" s="283" t="s">
        <v>113</v>
      </c>
      <c r="E585" s="294">
        <v>76000</v>
      </c>
      <c r="F585" s="295">
        <f>ROUND($C585*E585,0)</f>
        <v>76000</v>
      </c>
      <c r="G585" s="196">
        <f t="shared" si="43"/>
        <v>6080</v>
      </c>
      <c r="H585" s="197">
        <f t="shared" si="44"/>
        <v>3040</v>
      </c>
      <c r="I585" s="169">
        <f t="shared" si="45"/>
        <v>51680</v>
      </c>
      <c r="J585" s="198">
        <f t="shared" si="46"/>
        <v>15200</v>
      </c>
      <c r="K585" s="173">
        <f t="shared" si="47"/>
        <v>76000</v>
      </c>
      <c r="L585" s="296"/>
      <c r="M585" s="294"/>
    </row>
    <row r="586" spans="1:13" s="289" customFormat="1" x14ac:dyDescent="0.2">
      <c r="A586" s="330"/>
      <c r="B586" s="335"/>
      <c r="C586" s="283"/>
      <c r="D586" s="283"/>
      <c r="E586" s="262"/>
      <c r="F586" s="297"/>
      <c r="G586" s="196">
        <f t="shared" si="43"/>
        <v>0</v>
      </c>
      <c r="H586" s="197">
        <f t="shared" si="44"/>
        <v>0</v>
      </c>
      <c r="I586" s="169">
        <f t="shared" si="45"/>
        <v>0</v>
      </c>
      <c r="J586" s="198">
        <f t="shared" si="46"/>
        <v>0</v>
      </c>
      <c r="K586" s="173">
        <f t="shared" si="47"/>
        <v>0</v>
      </c>
      <c r="L586" s="263"/>
      <c r="M586" s="262"/>
    </row>
    <row r="587" spans="1:13" s="289" customFormat="1" ht="15" x14ac:dyDescent="0.25">
      <c r="A587" s="290"/>
      <c r="B587" s="282" t="s">
        <v>578</v>
      </c>
      <c r="C587" s="298"/>
      <c r="D587" s="298"/>
      <c r="E587" s="262"/>
      <c r="F587" s="295"/>
      <c r="G587" s="196">
        <f t="shared" si="43"/>
        <v>0</v>
      </c>
      <c r="H587" s="197">
        <f t="shared" si="44"/>
        <v>0</v>
      </c>
      <c r="I587" s="169">
        <f t="shared" si="45"/>
        <v>0</v>
      </c>
      <c r="J587" s="198">
        <f t="shared" si="46"/>
        <v>0</v>
      </c>
      <c r="K587" s="173">
        <f t="shared" si="47"/>
        <v>0</v>
      </c>
      <c r="L587" s="263"/>
      <c r="M587" s="262"/>
    </row>
    <row r="588" spans="1:13" s="289" customFormat="1" ht="66" customHeight="1" x14ac:dyDescent="0.25">
      <c r="A588" s="281">
        <v>9.1899999999999959</v>
      </c>
      <c r="B588" s="291" t="s">
        <v>579</v>
      </c>
      <c r="C588" s="283">
        <v>12</v>
      </c>
      <c r="D588" s="283" t="s">
        <v>326</v>
      </c>
      <c r="E588" s="262">
        <v>2500</v>
      </c>
      <c r="F588" s="295">
        <f>ROUND($C588*E588,0)</f>
        <v>30000</v>
      </c>
      <c r="G588" s="196">
        <f t="shared" si="43"/>
        <v>200</v>
      </c>
      <c r="H588" s="197">
        <f t="shared" si="44"/>
        <v>100</v>
      </c>
      <c r="I588" s="169">
        <f t="shared" si="45"/>
        <v>1700</v>
      </c>
      <c r="J588" s="198">
        <f t="shared" si="46"/>
        <v>500</v>
      </c>
      <c r="K588" s="173">
        <f t="shared" si="47"/>
        <v>2500</v>
      </c>
      <c r="L588" s="263"/>
      <c r="M588" s="262"/>
    </row>
    <row r="589" spans="1:13" s="289" customFormat="1" x14ac:dyDescent="0.2">
      <c r="A589" s="299"/>
      <c r="B589" s="319"/>
      <c r="C589" s="338"/>
      <c r="D589" s="338"/>
      <c r="E589" s="267"/>
      <c r="F589" s="339"/>
      <c r="G589" s="196">
        <f t="shared" si="43"/>
        <v>0</v>
      </c>
      <c r="H589" s="197">
        <f t="shared" si="44"/>
        <v>0</v>
      </c>
      <c r="I589" s="169">
        <f t="shared" si="45"/>
        <v>0</v>
      </c>
      <c r="J589" s="198">
        <f t="shared" si="46"/>
        <v>0</v>
      </c>
      <c r="K589" s="173">
        <f t="shared" si="47"/>
        <v>0</v>
      </c>
      <c r="L589" s="268"/>
      <c r="M589" s="267"/>
    </row>
    <row r="590" spans="1:13" s="289" customFormat="1" ht="52.5" customHeight="1" x14ac:dyDescent="0.25">
      <c r="A590" s="305" t="s">
        <v>386</v>
      </c>
      <c r="B590" s="306" t="s">
        <v>580</v>
      </c>
      <c r="C590" s="307">
        <v>6</v>
      </c>
      <c r="D590" s="307" t="s">
        <v>326</v>
      </c>
      <c r="E590" s="269">
        <v>15000</v>
      </c>
      <c r="F590" s="309">
        <f>ROUND($C590*E590,0)</f>
        <v>90000</v>
      </c>
      <c r="G590" s="196">
        <f t="shared" ref="G590:G653" si="48">IFERROR((ROUND(E590/1.25*10%,2)),0)</f>
        <v>1200</v>
      </c>
      <c r="H590" s="197">
        <f t="shared" ref="H590:H653" si="49">IFERROR((ROUND(E590/1.25*5%,2)),0)</f>
        <v>600</v>
      </c>
      <c r="I590" s="169">
        <f t="shared" ref="I590:I653" si="50">IFERROR((ROUND(E590/1.25*85%,2)),0)</f>
        <v>10200</v>
      </c>
      <c r="J590" s="198">
        <f t="shared" ref="J590:J653" si="51">IFERROR((ROUND(E590-(E590/1.25),2)),0)</f>
        <v>3000</v>
      </c>
      <c r="K590" s="173">
        <f t="shared" ref="K590:K653" si="52">SUM(G590:J590)</f>
        <v>15000</v>
      </c>
      <c r="L590" s="270"/>
      <c r="M590" s="269"/>
    </row>
    <row r="591" spans="1:13" s="289" customFormat="1" x14ac:dyDescent="0.25">
      <c r="A591" s="281"/>
      <c r="B591" s="291"/>
      <c r="C591" s="283"/>
      <c r="D591" s="283"/>
      <c r="E591" s="262"/>
      <c r="F591" s="295"/>
      <c r="G591" s="196">
        <f t="shared" si="48"/>
        <v>0</v>
      </c>
      <c r="H591" s="197">
        <f t="shared" si="49"/>
        <v>0</v>
      </c>
      <c r="I591" s="169">
        <f t="shared" si="50"/>
        <v>0</v>
      </c>
      <c r="J591" s="198">
        <f t="shared" si="51"/>
        <v>0</v>
      </c>
      <c r="K591" s="173">
        <f t="shared" si="52"/>
        <v>0</v>
      </c>
      <c r="L591" s="263"/>
      <c r="M591" s="262"/>
    </row>
    <row r="592" spans="1:13" s="289" customFormat="1" ht="85.5" x14ac:dyDescent="0.25">
      <c r="A592" s="281" t="s">
        <v>396</v>
      </c>
      <c r="B592" s="291" t="s">
        <v>581</v>
      </c>
      <c r="C592" s="283">
        <v>4</v>
      </c>
      <c r="D592" s="283" t="s">
        <v>326</v>
      </c>
      <c r="E592" s="262">
        <v>8000</v>
      </c>
      <c r="F592" s="295">
        <f>ROUND($C592*E592,0)</f>
        <v>32000</v>
      </c>
      <c r="G592" s="196">
        <f t="shared" si="48"/>
        <v>640</v>
      </c>
      <c r="H592" s="197">
        <f t="shared" si="49"/>
        <v>320</v>
      </c>
      <c r="I592" s="169">
        <f t="shared" si="50"/>
        <v>5440</v>
      </c>
      <c r="J592" s="198">
        <f t="shared" si="51"/>
        <v>1600</v>
      </c>
      <c r="K592" s="173">
        <f t="shared" si="52"/>
        <v>8000</v>
      </c>
      <c r="L592" s="263"/>
      <c r="M592" s="262"/>
    </row>
    <row r="593" spans="1:13" s="289" customFormat="1" x14ac:dyDescent="0.25">
      <c r="A593" s="281"/>
      <c r="B593" s="291"/>
      <c r="C593" s="298"/>
      <c r="D593" s="298"/>
      <c r="E593" s="262"/>
      <c r="F593" s="297"/>
      <c r="G593" s="196">
        <f t="shared" si="48"/>
        <v>0</v>
      </c>
      <c r="H593" s="197">
        <f t="shared" si="49"/>
        <v>0</v>
      </c>
      <c r="I593" s="169">
        <f t="shared" si="50"/>
        <v>0</v>
      </c>
      <c r="J593" s="198">
        <f t="shared" si="51"/>
        <v>0</v>
      </c>
      <c r="K593" s="173">
        <f t="shared" si="52"/>
        <v>0</v>
      </c>
      <c r="L593" s="263"/>
      <c r="M593" s="262"/>
    </row>
    <row r="594" spans="1:13" s="289" customFormat="1" ht="41.25" customHeight="1" x14ac:dyDescent="0.25">
      <c r="A594" s="281" t="s">
        <v>398</v>
      </c>
      <c r="B594" s="291" t="s">
        <v>582</v>
      </c>
      <c r="C594" s="283">
        <v>4</v>
      </c>
      <c r="D594" s="283" t="s">
        <v>583</v>
      </c>
      <c r="E594" s="262">
        <v>30000</v>
      </c>
      <c r="F594" s="295">
        <f>ROUND($C594*E594,0)</f>
        <v>120000</v>
      </c>
      <c r="G594" s="196">
        <f t="shared" si="48"/>
        <v>2400</v>
      </c>
      <c r="H594" s="197">
        <f t="shared" si="49"/>
        <v>1200</v>
      </c>
      <c r="I594" s="169">
        <f t="shared" si="50"/>
        <v>20400</v>
      </c>
      <c r="J594" s="198">
        <f t="shared" si="51"/>
        <v>6000</v>
      </c>
      <c r="K594" s="173">
        <f t="shared" si="52"/>
        <v>30000</v>
      </c>
      <c r="L594" s="263"/>
      <c r="M594" s="262"/>
    </row>
    <row r="595" spans="1:13" s="289" customFormat="1" x14ac:dyDescent="0.25">
      <c r="A595" s="281"/>
      <c r="B595" s="291"/>
      <c r="C595" s="298"/>
      <c r="D595" s="298"/>
      <c r="E595" s="262"/>
      <c r="F595" s="297"/>
      <c r="G595" s="196">
        <f t="shared" si="48"/>
        <v>0</v>
      </c>
      <c r="H595" s="197">
        <f t="shared" si="49"/>
        <v>0</v>
      </c>
      <c r="I595" s="169">
        <f t="shared" si="50"/>
        <v>0</v>
      </c>
      <c r="J595" s="198">
        <f t="shared" si="51"/>
        <v>0</v>
      </c>
      <c r="K595" s="173">
        <f t="shared" si="52"/>
        <v>0</v>
      </c>
      <c r="L595" s="263"/>
      <c r="M595" s="262"/>
    </row>
    <row r="596" spans="1:13" s="289" customFormat="1" ht="54" customHeight="1" x14ac:dyDescent="0.25">
      <c r="A596" s="281" t="s">
        <v>405</v>
      </c>
      <c r="B596" s="291" t="s">
        <v>584</v>
      </c>
      <c r="C596" s="283">
        <v>4</v>
      </c>
      <c r="D596" s="283" t="s">
        <v>326</v>
      </c>
      <c r="E596" s="262">
        <v>50000</v>
      </c>
      <c r="F596" s="295">
        <f>ROUND($C596*E596,0)</f>
        <v>200000</v>
      </c>
      <c r="G596" s="196">
        <f t="shared" si="48"/>
        <v>4000</v>
      </c>
      <c r="H596" s="197">
        <f t="shared" si="49"/>
        <v>2000</v>
      </c>
      <c r="I596" s="169">
        <f t="shared" si="50"/>
        <v>34000</v>
      </c>
      <c r="J596" s="198">
        <f t="shared" si="51"/>
        <v>10000</v>
      </c>
      <c r="K596" s="173">
        <f t="shared" si="52"/>
        <v>50000</v>
      </c>
      <c r="L596" s="263"/>
      <c r="M596" s="262"/>
    </row>
    <row r="597" spans="1:13" x14ac:dyDescent="0.25">
      <c r="A597" s="206"/>
      <c r="B597" s="136"/>
      <c r="C597" s="163"/>
      <c r="D597" s="163"/>
      <c r="E597" s="163"/>
      <c r="F597" s="210"/>
      <c r="G597" s="196">
        <f t="shared" si="48"/>
        <v>0</v>
      </c>
      <c r="H597" s="197">
        <f t="shared" si="49"/>
        <v>0</v>
      </c>
      <c r="I597" s="169">
        <f t="shared" si="50"/>
        <v>0</v>
      </c>
      <c r="J597" s="198">
        <f t="shared" si="51"/>
        <v>0</v>
      </c>
      <c r="K597" s="173">
        <f t="shared" si="52"/>
        <v>0</v>
      </c>
      <c r="L597" s="168"/>
      <c r="M597" s="169"/>
    </row>
    <row r="598" spans="1:13" s="350" customFormat="1" ht="15.95" customHeight="1" x14ac:dyDescent="0.25">
      <c r="A598" s="344" t="s">
        <v>585</v>
      </c>
      <c r="B598" s="345"/>
      <c r="C598" s="346"/>
      <c r="D598" s="346"/>
      <c r="E598" s="347"/>
      <c r="F598" s="348"/>
      <c r="G598" s="196">
        <f t="shared" si="48"/>
        <v>0</v>
      </c>
      <c r="H598" s="197">
        <f t="shared" si="49"/>
        <v>0</v>
      </c>
      <c r="I598" s="169">
        <f t="shared" si="50"/>
        <v>0</v>
      </c>
      <c r="J598" s="198">
        <f t="shared" si="51"/>
        <v>0</v>
      </c>
      <c r="K598" s="173">
        <f t="shared" si="52"/>
        <v>0</v>
      </c>
      <c r="L598" s="349"/>
      <c r="M598" s="346"/>
    </row>
    <row r="599" spans="1:13" s="350" customFormat="1" ht="86.25" customHeight="1" x14ac:dyDescent="0.25">
      <c r="A599" s="351">
        <v>10.01</v>
      </c>
      <c r="B599" s="352" t="s">
        <v>586</v>
      </c>
      <c r="C599" s="353">
        <v>32</v>
      </c>
      <c r="D599" s="353" t="s">
        <v>326</v>
      </c>
      <c r="E599" s="354">
        <v>11500</v>
      </c>
      <c r="F599" s="355">
        <f>ROUND($C599*E599,0)</f>
        <v>368000</v>
      </c>
      <c r="G599" s="196">
        <f t="shared" si="48"/>
        <v>920</v>
      </c>
      <c r="H599" s="197">
        <f t="shared" si="49"/>
        <v>460</v>
      </c>
      <c r="I599" s="169">
        <f t="shared" si="50"/>
        <v>7820</v>
      </c>
      <c r="J599" s="198">
        <f t="shared" si="51"/>
        <v>2300</v>
      </c>
      <c r="K599" s="173">
        <f t="shared" si="52"/>
        <v>11500</v>
      </c>
      <c r="L599" s="356"/>
      <c r="M599" s="354"/>
    </row>
    <row r="600" spans="1:13" s="350" customFormat="1" ht="3.75" customHeight="1" x14ac:dyDescent="0.25">
      <c r="A600" s="351"/>
      <c r="B600" s="352"/>
      <c r="C600" s="353"/>
      <c r="D600" s="353"/>
      <c r="E600" s="354"/>
      <c r="F600" s="357"/>
      <c r="G600" s="196">
        <f t="shared" si="48"/>
        <v>0</v>
      </c>
      <c r="H600" s="197">
        <f t="shared" si="49"/>
        <v>0</v>
      </c>
      <c r="I600" s="169">
        <f t="shared" si="50"/>
        <v>0</v>
      </c>
      <c r="J600" s="198">
        <f t="shared" si="51"/>
        <v>0</v>
      </c>
      <c r="K600" s="173">
        <f t="shared" si="52"/>
        <v>0</v>
      </c>
      <c r="L600" s="356"/>
      <c r="M600" s="354"/>
    </row>
    <row r="601" spans="1:13" s="350" customFormat="1" ht="88.5" customHeight="1" x14ac:dyDescent="0.25">
      <c r="A601" s="351">
        <v>10.02</v>
      </c>
      <c r="B601" s="352" t="s">
        <v>587</v>
      </c>
      <c r="C601" s="353">
        <v>6</v>
      </c>
      <c r="D601" s="353" t="s">
        <v>326</v>
      </c>
      <c r="E601" s="354">
        <v>10600</v>
      </c>
      <c r="F601" s="355">
        <f>ROUND($C601*E601,0)</f>
        <v>63600</v>
      </c>
      <c r="G601" s="196">
        <f t="shared" si="48"/>
        <v>848</v>
      </c>
      <c r="H601" s="197">
        <f t="shared" si="49"/>
        <v>424</v>
      </c>
      <c r="I601" s="169">
        <f t="shared" si="50"/>
        <v>7208</v>
      </c>
      <c r="J601" s="198">
        <f t="shared" si="51"/>
        <v>2120</v>
      </c>
      <c r="K601" s="173">
        <f t="shared" si="52"/>
        <v>10600</v>
      </c>
      <c r="L601" s="356"/>
      <c r="M601" s="354"/>
    </row>
    <row r="602" spans="1:13" s="350" customFormat="1" ht="3.95" customHeight="1" x14ac:dyDescent="0.25">
      <c r="A602" s="351"/>
      <c r="B602" s="352"/>
      <c r="C602" s="353"/>
      <c r="D602" s="353"/>
      <c r="E602" s="354"/>
      <c r="F602" s="357"/>
      <c r="G602" s="196">
        <f t="shared" si="48"/>
        <v>0</v>
      </c>
      <c r="H602" s="197">
        <f t="shared" si="49"/>
        <v>0</v>
      </c>
      <c r="I602" s="169">
        <f t="shared" si="50"/>
        <v>0</v>
      </c>
      <c r="J602" s="198">
        <f t="shared" si="51"/>
        <v>0</v>
      </c>
      <c r="K602" s="173">
        <f t="shared" si="52"/>
        <v>0</v>
      </c>
      <c r="L602" s="356"/>
      <c r="M602" s="354"/>
    </row>
    <row r="603" spans="1:13" s="350" customFormat="1" ht="102.75" customHeight="1" x14ac:dyDescent="0.25">
      <c r="A603" s="351">
        <v>10.029999999999999</v>
      </c>
      <c r="B603" s="352" t="s">
        <v>588</v>
      </c>
      <c r="C603" s="353">
        <v>11</v>
      </c>
      <c r="D603" s="353" t="s">
        <v>326</v>
      </c>
      <c r="E603" s="354">
        <v>12500</v>
      </c>
      <c r="F603" s="355">
        <f>ROUND($C603*E603,0)</f>
        <v>137500</v>
      </c>
      <c r="G603" s="196">
        <f t="shared" si="48"/>
        <v>1000</v>
      </c>
      <c r="H603" s="197">
        <f t="shared" si="49"/>
        <v>500</v>
      </c>
      <c r="I603" s="169">
        <f t="shared" si="50"/>
        <v>8500</v>
      </c>
      <c r="J603" s="198">
        <f t="shared" si="51"/>
        <v>2500</v>
      </c>
      <c r="K603" s="173">
        <f t="shared" si="52"/>
        <v>12500</v>
      </c>
      <c r="L603" s="356"/>
      <c r="M603" s="354"/>
    </row>
    <row r="604" spans="1:13" s="350" customFormat="1" ht="3.95" customHeight="1" x14ac:dyDescent="0.25">
      <c r="A604" s="351"/>
      <c r="B604" s="352"/>
      <c r="C604" s="353"/>
      <c r="D604" s="353"/>
      <c r="E604" s="354"/>
      <c r="F604" s="357"/>
      <c r="G604" s="196">
        <f t="shared" si="48"/>
        <v>0</v>
      </c>
      <c r="H604" s="197">
        <f t="shared" si="49"/>
        <v>0</v>
      </c>
      <c r="I604" s="169">
        <f t="shared" si="50"/>
        <v>0</v>
      </c>
      <c r="J604" s="198">
        <f t="shared" si="51"/>
        <v>0</v>
      </c>
      <c r="K604" s="173">
        <f t="shared" si="52"/>
        <v>0</v>
      </c>
      <c r="L604" s="358"/>
      <c r="M604" s="359"/>
    </row>
    <row r="605" spans="1:13" s="350" customFormat="1" ht="102.75" customHeight="1" x14ac:dyDescent="0.25">
      <c r="A605" s="351">
        <v>10.039999999999999</v>
      </c>
      <c r="B605" s="352" t="s">
        <v>589</v>
      </c>
      <c r="C605" s="353">
        <v>27</v>
      </c>
      <c r="D605" s="353" t="s">
        <v>326</v>
      </c>
      <c r="E605" s="354">
        <v>18500</v>
      </c>
      <c r="F605" s="355">
        <f>ROUND($C605*E605,0)</f>
        <v>499500</v>
      </c>
      <c r="G605" s="196">
        <f t="shared" si="48"/>
        <v>1480</v>
      </c>
      <c r="H605" s="197">
        <f t="shared" si="49"/>
        <v>740</v>
      </c>
      <c r="I605" s="169">
        <f t="shared" si="50"/>
        <v>12580</v>
      </c>
      <c r="J605" s="198">
        <f t="shared" si="51"/>
        <v>3700</v>
      </c>
      <c r="K605" s="173">
        <f t="shared" si="52"/>
        <v>18500</v>
      </c>
      <c r="L605" s="356"/>
      <c r="M605" s="354"/>
    </row>
    <row r="606" spans="1:13" s="350" customFormat="1" ht="3.95" customHeight="1" x14ac:dyDescent="0.25">
      <c r="A606" s="351"/>
      <c r="B606" s="352"/>
      <c r="C606" s="353"/>
      <c r="D606" s="353"/>
      <c r="E606" s="354"/>
      <c r="F606" s="357"/>
      <c r="G606" s="196">
        <f t="shared" si="48"/>
        <v>0</v>
      </c>
      <c r="H606" s="197">
        <f t="shared" si="49"/>
        <v>0</v>
      </c>
      <c r="I606" s="169">
        <f t="shared" si="50"/>
        <v>0</v>
      </c>
      <c r="J606" s="198">
        <f t="shared" si="51"/>
        <v>0</v>
      </c>
      <c r="K606" s="173">
        <f t="shared" si="52"/>
        <v>0</v>
      </c>
      <c r="L606" s="356"/>
      <c r="M606" s="354"/>
    </row>
    <row r="607" spans="1:13" s="350" customFormat="1" ht="86.25" customHeight="1" x14ac:dyDescent="0.25">
      <c r="A607" s="351">
        <v>10.049999999999999</v>
      </c>
      <c r="B607" s="352" t="s">
        <v>590</v>
      </c>
      <c r="C607" s="353"/>
      <c r="D607" s="353"/>
      <c r="E607" s="354"/>
      <c r="F607" s="357"/>
      <c r="G607" s="196">
        <f t="shared" si="48"/>
        <v>0</v>
      </c>
      <c r="H607" s="197">
        <f t="shared" si="49"/>
        <v>0</v>
      </c>
      <c r="I607" s="169">
        <f t="shared" si="50"/>
        <v>0</v>
      </c>
      <c r="J607" s="198">
        <f t="shared" si="51"/>
        <v>0</v>
      </c>
      <c r="K607" s="173">
        <f t="shared" si="52"/>
        <v>0</v>
      </c>
      <c r="L607" s="356"/>
      <c r="M607" s="354"/>
    </row>
    <row r="608" spans="1:13" s="350" customFormat="1" ht="15" x14ac:dyDescent="0.25">
      <c r="A608" s="351" t="s">
        <v>4</v>
      </c>
      <c r="B608" s="352" t="s">
        <v>591</v>
      </c>
      <c r="C608" s="353">
        <v>1</v>
      </c>
      <c r="D608" s="353" t="s">
        <v>86</v>
      </c>
      <c r="E608" s="354">
        <v>12500</v>
      </c>
      <c r="F608" s="355">
        <f>ROUND($C608*E608,0)</f>
        <v>12500</v>
      </c>
      <c r="G608" s="196">
        <f t="shared" si="48"/>
        <v>1000</v>
      </c>
      <c r="H608" s="197">
        <f t="shared" si="49"/>
        <v>500</v>
      </c>
      <c r="I608" s="169">
        <f t="shared" si="50"/>
        <v>8500</v>
      </c>
      <c r="J608" s="198">
        <f t="shared" si="51"/>
        <v>2500</v>
      </c>
      <c r="K608" s="173">
        <f t="shared" si="52"/>
        <v>12500</v>
      </c>
      <c r="L608" s="356"/>
      <c r="M608" s="354"/>
    </row>
    <row r="609" spans="1:13" s="350" customFormat="1" ht="3.95" customHeight="1" x14ac:dyDescent="0.25">
      <c r="A609" s="351"/>
      <c r="B609" s="352"/>
      <c r="C609" s="353"/>
      <c r="D609" s="353"/>
      <c r="E609" s="354"/>
      <c r="F609" s="357"/>
      <c r="G609" s="196">
        <f t="shared" si="48"/>
        <v>0</v>
      </c>
      <c r="H609" s="197">
        <f t="shared" si="49"/>
        <v>0</v>
      </c>
      <c r="I609" s="169">
        <f t="shared" si="50"/>
        <v>0</v>
      </c>
      <c r="J609" s="198">
        <f t="shared" si="51"/>
        <v>0</v>
      </c>
      <c r="K609" s="173">
        <f t="shared" si="52"/>
        <v>0</v>
      </c>
      <c r="L609" s="356"/>
      <c r="M609" s="354"/>
    </row>
    <row r="610" spans="1:13" s="350" customFormat="1" ht="58.5" customHeight="1" x14ac:dyDescent="0.25">
      <c r="A610" s="351">
        <v>10.059999999999999</v>
      </c>
      <c r="B610" s="352" t="s">
        <v>592</v>
      </c>
      <c r="C610" s="353"/>
      <c r="D610" s="353"/>
      <c r="E610" s="354"/>
      <c r="F610" s="357"/>
      <c r="G610" s="196">
        <f t="shared" si="48"/>
        <v>0</v>
      </c>
      <c r="H610" s="197">
        <f t="shared" si="49"/>
        <v>0</v>
      </c>
      <c r="I610" s="169">
        <f t="shared" si="50"/>
        <v>0</v>
      </c>
      <c r="J610" s="198">
        <f t="shared" si="51"/>
        <v>0</v>
      </c>
      <c r="K610" s="173">
        <f t="shared" si="52"/>
        <v>0</v>
      </c>
      <c r="L610" s="356"/>
      <c r="M610" s="354"/>
    </row>
    <row r="611" spans="1:13" s="350" customFormat="1" ht="15" x14ac:dyDescent="0.25">
      <c r="A611" s="351" t="s">
        <v>4</v>
      </c>
      <c r="B611" s="352" t="s">
        <v>593</v>
      </c>
      <c r="C611" s="353">
        <v>20</v>
      </c>
      <c r="D611" s="353" t="s">
        <v>326</v>
      </c>
      <c r="E611" s="354">
        <v>350</v>
      </c>
      <c r="F611" s="355">
        <f>ROUND($C611*E611,0)</f>
        <v>7000</v>
      </c>
      <c r="G611" s="196">
        <f t="shared" si="48"/>
        <v>28</v>
      </c>
      <c r="H611" s="197">
        <f t="shared" si="49"/>
        <v>14</v>
      </c>
      <c r="I611" s="169">
        <f t="shared" si="50"/>
        <v>238</v>
      </c>
      <c r="J611" s="198">
        <f t="shared" si="51"/>
        <v>70</v>
      </c>
      <c r="K611" s="173">
        <f t="shared" si="52"/>
        <v>350</v>
      </c>
      <c r="L611" s="356"/>
      <c r="M611" s="354"/>
    </row>
    <row r="612" spans="1:13" s="350" customFormat="1" ht="15" x14ac:dyDescent="0.25">
      <c r="A612" s="351" t="s">
        <v>48</v>
      </c>
      <c r="B612" s="352" t="s">
        <v>594</v>
      </c>
      <c r="C612" s="353">
        <v>32</v>
      </c>
      <c r="D612" s="353" t="s">
        <v>326</v>
      </c>
      <c r="E612" s="354">
        <v>1050</v>
      </c>
      <c r="F612" s="355">
        <f>ROUND($C612*E612,0)</f>
        <v>33600</v>
      </c>
      <c r="G612" s="196">
        <f t="shared" si="48"/>
        <v>84</v>
      </c>
      <c r="H612" s="197">
        <f t="shared" si="49"/>
        <v>42</v>
      </c>
      <c r="I612" s="169">
        <f t="shared" si="50"/>
        <v>714</v>
      </c>
      <c r="J612" s="198">
        <f t="shared" si="51"/>
        <v>210</v>
      </c>
      <c r="K612" s="173">
        <f t="shared" si="52"/>
        <v>1050</v>
      </c>
      <c r="L612" s="356"/>
      <c r="M612" s="354"/>
    </row>
    <row r="613" spans="1:13" s="350" customFormat="1" ht="15" x14ac:dyDescent="0.25">
      <c r="A613" s="360" t="s">
        <v>51</v>
      </c>
      <c r="B613" s="361" t="s">
        <v>595</v>
      </c>
      <c r="C613" s="362">
        <v>32</v>
      </c>
      <c r="D613" s="362" t="s">
        <v>326</v>
      </c>
      <c r="E613" s="363">
        <v>4500</v>
      </c>
      <c r="F613" s="364">
        <f>ROUND($C613*E613,0)</f>
        <v>144000</v>
      </c>
      <c r="G613" s="196">
        <f t="shared" si="48"/>
        <v>360</v>
      </c>
      <c r="H613" s="197">
        <f t="shared" si="49"/>
        <v>180</v>
      </c>
      <c r="I613" s="169">
        <f t="shared" si="50"/>
        <v>3060</v>
      </c>
      <c r="J613" s="198">
        <f t="shared" si="51"/>
        <v>900</v>
      </c>
      <c r="K613" s="173">
        <f t="shared" si="52"/>
        <v>4500</v>
      </c>
      <c r="L613" s="365"/>
      <c r="M613" s="363"/>
    </row>
    <row r="614" spans="1:13" s="350" customFormat="1" ht="15" x14ac:dyDescent="0.25">
      <c r="A614" s="366" t="s">
        <v>52</v>
      </c>
      <c r="B614" s="367" t="s">
        <v>596</v>
      </c>
      <c r="C614" s="368">
        <v>76</v>
      </c>
      <c r="D614" s="368" t="s">
        <v>326</v>
      </c>
      <c r="E614" s="369">
        <v>350</v>
      </c>
      <c r="F614" s="370">
        <f>ROUND($C614*E614,0)</f>
        <v>26600</v>
      </c>
      <c r="G614" s="196">
        <f t="shared" si="48"/>
        <v>28</v>
      </c>
      <c r="H614" s="197">
        <f t="shared" si="49"/>
        <v>14</v>
      </c>
      <c r="I614" s="169">
        <f t="shared" si="50"/>
        <v>238</v>
      </c>
      <c r="J614" s="198">
        <f t="shared" si="51"/>
        <v>70</v>
      </c>
      <c r="K614" s="173">
        <f t="shared" si="52"/>
        <v>350</v>
      </c>
      <c r="L614" s="371"/>
      <c r="M614" s="369"/>
    </row>
    <row r="615" spans="1:13" s="350" customFormat="1" ht="28.5" x14ac:dyDescent="0.25">
      <c r="A615" s="351" t="s">
        <v>58</v>
      </c>
      <c r="B615" s="352" t="s">
        <v>597</v>
      </c>
      <c r="C615" s="353">
        <v>9</v>
      </c>
      <c r="D615" s="353" t="s">
        <v>326</v>
      </c>
      <c r="E615" s="354">
        <v>5000</v>
      </c>
      <c r="F615" s="355">
        <f>ROUND($C615*E615,0)</f>
        <v>45000</v>
      </c>
      <c r="G615" s="196">
        <f t="shared" si="48"/>
        <v>400</v>
      </c>
      <c r="H615" s="197">
        <f t="shared" si="49"/>
        <v>200</v>
      </c>
      <c r="I615" s="169">
        <f t="shared" si="50"/>
        <v>3400</v>
      </c>
      <c r="J615" s="198">
        <f t="shared" si="51"/>
        <v>1000</v>
      </c>
      <c r="K615" s="173">
        <f t="shared" si="52"/>
        <v>5000</v>
      </c>
      <c r="L615" s="356"/>
      <c r="M615" s="354"/>
    </row>
    <row r="616" spans="1:13" s="350" customFormat="1" ht="6" customHeight="1" x14ac:dyDescent="0.25">
      <c r="A616" s="351"/>
      <c r="B616" s="352"/>
      <c r="C616" s="353"/>
      <c r="D616" s="353"/>
      <c r="E616" s="354"/>
      <c r="F616" s="357"/>
      <c r="G616" s="196">
        <f t="shared" si="48"/>
        <v>0</v>
      </c>
      <c r="H616" s="197">
        <f t="shared" si="49"/>
        <v>0</v>
      </c>
      <c r="I616" s="169">
        <f t="shared" si="50"/>
        <v>0</v>
      </c>
      <c r="J616" s="198">
        <f t="shared" si="51"/>
        <v>0</v>
      </c>
      <c r="K616" s="173">
        <f t="shared" si="52"/>
        <v>0</v>
      </c>
      <c r="L616" s="358"/>
      <c r="M616" s="359"/>
    </row>
    <row r="617" spans="1:13" s="350" customFormat="1" ht="15.75" x14ac:dyDescent="0.25">
      <c r="A617" s="372" t="s">
        <v>598</v>
      </c>
      <c r="B617" s="373"/>
      <c r="C617" s="374"/>
      <c r="D617" s="374"/>
      <c r="E617" s="375"/>
      <c r="F617" s="376"/>
      <c r="G617" s="196">
        <f t="shared" si="48"/>
        <v>0</v>
      </c>
      <c r="H617" s="197">
        <f t="shared" si="49"/>
        <v>0</v>
      </c>
      <c r="I617" s="169">
        <f t="shared" si="50"/>
        <v>0</v>
      </c>
      <c r="J617" s="198">
        <f t="shared" si="51"/>
        <v>0</v>
      </c>
      <c r="K617" s="173">
        <f t="shared" si="52"/>
        <v>0</v>
      </c>
      <c r="L617" s="377"/>
      <c r="M617" s="374"/>
    </row>
    <row r="618" spans="1:13" s="350" customFormat="1" ht="117" customHeight="1" x14ac:dyDescent="0.25">
      <c r="A618" s="351">
        <v>10.069999999999999</v>
      </c>
      <c r="B618" s="352" t="s">
        <v>599</v>
      </c>
      <c r="C618" s="353"/>
      <c r="D618" s="353"/>
      <c r="E618" s="354"/>
      <c r="F618" s="357"/>
      <c r="G618" s="196">
        <f t="shared" si="48"/>
        <v>0</v>
      </c>
      <c r="H618" s="197">
        <f t="shared" si="49"/>
        <v>0</v>
      </c>
      <c r="I618" s="169">
        <f t="shared" si="50"/>
        <v>0</v>
      </c>
      <c r="J618" s="198">
        <f t="shared" si="51"/>
        <v>0</v>
      </c>
      <c r="K618" s="173">
        <f t="shared" si="52"/>
        <v>0</v>
      </c>
      <c r="L618" s="358"/>
      <c r="M618" s="359"/>
    </row>
    <row r="619" spans="1:13" s="350" customFormat="1" ht="3.95" customHeight="1" x14ac:dyDescent="0.25">
      <c r="A619" s="351"/>
      <c r="B619" s="352"/>
      <c r="C619" s="353"/>
      <c r="D619" s="353"/>
      <c r="E619" s="354"/>
      <c r="F619" s="357"/>
      <c r="G619" s="196">
        <f t="shared" si="48"/>
        <v>0</v>
      </c>
      <c r="H619" s="197">
        <f t="shared" si="49"/>
        <v>0</v>
      </c>
      <c r="I619" s="169">
        <f t="shared" si="50"/>
        <v>0</v>
      </c>
      <c r="J619" s="198">
        <f t="shared" si="51"/>
        <v>0</v>
      </c>
      <c r="K619" s="173">
        <f t="shared" si="52"/>
        <v>0</v>
      </c>
      <c r="L619" s="358"/>
      <c r="M619" s="359"/>
    </row>
    <row r="620" spans="1:13" s="350" customFormat="1" ht="15" x14ac:dyDescent="0.25">
      <c r="A620" s="351" t="s">
        <v>4</v>
      </c>
      <c r="B620" s="352" t="s">
        <v>600</v>
      </c>
      <c r="C620" s="353">
        <v>250</v>
      </c>
      <c r="D620" s="353" t="s">
        <v>287</v>
      </c>
      <c r="E620" s="354">
        <v>180</v>
      </c>
      <c r="F620" s="355">
        <f>ROUND($C620*E620,0)</f>
        <v>45000</v>
      </c>
      <c r="G620" s="196">
        <f t="shared" si="48"/>
        <v>14.4</v>
      </c>
      <c r="H620" s="197">
        <f t="shared" si="49"/>
        <v>7.2</v>
      </c>
      <c r="I620" s="169">
        <f t="shared" si="50"/>
        <v>122.4</v>
      </c>
      <c r="J620" s="198">
        <f t="shared" si="51"/>
        <v>36</v>
      </c>
      <c r="K620" s="173">
        <f t="shared" si="52"/>
        <v>180</v>
      </c>
      <c r="L620" s="358"/>
      <c r="M620" s="359"/>
    </row>
    <row r="621" spans="1:13" s="350" customFormat="1" ht="15" x14ac:dyDescent="0.25">
      <c r="A621" s="351" t="s">
        <v>48</v>
      </c>
      <c r="B621" s="352" t="s">
        <v>601</v>
      </c>
      <c r="C621" s="353">
        <v>500</v>
      </c>
      <c r="D621" s="353" t="s">
        <v>287</v>
      </c>
      <c r="E621" s="354">
        <v>190</v>
      </c>
      <c r="F621" s="355">
        <f>ROUND($C621*E621,0)</f>
        <v>95000</v>
      </c>
      <c r="G621" s="196">
        <f t="shared" si="48"/>
        <v>15.2</v>
      </c>
      <c r="H621" s="197">
        <f t="shared" si="49"/>
        <v>7.6</v>
      </c>
      <c r="I621" s="169">
        <f t="shared" si="50"/>
        <v>129.19999999999999</v>
      </c>
      <c r="J621" s="198">
        <f t="shared" si="51"/>
        <v>38</v>
      </c>
      <c r="K621" s="173">
        <f t="shared" si="52"/>
        <v>190</v>
      </c>
      <c r="L621" s="358"/>
      <c r="M621" s="359"/>
    </row>
    <row r="622" spans="1:13" s="350" customFormat="1" ht="15" x14ac:dyDescent="0.25">
      <c r="A622" s="351" t="s">
        <v>51</v>
      </c>
      <c r="B622" s="352" t="s">
        <v>602</v>
      </c>
      <c r="C622" s="353">
        <v>200</v>
      </c>
      <c r="D622" s="353" t="s">
        <v>287</v>
      </c>
      <c r="E622" s="354">
        <v>210</v>
      </c>
      <c r="F622" s="355">
        <f>ROUND($C622*E622,0)</f>
        <v>42000</v>
      </c>
      <c r="G622" s="196">
        <f t="shared" si="48"/>
        <v>16.8</v>
      </c>
      <c r="H622" s="197">
        <f t="shared" si="49"/>
        <v>8.4</v>
      </c>
      <c r="I622" s="169">
        <f t="shared" si="50"/>
        <v>142.80000000000001</v>
      </c>
      <c r="J622" s="198">
        <f t="shared" si="51"/>
        <v>42</v>
      </c>
      <c r="K622" s="173">
        <f t="shared" si="52"/>
        <v>210</v>
      </c>
      <c r="L622" s="358"/>
      <c r="M622" s="359"/>
    </row>
    <row r="623" spans="1:13" s="350" customFormat="1" ht="15" x14ac:dyDescent="0.25">
      <c r="A623" s="351" t="s">
        <v>52</v>
      </c>
      <c r="B623" s="352" t="s">
        <v>603</v>
      </c>
      <c r="C623" s="353">
        <v>150</v>
      </c>
      <c r="D623" s="353" t="s">
        <v>287</v>
      </c>
      <c r="E623" s="354">
        <v>260</v>
      </c>
      <c r="F623" s="355">
        <f>ROUND($C623*E623,0)</f>
        <v>39000</v>
      </c>
      <c r="G623" s="196">
        <f t="shared" si="48"/>
        <v>20.8</v>
      </c>
      <c r="H623" s="197">
        <f t="shared" si="49"/>
        <v>10.4</v>
      </c>
      <c r="I623" s="169">
        <f t="shared" si="50"/>
        <v>176.8</v>
      </c>
      <c r="J623" s="198">
        <f t="shared" si="51"/>
        <v>52</v>
      </c>
      <c r="K623" s="173">
        <f t="shared" si="52"/>
        <v>260</v>
      </c>
      <c r="L623" s="358"/>
      <c r="M623" s="359"/>
    </row>
    <row r="624" spans="1:13" s="350" customFormat="1" ht="15" x14ac:dyDescent="0.25">
      <c r="A624" s="351" t="s">
        <v>58</v>
      </c>
      <c r="B624" s="352" t="s">
        <v>604</v>
      </c>
      <c r="C624" s="353">
        <v>100</v>
      </c>
      <c r="D624" s="353" t="s">
        <v>287</v>
      </c>
      <c r="E624" s="354">
        <v>290</v>
      </c>
      <c r="F624" s="355">
        <f>ROUND($C624*E624,0)</f>
        <v>29000</v>
      </c>
      <c r="G624" s="196">
        <f t="shared" si="48"/>
        <v>23.2</v>
      </c>
      <c r="H624" s="197">
        <f t="shared" si="49"/>
        <v>11.6</v>
      </c>
      <c r="I624" s="169">
        <f t="shared" si="50"/>
        <v>197.2</v>
      </c>
      <c r="J624" s="198">
        <f t="shared" si="51"/>
        <v>58</v>
      </c>
      <c r="K624" s="173">
        <f t="shared" si="52"/>
        <v>290</v>
      </c>
      <c r="L624" s="358"/>
      <c r="M624" s="359"/>
    </row>
    <row r="625" spans="1:13" s="350" customFormat="1" ht="3.95" customHeight="1" x14ac:dyDescent="0.25">
      <c r="A625" s="351"/>
      <c r="B625" s="352"/>
      <c r="C625" s="353"/>
      <c r="D625" s="353"/>
      <c r="E625" s="354"/>
      <c r="F625" s="357"/>
      <c r="G625" s="196">
        <f t="shared" si="48"/>
        <v>0</v>
      </c>
      <c r="H625" s="197">
        <f t="shared" si="49"/>
        <v>0</v>
      </c>
      <c r="I625" s="169">
        <f t="shared" si="50"/>
        <v>0</v>
      </c>
      <c r="J625" s="198">
        <f t="shared" si="51"/>
        <v>0</v>
      </c>
      <c r="K625" s="173">
        <f t="shared" si="52"/>
        <v>0</v>
      </c>
      <c r="L625" s="358"/>
      <c r="M625" s="359"/>
    </row>
    <row r="626" spans="1:13" s="249" customFormat="1" ht="128.25" x14ac:dyDescent="0.25">
      <c r="A626" s="351">
        <v>10.079999999999998</v>
      </c>
      <c r="B626" s="378" t="s">
        <v>605</v>
      </c>
      <c r="C626" s="262"/>
      <c r="D626" s="262"/>
      <c r="E626" s="262"/>
      <c r="F626" s="164"/>
      <c r="G626" s="196">
        <f t="shared" si="48"/>
        <v>0</v>
      </c>
      <c r="H626" s="197">
        <f t="shared" si="49"/>
        <v>0</v>
      </c>
      <c r="I626" s="169">
        <f t="shared" si="50"/>
        <v>0</v>
      </c>
      <c r="J626" s="198">
        <f t="shared" si="51"/>
        <v>0</v>
      </c>
      <c r="K626" s="173">
        <f t="shared" si="52"/>
        <v>0</v>
      </c>
      <c r="L626" s="263"/>
      <c r="M626" s="262"/>
    </row>
    <row r="627" spans="1:13" s="350" customFormat="1" ht="15" x14ac:dyDescent="0.25">
      <c r="A627" s="351" t="s">
        <v>4</v>
      </c>
      <c r="B627" s="352" t="s">
        <v>606</v>
      </c>
      <c r="C627" s="353">
        <v>50</v>
      </c>
      <c r="D627" s="353" t="s">
        <v>287</v>
      </c>
      <c r="E627" s="354">
        <v>110</v>
      </c>
      <c r="F627" s="355">
        <f>ROUND($C627*E627,0)</f>
        <v>5500</v>
      </c>
      <c r="G627" s="196">
        <f t="shared" si="48"/>
        <v>8.8000000000000007</v>
      </c>
      <c r="H627" s="197">
        <f t="shared" si="49"/>
        <v>4.4000000000000004</v>
      </c>
      <c r="I627" s="169">
        <f t="shared" si="50"/>
        <v>74.8</v>
      </c>
      <c r="J627" s="198">
        <f t="shared" si="51"/>
        <v>22</v>
      </c>
      <c r="K627" s="173">
        <f t="shared" si="52"/>
        <v>110</v>
      </c>
      <c r="L627" s="356"/>
      <c r="M627" s="354"/>
    </row>
    <row r="628" spans="1:13" s="350" customFormat="1" ht="15" x14ac:dyDescent="0.25">
      <c r="A628" s="351" t="s">
        <v>48</v>
      </c>
      <c r="B628" s="352" t="s">
        <v>607</v>
      </c>
      <c r="C628" s="353">
        <v>400</v>
      </c>
      <c r="D628" s="353" t="s">
        <v>287</v>
      </c>
      <c r="E628" s="354">
        <v>180</v>
      </c>
      <c r="F628" s="355">
        <f>ROUND($C628*E628,0)</f>
        <v>72000</v>
      </c>
      <c r="G628" s="196">
        <f t="shared" si="48"/>
        <v>14.4</v>
      </c>
      <c r="H628" s="197">
        <f t="shared" si="49"/>
        <v>7.2</v>
      </c>
      <c r="I628" s="169">
        <f t="shared" si="50"/>
        <v>122.4</v>
      </c>
      <c r="J628" s="198">
        <f t="shared" si="51"/>
        <v>36</v>
      </c>
      <c r="K628" s="173">
        <f t="shared" si="52"/>
        <v>180</v>
      </c>
      <c r="L628" s="356"/>
      <c r="M628" s="354"/>
    </row>
    <row r="629" spans="1:13" s="350" customFormat="1" ht="15" x14ac:dyDescent="0.25">
      <c r="A629" s="351" t="s">
        <v>51</v>
      </c>
      <c r="B629" s="352" t="s">
        <v>608</v>
      </c>
      <c r="C629" s="353">
        <v>100</v>
      </c>
      <c r="D629" s="353" t="s">
        <v>287</v>
      </c>
      <c r="E629" s="354">
        <v>220</v>
      </c>
      <c r="F629" s="355">
        <f>ROUND($C629*E629,0)</f>
        <v>22000</v>
      </c>
      <c r="G629" s="196">
        <f t="shared" si="48"/>
        <v>17.600000000000001</v>
      </c>
      <c r="H629" s="197">
        <f t="shared" si="49"/>
        <v>8.8000000000000007</v>
      </c>
      <c r="I629" s="169">
        <f t="shared" si="50"/>
        <v>149.6</v>
      </c>
      <c r="J629" s="198">
        <f t="shared" si="51"/>
        <v>44</v>
      </c>
      <c r="K629" s="173">
        <f t="shared" si="52"/>
        <v>220</v>
      </c>
      <c r="L629" s="356"/>
      <c r="M629" s="354"/>
    </row>
    <row r="630" spans="1:13" s="350" customFormat="1" ht="15" x14ac:dyDescent="0.25">
      <c r="A630" s="351" t="s">
        <v>52</v>
      </c>
      <c r="B630" s="352" t="s">
        <v>609</v>
      </c>
      <c r="C630" s="353">
        <v>300</v>
      </c>
      <c r="D630" s="353" t="s">
        <v>287</v>
      </c>
      <c r="E630" s="354">
        <v>240</v>
      </c>
      <c r="F630" s="355">
        <f>ROUND($C630*E630,0)</f>
        <v>72000</v>
      </c>
      <c r="G630" s="196">
        <f t="shared" si="48"/>
        <v>19.2</v>
      </c>
      <c r="H630" s="197">
        <f t="shared" si="49"/>
        <v>9.6</v>
      </c>
      <c r="I630" s="169">
        <f t="shared" si="50"/>
        <v>163.19999999999999</v>
      </c>
      <c r="J630" s="198">
        <f t="shared" si="51"/>
        <v>48</v>
      </c>
      <c r="K630" s="173">
        <f t="shared" si="52"/>
        <v>240</v>
      </c>
      <c r="L630" s="356"/>
      <c r="M630" s="354"/>
    </row>
    <row r="631" spans="1:13" s="350" customFormat="1" ht="5.25" customHeight="1" x14ac:dyDescent="0.25">
      <c r="A631" s="351"/>
      <c r="B631" s="352"/>
      <c r="C631" s="353"/>
      <c r="D631" s="353"/>
      <c r="E631" s="354"/>
      <c r="F631" s="357"/>
      <c r="G631" s="196">
        <f t="shared" si="48"/>
        <v>0</v>
      </c>
      <c r="H631" s="197">
        <f t="shared" si="49"/>
        <v>0</v>
      </c>
      <c r="I631" s="169">
        <f t="shared" si="50"/>
        <v>0</v>
      </c>
      <c r="J631" s="198">
        <f t="shared" si="51"/>
        <v>0</v>
      </c>
      <c r="K631" s="173">
        <f t="shared" si="52"/>
        <v>0</v>
      </c>
      <c r="L631" s="358"/>
      <c r="M631" s="359"/>
    </row>
    <row r="632" spans="1:13" s="350" customFormat="1" ht="42.75" x14ac:dyDescent="0.25">
      <c r="A632" s="351">
        <v>10.089999999999998</v>
      </c>
      <c r="B632" s="352" t="s">
        <v>610</v>
      </c>
      <c r="C632" s="353"/>
      <c r="D632" s="353"/>
      <c r="E632" s="354"/>
      <c r="F632" s="355"/>
      <c r="G632" s="196">
        <f t="shared" si="48"/>
        <v>0</v>
      </c>
      <c r="H632" s="197">
        <f t="shared" si="49"/>
        <v>0</v>
      </c>
      <c r="I632" s="169">
        <f t="shared" si="50"/>
        <v>0</v>
      </c>
      <c r="J632" s="198">
        <f t="shared" si="51"/>
        <v>0</v>
      </c>
      <c r="K632" s="173">
        <f t="shared" si="52"/>
        <v>0</v>
      </c>
      <c r="L632" s="358"/>
      <c r="M632" s="359"/>
    </row>
    <row r="633" spans="1:13" s="350" customFormat="1" ht="15" x14ac:dyDescent="0.25">
      <c r="A633" s="351" t="s">
        <v>4</v>
      </c>
      <c r="B633" s="378" t="s">
        <v>611</v>
      </c>
      <c r="C633" s="353">
        <v>2</v>
      </c>
      <c r="D633" s="353" t="s">
        <v>326</v>
      </c>
      <c r="E633" s="354">
        <v>65000</v>
      </c>
      <c r="F633" s="355">
        <f>ROUND($C633*E633,0)</f>
        <v>130000</v>
      </c>
      <c r="G633" s="196">
        <f t="shared" si="48"/>
        <v>5200</v>
      </c>
      <c r="H633" s="197">
        <f t="shared" si="49"/>
        <v>2600</v>
      </c>
      <c r="I633" s="169">
        <f t="shared" si="50"/>
        <v>44200</v>
      </c>
      <c r="J633" s="198">
        <f t="shared" si="51"/>
        <v>13000</v>
      </c>
      <c r="K633" s="173">
        <f t="shared" si="52"/>
        <v>65000</v>
      </c>
      <c r="L633" s="356"/>
      <c r="M633" s="354"/>
    </row>
    <row r="634" spans="1:13" s="350" customFormat="1" ht="3.95" customHeight="1" x14ac:dyDescent="0.25">
      <c r="A634" s="351"/>
      <c r="B634" s="352"/>
      <c r="C634" s="353"/>
      <c r="D634" s="353"/>
      <c r="E634" s="354"/>
      <c r="F634" s="357"/>
      <c r="G634" s="196">
        <f t="shared" si="48"/>
        <v>0</v>
      </c>
      <c r="H634" s="197">
        <f t="shared" si="49"/>
        <v>0</v>
      </c>
      <c r="I634" s="169">
        <f t="shared" si="50"/>
        <v>0</v>
      </c>
      <c r="J634" s="198">
        <f t="shared" si="51"/>
        <v>0</v>
      </c>
      <c r="K634" s="173">
        <f t="shared" si="52"/>
        <v>0</v>
      </c>
      <c r="L634" s="358"/>
      <c r="M634" s="359"/>
    </row>
    <row r="635" spans="1:13" s="350" customFormat="1" ht="99.75" x14ac:dyDescent="0.25">
      <c r="A635" s="360">
        <v>10.099999999999998</v>
      </c>
      <c r="B635" s="379" t="s">
        <v>612</v>
      </c>
      <c r="C635" s="362">
        <v>1</v>
      </c>
      <c r="D635" s="362" t="s">
        <v>86</v>
      </c>
      <c r="E635" s="363">
        <v>60000</v>
      </c>
      <c r="F635" s="364">
        <f>ROUND($C635*E635,0)</f>
        <v>60000</v>
      </c>
      <c r="G635" s="196">
        <f t="shared" si="48"/>
        <v>4800</v>
      </c>
      <c r="H635" s="197">
        <f t="shared" si="49"/>
        <v>2400</v>
      </c>
      <c r="I635" s="169">
        <f t="shared" si="50"/>
        <v>40800</v>
      </c>
      <c r="J635" s="198">
        <f t="shared" si="51"/>
        <v>12000</v>
      </c>
      <c r="K635" s="173">
        <f t="shared" si="52"/>
        <v>60000</v>
      </c>
      <c r="L635" s="365"/>
      <c r="M635" s="363"/>
    </row>
    <row r="636" spans="1:13" s="350" customFormat="1" ht="3.95" customHeight="1" x14ac:dyDescent="0.25">
      <c r="A636" s="366"/>
      <c r="B636" s="367"/>
      <c r="C636" s="368"/>
      <c r="D636" s="368"/>
      <c r="E636" s="369"/>
      <c r="F636" s="380"/>
      <c r="G636" s="196">
        <f t="shared" si="48"/>
        <v>0</v>
      </c>
      <c r="H636" s="197">
        <f t="shared" si="49"/>
        <v>0</v>
      </c>
      <c r="I636" s="169">
        <f t="shared" si="50"/>
        <v>0</v>
      </c>
      <c r="J636" s="198">
        <f t="shared" si="51"/>
        <v>0</v>
      </c>
      <c r="K636" s="173">
        <f t="shared" si="52"/>
        <v>0</v>
      </c>
      <c r="L636" s="381"/>
      <c r="M636" s="382"/>
    </row>
    <row r="637" spans="1:13" s="350" customFormat="1" ht="99.75" x14ac:dyDescent="0.25">
      <c r="A637" s="351">
        <v>10.109999999999998</v>
      </c>
      <c r="B637" s="378" t="s">
        <v>613</v>
      </c>
      <c r="C637" s="353"/>
      <c r="D637" s="353"/>
      <c r="E637" s="354"/>
      <c r="F637" s="357"/>
      <c r="G637" s="196">
        <f t="shared" si="48"/>
        <v>0</v>
      </c>
      <c r="H637" s="197">
        <f t="shared" si="49"/>
        <v>0</v>
      </c>
      <c r="I637" s="169">
        <f t="shared" si="50"/>
        <v>0</v>
      </c>
      <c r="J637" s="198">
        <f t="shared" si="51"/>
        <v>0</v>
      </c>
      <c r="K637" s="173">
        <f t="shared" si="52"/>
        <v>0</v>
      </c>
      <c r="L637" s="358"/>
      <c r="M637" s="359"/>
    </row>
    <row r="638" spans="1:13" s="350" customFormat="1" ht="15" x14ac:dyDescent="0.25">
      <c r="A638" s="351" t="s">
        <v>4</v>
      </c>
      <c r="B638" s="378" t="s">
        <v>614</v>
      </c>
      <c r="C638" s="353">
        <v>1</v>
      </c>
      <c r="D638" s="353" t="s">
        <v>583</v>
      </c>
      <c r="E638" s="354">
        <v>55000</v>
      </c>
      <c r="F638" s="355">
        <f>ROUND($C638*E638,0)</f>
        <v>55000</v>
      </c>
      <c r="G638" s="196">
        <f t="shared" si="48"/>
        <v>4400</v>
      </c>
      <c r="H638" s="197">
        <f t="shared" si="49"/>
        <v>2200</v>
      </c>
      <c r="I638" s="169">
        <f t="shared" si="50"/>
        <v>37400</v>
      </c>
      <c r="J638" s="198">
        <f t="shared" si="51"/>
        <v>11000</v>
      </c>
      <c r="K638" s="173">
        <f t="shared" si="52"/>
        <v>55000</v>
      </c>
      <c r="L638" s="356"/>
      <c r="M638" s="354"/>
    </row>
    <row r="639" spans="1:13" s="350" customFormat="1" ht="3.95" customHeight="1" x14ac:dyDescent="0.25">
      <c r="A639" s="351"/>
      <c r="B639" s="352"/>
      <c r="C639" s="353"/>
      <c r="D639" s="353"/>
      <c r="E639" s="354"/>
      <c r="F639" s="357"/>
      <c r="G639" s="196">
        <f t="shared" si="48"/>
        <v>0</v>
      </c>
      <c r="H639" s="197">
        <f t="shared" si="49"/>
        <v>0</v>
      </c>
      <c r="I639" s="169">
        <f t="shared" si="50"/>
        <v>0</v>
      </c>
      <c r="J639" s="198">
        <f t="shared" si="51"/>
        <v>0</v>
      </c>
      <c r="K639" s="173">
        <f t="shared" si="52"/>
        <v>0</v>
      </c>
      <c r="L639" s="358"/>
      <c r="M639" s="359"/>
    </row>
    <row r="640" spans="1:13" s="350" customFormat="1" ht="87.75" customHeight="1" x14ac:dyDescent="0.25">
      <c r="A640" s="351">
        <v>10.119999999999997</v>
      </c>
      <c r="B640" s="352" t="s">
        <v>615</v>
      </c>
      <c r="C640" s="353"/>
      <c r="D640" s="353"/>
      <c r="E640" s="354"/>
      <c r="F640" s="357"/>
      <c r="G640" s="196">
        <f t="shared" si="48"/>
        <v>0</v>
      </c>
      <c r="H640" s="197">
        <f t="shared" si="49"/>
        <v>0</v>
      </c>
      <c r="I640" s="169">
        <f t="shared" si="50"/>
        <v>0</v>
      </c>
      <c r="J640" s="198">
        <f t="shared" si="51"/>
        <v>0</v>
      </c>
      <c r="K640" s="173">
        <f t="shared" si="52"/>
        <v>0</v>
      </c>
      <c r="L640" s="358"/>
      <c r="M640" s="359"/>
    </row>
    <row r="641" spans="1:13" s="350" customFormat="1" ht="15" x14ac:dyDescent="0.25">
      <c r="A641" s="351" t="s">
        <v>4</v>
      </c>
      <c r="B641" s="352" t="s">
        <v>606</v>
      </c>
      <c r="C641" s="353">
        <v>3</v>
      </c>
      <c r="D641" s="353" t="s">
        <v>326</v>
      </c>
      <c r="E641" s="354">
        <v>2350</v>
      </c>
      <c r="F641" s="355">
        <f>ROUND($C641*E641,0)</f>
        <v>7050</v>
      </c>
      <c r="G641" s="196">
        <f t="shared" si="48"/>
        <v>188</v>
      </c>
      <c r="H641" s="197">
        <f t="shared" si="49"/>
        <v>94</v>
      </c>
      <c r="I641" s="169">
        <f t="shared" si="50"/>
        <v>1598</v>
      </c>
      <c r="J641" s="198">
        <f t="shared" si="51"/>
        <v>470</v>
      </c>
      <c r="K641" s="173">
        <f t="shared" si="52"/>
        <v>2350</v>
      </c>
      <c r="L641" s="356"/>
      <c r="M641" s="354"/>
    </row>
    <row r="642" spans="1:13" s="350" customFormat="1" ht="15" x14ac:dyDescent="0.25">
      <c r="A642" s="351" t="s">
        <v>48</v>
      </c>
      <c r="B642" s="352" t="s">
        <v>607</v>
      </c>
      <c r="C642" s="353">
        <v>5</v>
      </c>
      <c r="D642" s="353" t="s">
        <v>326</v>
      </c>
      <c r="E642" s="354">
        <v>3200</v>
      </c>
      <c r="F642" s="355">
        <f>ROUND($C642*E642,0)</f>
        <v>16000</v>
      </c>
      <c r="G642" s="196">
        <f t="shared" si="48"/>
        <v>256</v>
      </c>
      <c r="H642" s="197">
        <f t="shared" si="49"/>
        <v>128</v>
      </c>
      <c r="I642" s="169">
        <f t="shared" si="50"/>
        <v>2176</v>
      </c>
      <c r="J642" s="198">
        <f t="shared" si="51"/>
        <v>640</v>
      </c>
      <c r="K642" s="173">
        <f t="shared" si="52"/>
        <v>3200</v>
      </c>
      <c r="L642" s="356"/>
      <c r="M642" s="354"/>
    </row>
    <row r="643" spans="1:13" s="350" customFormat="1" ht="15" x14ac:dyDescent="0.25">
      <c r="A643" s="351" t="s">
        <v>51</v>
      </c>
      <c r="B643" s="352" t="s">
        <v>608</v>
      </c>
      <c r="C643" s="353">
        <v>3</v>
      </c>
      <c r="D643" s="353" t="s">
        <v>326</v>
      </c>
      <c r="E643" s="354">
        <v>5200</v>
      </c>
      <c r="F643" s="355">
        <f>ROUND($C643*E643,0)</f>
        <v>15600</v>
      </c>
      <c r="G643" s="196">
        <f t="shared" si="48"/>
        <v>416</v>
      </c>
      <c r="H643" s="197">
        <f t="shared" si="49"/>
        <v>208</v>
      </c>
      <c r="I643" s="169">
        <f t="shared" si="50"/>
        <v>3536</v>
      </c>
      <c r="J643" s="198">
        <f t="shared" si="51"/>
        <v>1040</v>
      </c>
      <c r="K643" s="173">
        <f t="shared" si="52"/>
        <v>5200</v>
      </c>
      <c r="L643" s="356"/>
      <c r="M643" s="354"/>
    </row>
    <row r="644" spans="1:13" s="350" customFormat="1" ht="15" x14ac:dyDescent="0.25">
      <c r="A644" s="351" t="s">
        <v>52</v>
      </c>
      <c r="B644" s="352" t="s">
        <v>609</v>
      </c>
      <c r="C644" s="353">
        <v>7</v>
      </c>
      <c r="D644" s="353" t="s">
        <v>326</v>
      </c>
      <c r="E644" s="354">
        <v>7900</v>
      </c>
      <c r="F644" s="355">
        <f>ROUND($C644*E644,0)</f>
        <v>55300</v>
      </c>
      <c r="G644" s="196">
        <f t="shared" si="48"/>
        <v>632</v>
      </c>
      <c r="H644" s="197">
        <f t="shared" si="49"/>
        <v>316</v>
      </c>
      <c r="I644" s="169">
        <f t="shared" si="50"/>
        <v>5372</v>
      </c>
      <c r="J644" s="198">
        <f t="shared" si="51"/>
        <v>1580</v>
      </c>
      <c r="K644" s="173">
        <f t="shared" si="52"/>
        <v>7900</v>
      </c>
      <c r="L644" s="356"/>
      <c r="M644" s="354"/>
    </row>
    <row r="645" spans="1:13" s="350" customFormat="1" ht="3.95" customHeight="1" x14ac:dyDescent="0.25">
      <c r="A645" s="351"/>
      <c r="B645" s="352"/>
      <c r="C645" s="353"/>
      <c r="D645" s="353"/>
      <c r="E645" s="354"/>
      <c r="F645" s="357"/>
      <c r="G645" s="196">
        <f t="shared" si="48"/>
        <v>0</v>
      </c>
      <c r="H645" s="197">
        <f t="shared" si="49"/>
        <v>0</v>
      </c>
      <c r="I645" s="169">
        <f t="shared" si="50"/>
        <v>0</v>
      </c>
      <c r="J645" s="198">
        <f t="shared" si="51"/>
        <v>0</v>
      </c>
      <c r="K645" s="173">
        <f t="shared" si="52"/>
        <v>0</v>
      </c>
      <c r="L645" s="358"/>
      <c r="M645" s="359"/>
    </row>
    <row r="646" spans="1:13" s="350" customFormat="1" ht="131.25" customHeight="1" x14ac:dyDescent="0.25">
      <c r="A646" s="351">
        <v>10.129999999999997</v>
      </c>
      <c r="B646" s="378" t="s">
        <v>616</v>
      </c>
      <c r="C646" s="353"/>
      <c r="D646" s="353"/>
      <c r="E646" s="354"/>
      <c r="F646" s="357"/>
      <c r="G646" s="196">
        <f t="shared" si="48"/>
        <v>0</v>
      </c>
      <c r="H646" s="197">
        <f t="shared" si="49"/>
        <v>0</v>
      </c>
      <c r="I646" s="169">
        <f t="shared" si="50"/>
        <v>0</v>
      </c>
      <c r="J646" s="198">
        <f t="shared" si="51"/>
        <v>0</v>
      </c>
      <c r="K646" s="173">
        <f t="shared" si="52"/>
        <v>0</v>
      </c>
      <c r="L646" s="358"/>
      <c r="M646" s="359"/>
    </row>
    <row r="647" spans="1:13" s="350" customFormat="1" ht="15" x14ac:dyDescent="0.25">
      <c r="A647" s="351" t="s">
        <v>4</v>
      </c>
      <c r="B647" s="352" t="s">
        <v>617</v>
      </c>
      <c r="C647" s="353">
        <v>2</v>
      </c>
      <c r="D647" s="353" t="s">
        <v>326</v>
      </c>
      <c r="E647" s="354">
        <v>18000</v>
      </c>
      <c r="F647" s="355">
        <f>ROUND($C647*E647,0)</f>
        <v>36000</v>
      </c>
      <c r="G647" s="196">
        <f t="shared" si="48"/>
        <v>1440</v>
      </c>
      <c r="H647" s="197">
        <f t="shared" si="49"/>
        <v>720</v>
      </c>
      <c r="I647" s="169">
        <f t="shared" si="50"/>
        <v>12240</v>
      </c>
      <c r="J647" s="198">
        <f t="shared" si="51"/>
        <v>3600</v>
      </c>
      <c r="K647" s="173">
        <f t="shared" si="52"/>
        <v>18000</v>
      </c>
      <c r="L647" s="358"/>
      <c r="M647" s="359"/>
    </row>
    <row r="648" spans="1:13" s="350" customFormat="1" ht="3.95" customHeight="1" x14ac:dyDescent="0.25">
      <c r="A648" s="351"/>
      <c r="B648" s="352"/>
      <c r="C648" s="353"/>
      <c r="D648" s="353"/>
      <c r="E648" s="354"/>
      <c r="F648" s="357"/>
      <c r="G648" s="196">
        <f t="shared" si="48"/>
        <v>0</v>
      </c>
      <c r="H648" s="197">
        <f t="shared" si="49"/>
        <v>0</v>
      </c>
      <c r="I648" s="169">
        <f t="shared" si="50"/>
        <v>0</v>
      </c>
      <c r="J648" s="198">
        <f t="shared" si="51"/>
        <v>0</v>
      </c>
      <c r="K648" s="173">
        <f t="shared" si="52"/>
        <v>0</v>
      </c>
      <c r="L648" s="358"/>
      <c r="M648" s="359"/>
    </row>
    <row r="649" spans="1:13" s="350" customFormat="1" ht="87" customHeight="1" x14ac:dyDescent="0.25">
      <c r="A649" s="351">
        <v>10.139999999999997</v>
      </c>
      <c r="B649" s="352" t="s">
        <v>618</v>
      </c>
      <c r="C649" s="353"/>
      <c r="D649" s="353"/>
      <c r="E649" s="354"/>
      <c r="F649" s="357"/>
      <c r="G649" s="196">
        <f t="shared" si="48"/>
        <v>0</v>
      </c>
      <c r="H649" s="197">
        <f t="shared" si="49"/>
        <v>0</v>
      </c>
      <c r="I649" s="169">
        <f t="shared" si="50"/>
        <v>0</v>
      </c>
      <c r="J649" s="198">
        <f t="shared" si="51"/>
        <v>0</v>
      </c>
      <c r="K649" s="173">
        <f t="shared" si="52"/>
        <v>0</v>
      </c>
      <c r="L649" s="358"/>
      <c r="M649" s="359"/>
    </row>
    <row r="650" spans="1:13" s="350" customFormat="1" ht="15" x14ac:dyDescent="0.25">
      <c r="A650" s="351" t="s">
        <v>4</v>
      </c>
      <c r="B650" s="352" t="s">
        <v>619</v>
      </c>
      <c r="C650" s="353">
        <v>2</v>
      </c>
      <c r="D650" s="353" t="s">
        <v>326</v>
      </c>
      <c r="E650" s="354">
        <v>18000</v>
      </c>
      <c r="F650" s="355">
        <f>ROUND($C650*E650,0)</f>
        <v>36000</v>
      </c>
      <c r="G650" s="196">
        <f t="shared" si="48"/>
        <v>1440</v>
      </c>
      <c r="H650" s="197">
        <f t="shared" si="49"/>
        <v>720</v>
      </c>
      <c r="I650" s="169">
        <f t="shared" si="50"/>
        <v>12240</v>
      </c>
      <c r="J650" s="198">
        <f t="shared" si="51"/>
        <v>3600</v>
      </c>
      <c r="K650" s="173">
        <f t="shared" si="52"/>
        <v>18000</v>
      </c>
      <c r="L650" s="358"/>
      <c r="M650" s="359"/>
    </row>
    <row r="651" spans="1:13" s="350" customFormat="1" ht="3.95" customHeight="1" x14ac:dyDescent="0.25">
      <c r="A651" s="351"/>
      <c r="B651" s="352"/>
      <c r="C651" s="353"/>
      <c r="D651" s="353"/>
      <c r="E651" s="354"/>
      <c r="F651" s="357"/>
      <c r="G651" s="196">
        <f t="shared" si="48"/>
        <v>0</v>
      </c>
      <c r="H651" s="197">
        <f t="shared" si="49"/>
        <v>0</v>
      </c>
      <c r="I651" s="169">
        <f t="shared" si="50"/>
        <v>0</v>
      </c>
      <c r="J651" s="198">
        <f t="shared" si="51"/>
        <v>0</v>
      </c>
      <c r="K651" s="173">
        <f t="shared" si="52"/>
        <v>0</v>
      </c>
      <c r="L651" s="358"/>
      <c r="M651" s="359"/>
    </row>
    <row r="652" spans="1:13" s="350" customFormat="1" ht="15" x14ac:dyDescent="0.25">
      <c r="A652" s="351">
        <v>10.149999999999997</v>
      </c>
      <c r="B652" s="352" t="s">
        <v>620</v>
      </c>
      <c r="C652" s="353"/>
      <c r="D652" s="353"/>
      <c r="E652" s="354"/>
      <c r="F652" s="357"/>
      <c r="G652" s="196">
        <f t="shared" si="48"/>
        <v>0</v>
      </c>
      <c r="H652" s="197">
        <f t="shared" si="49"/>
        <v>0</v>
      </c>
      <c r="I652" s="169">
        <f t="shared" si="50"/>
        <v>0</v>
      </c>
      <c r="J652" s="198">
        <f t="shared" si="51"/>
        <v>0</v>
      </c>
      <c r="K652" s="173">
        <f t="shared" si="52"/>
        <v>0</v>
      </c>
      <c r="L652" s="358"/>
      <c r="M652" s="359"/>
    </row>
    <row r="653" spans="1:13" s="350" customFormat="1" ht="15" x14ac:dyDescent="0.25">
      <c r="A653" s="351" t="s">
        <v>4</v>
      </c>
      <c r="B653" s="352" t="s">
        <v>621</v>
      </c>
      <c r="C653" s="353">
        <v>2</v>
      </c>
      <c r="D653" s="353" t="s">
        <v>326</v>
      </c>
      <c r="E653" s="262">
        <v>5800</v>
      </c>
      <c r="F653" s="355">
        <f>ROUND($C653*E653,0)</f>
        <v>11600</v>
      </c>
      <c r="G653" s="196">
        <f t="shared" si="48"/>
        <v>464</v>
      </c>
      <c r="H653" s="197">
        <f t="shared" si="49"/>
        <v>232</v>
      </c>
      <c r="I653" s="169">
        <f t="shared" si="50"/>
        <v>3944</v>
      </c>
      <c r="J653" s="198">
        <f t="shared" si="51"/>
        <v>1160</v>
      </c>
      <c r="K653" s="173">
        <f t="shared" si="52"/>
        <v>5800</v>
      </c>
      <c r="L653" s="263"/>
      <c r="M653" s="262"/>
    </row>
    <row r="654" spans="1:13" s="350" customFormat="1" ht="5.25" customHeight="1" x14ac:dyDescent="0.25">
      <c r="A654" s="351"/>
      <c r="B654" s="352"/>
      <c r="C654" s="353"/>
      <c r="D654" s="353"/>
      <c r="E654" s="354"/>
      <c r="F654" s="357"/>
      <c r="G654" s="196">
        <f t="shared" ref="G654:G717" si="53">IFERROR((ROUND(E654/1.25*10%,2)),0)</f>
        <v>0</v>
      </c>
      <c r="H654" s="197">
        <f t="shared" ref="H654:H717" si="54">IFERROR((ROUND(E654/1.25*5%,2)),0)</f>
        <v>0</v>
      </c>
      <c r="I654" s="169">
        <f t="shared" ref="I654:I717" si="55">IFERROR((ROUND(E654/1.25*85%,2)),0)</f>
        <v>0</v>
      </c>
      <c r="J654" s="198">
        <f t="shared" ref="J654:J717" si="56">IFERROR((ROUND(E654-(E654/1.25),2)),0)</f>
        <v>0</v>
      </c>
      <c r="K654" s="173">
        <f t="shared" ref="K654:K717" si="57">SUM(G654:J654)</f>
        <v>0</v>
      </c>
      <c r="L654" s="358"/>
      <c r="M654" s="359"/>
    </row>
    <row r="655" spans="1:13" s="350" customFormat="1" ht="15" x14ac:dyDescent="0.25">
      <c r="A655" s="351">
        <v>10.159999999999997</v>
      </c>
      <c r="B655" s="352" t="s">
        <v>622</v>
      </c>
      <c r="C655" s="353"/>
      <c r="D655" s="353"/>
      <c r="E655" s="354"/>
      <c r="F655" s="357"/>
      <c r="G655" s="196">
        <f t="shared" si="53"/>
        <v>0</v>
      </c>
      <c r="H655" s="197">
        <f t="shared" si="54"/>
        <v>0</v>
      </c>
      <c r="I655" s="169">
        <f t="shared" si="55"/>
        <v>0</v>
      </c>
      <c r="J655" s="198">
        <f t="shared" si="56"/>
        <v>0</v>
      </c>
      <c r="K655" s="173">
        <f t="shared" si="57"/>
        <v>0</v>
      </c>
      <c r="L655" s="358"/>
      <c r="M655" s="359"/>
    </row>
    <row r="656" spans="1:13" s="350" customFormat="1" ht="15" x14ac:dyDescent="0.25">
      <c r="A656" s="351" t="s">
        <v>4</v>
      </c>
      <c r="B656" s="352" t="s">
        <v>617</v>
      </c>
      <c r="C656" s="353">
        <v>1</v>
      </c>
      <c r="D656" s="353" t="s">
        <v>86</v>
      </c>
      <c r="E656" s="354">
        <v>250</v>
      </c>
      <c r="F656" s="355">
        <f>ROUND($C656*E656,0)</f>
        <v>250</v>
      </c>
      <c r="G656" s="196">
        <f t="shared" si="53"/>
        <v>20</v>
      </c>
      <c r="H656" s="197">
        <f t="shared" si="54"/>
        <v>10</v>
      </c>
      <c r="I656" s="169">
        <f t="shared" si="55"/>
        <v>170</v>
      </c>
      <c r="J656" s="198">
        <f t="shared" si="56"/>
        <v>50</v>
      </c>
      <c r="K656" s="173">
        <f t="shared" si="57"/>
        <v>250</v>
      </c>
      <c r="L656" s="358"/>
      <c r="M656" s="359"/>
    </row>
    <row r="657" spans="1:13" s="350" customFormat="1" ht="4.5" customHeight="1" x14ac:dyDescent="0.25">
      <c r="A657" s="360"/>
      <c r="B657" s="361"/>
      <c r="C657" s="362"/>
      <c r="D657" s="362"/>
      <c r="E657" s="363"/>
      <c r="F657" s="383"/>
      <c r="G657" s="196">
        <f t="shared" si="53"/>
        <v>0</v>
      </c>
      <c r="H657" s="197">
        <f t="shared" si="54"/>
        <v>0</v>
      </c>
      <c r="I657" s="169">
        <f t="shared" si="55"/>
        <v>0</v>
      </c>
      <c r="J657" s="198">
        <f t="shared" si="56"/>
        <v>0</v>
      </c>
      <c r="K657" s="173">
        <f t="shared" si="57"/>
        <v>0</v>
      </c>
      <c r="L657" s="384"/>
      <c r="M657" s="385"/>
    </row>
    <row r="658" spans="1:13" s="350" customFormat="1" ht="42.75" customHeight="1" x14ac:dyDescent="0.25">
      <c r="A658" s="366">
        <v>10.169999999999996</v>
      </c>
      <c r="B658" s="386" t="s">
        <v>623</v>
      </c>
      <c r="C658" s="368">
        <v>1</v>
      </c>
      <c r="D658" s="368" t="s">
        <v>113</v>
      </c>
      <c r="E658" s="369">
        <v>10000</v>
      </c>
      <c r="F658" s="370">
        <f>ROUND($C658*E658,0)</f>
        <v>10000</v>
      </c>
      <c r="G658" s="196">
        <f t="shared" si="53"/>
        <v>800</v>
      </c>
      <c r="H658" s="197">
        <f t="shared" si="54"/>
        <v>400</v>
      </c>
      <c r="I658" s="169">
        <f t="shared" si="55"/>
        <v>6800</v>
      </c>
      <c r="J658" s="198">
        <f t="shared" si="56"/>
        <v>2000</v>
      </c>
      <c r="K658" s="173">
        <f t="shared" si="57"/>
        <v>10000</v>
      </c>
      <c r="L658" s="371"/>
      <c r="M658" s="369"/>
    </row>
    <row r="659" spans="1:13" s="350" customFormat="1" ht="3.95" customHeight="1" x14ac:dyDescent="0.25">
      <c r="A659" s="351"/>
      <c r="B659" s="352"/>
      <c r="C659" s="353"/>
      <c r="D659" s="353"/>
      <c r="E659" s="354"/>
      <c r="F659" s="357"/>
      <c r="G659" s="196">
        <f t="shared" si="53"/>
        <v>0</v>
      </c>
      <c r="H659" s="197">
        <f t="shared" si="54"/>
        <v>0</v>
      </c>
      <c r="I659" s="169">
        <f t="shared" si="55"/>
        <v>0</v>
      </c>
      <c r="J659" s="198">
        <f t="shared" si="56"/>
        <v>0</v>
      </c>
      <c r="K659" s="173">
        <f t="shared" si="57"/>
        <v>0</v>
      </c>
      <c r="L659" s="358"/>
      <c r="M659" s="359"/>
    </row>
    <row r="660" spans="1:13" s="350" customFormat="1" ht="15.75" x14ac:dyDescent="0.25">
      <c r="A660" s="372" t="s">
        <v>624</v>
      </c>
      <c r="B660" s="373"/>
      <c r="C660" s="374"/>
      <c r="D660" s="374"/>
      <c r="E660" s="375"/>
      <c r="F660" s="376"/>
      <c r="G660" s="196">
        <f t="shared" si="53"/>
        <v>0</v>
      </c>
      <c r="H660" s="197">
        <f t="shared" si="54"/>
        <v>0</v>
      </c>
      <c r="I660" s="169">
        <f t="shared" si="55"/>
        <v>0</v>
      </c>
      <c r="J660" s="198">
        <f t="shared" si="56"/>
        <v>0</v>
      </c>
      <c r="K660" s="173">
        <f t="shared" si="57"/>
        <v>0</v>
      </c>
      <c r="L660" s="377"/>
      <c r="M660" s="374"/>
    </row>
    <row r="661" spans="1:13" s="350" customFormat="1" ht="117.75" customHeight="1" x14ac:dyDescent="0.25">
      <c r="A661" s="351">
        <v>10.179999999999996</v>
      </c>
      <c r="B661" s="352" t="s">
        <v>625</v>
      </c>
      <c r="C661" s="353"/>
      <c r="D661" s="353"/>
      <c r="E661" s="354"/>
      <c r="F661" s="357"/>
      <c r="G661" s="196">
        <f t="shared" si="53"/>
        <v>0</v>
      </c>
      <c r="H661" s="197">
        <f t="shared" si="54"/>
        <v>0</v>
      </c>
      <c r="I661" s="169">
        <f t="shared" si="55"/>
        <v>0</v>
      </c>
      <c r="J661" s="198">
        <f t="shared" si="56"/>
        <v>0</v>
      </c>
      <c r="K661" s="173">
        <f t="shared" si="57"/>
        <v>0</v>
      </c>
      <c r="L661" s="358"/>
      <c r="M661" s="359"/>
    </row>
    <row r="662" spans="1:13" s="350" customFormat="1" ht="15" x14ac:dyDescent="0.25">
      <c r="A662" s="351" t="s">
        <v>4</v>
      </c>
      <c r="B662" s="352" t="s">
        <v>626</v>
      </c>
      <c r="C662" s="353">
        <v>700</v>
      </c>
      <c r="D662" s="353" t="s">
        <v>287</v>
      </c>
      <c r="E662" s="354">
        <v>180</v>
      </c>
      <c r="F662" s="355">
        <f>ROUND($C662*E662,0)</f>
        <v>126000</v>
      </c>
      <c r="G662" s="196">
        <f t="shared" si="53"/>
        <v>14.4</v>
      </c>
      <c r="H662" s="197">
        <f t="shared" si="54"/>
        <v>7.2</v>
      </c>
      <c r="I662" s="169">
        <f t="shared" si="55"/>
        <v>122.4</v>
      </c>
      <c r="J662" s="198">
        <f t="shared" si="56"/>
        <v>36</v>
      </c>
      <c r="K662" s="173">
        <f t="shared" si="57"/>
        <v>180</v>
      </c>
      <c r="L662" s="358"/>
      <c r="M662" s="359"/>
    </row>
    <row r="663" spans="1:13" s="350" customFormat="1" ht="15" x14ac:dyDescent="0.25">
      <c r="A663" s="351" t="s">
        <v>48</v>
      </c>
      <c r="B663" s="352" t="s">
        <v>627</v>
      </c>
      <c r="C663" s="353">
        <v>1100</v>
      </c>
      <c r="D663" s="353" t="s">
        <v>287</v>
      </c>
      <c r="E663" s="354">
        <v>380</v>
      </c>
      <c r="F663" s="355">
        <f>ROUND($C663*E663,0)</f>
        <v>418000</v>
      </c>
      <c r="G663" s="196">
        <f t="shared" si="53"/>
        <v>30.4</v>
      </c>
      <c r="H663" s="197">
        <f t="shared" si="54"/>
        <v>15.2</v>
      </c>
      <c r="I663" s="169">
        <f t="shared" si="55"/>
        <v>258.39999999999998</v>
      </c>
      <c r="J663" s="198">
        <f t="shared" si="56"/>
        <v>76</v>
      </c>
      <c r="K663" s="173">
        <f t="shared" si="57"/>
        <v>380</v>
      </c>
      <c r="L663" s="358"/>
      <c r="M663" s="359"/>
    </row>
    <row r="664" spans="1:13" s="350" customFormat="1" ht="15" x14ac:dyDescent="0.25">
      <c r="A664" s="351" t="s">
        <v>51</v>
      </c>
      <c r="B664" s="352" t="s">
        <v>628</v>
      </c>
      <c r="C664" s="353">
        <v>850</v>
      </c>
      <c r="D664" s="353" t="s">
        <v>287</v>
      </c>
      <c r="E664" s="354">
        <v>460</v>
      </c>
      <c r="F664" s="355">
        <f>ROUND($C664*E664,0)</f>
        <v>391000</v>
      </c>
      <c r="G664" s="196">
        <f t="shared" si="53"/>
        <v>36.799999999999997</v>
      </c>
      <c r="H664" s="197">
        <f t="shared" si="54"/>
        <v>18.399999999999999</v>
      </c>
      <c r="I664" s="169">
        <f t="shared" si="55"/>
        <v>312.8</v>
      </c>
      <c r="J664" s="198">
        <f t="shared" si="56"/>
        <v>92</v>
      </c>
      <c r="K664" s="173">
        <f t="shared" si="57"/>
        <v>460</v>
      </c>
      <c r="L664" s="358"/>
      <c r="M664" s="359"/>
    </row>
    <row r="665" spans="1:13" s="350" customFormat="1" ht="3.95" customHeight="1" x14ac:dyDescent="0.25">
      <c r="A665" s="351"/>
      <c r="B665" s="352"/>
      <c r="C665" s="353"/>
      <c r="D665" s="353"/>
      <c r="E665" s="354"/>
      <c r="F665" s="357"/>
      <c r="G665" s="196">
        <f t="shared" si="53"/>
        <v>0</v>
      </c>
      <c r="H665" s="197">
        <f t="shared" si="54"/>
        <v>0</v>
      </c>
      <c r="I665" s="169">
        <f t="shared" si="55"/>
        <v>0</v>
      </c>
      <c r="J665" s="198">
        <f t="shared" si="56"/>
        <v>0</v>
      </c>
      <c r="K665" s="173">
        <f t="shared" si="57"/>
        <v>0</v>
      </c>
      <c r="L665" s="358"/>
      <c r="M665" s="359"/>
    </row>
    <row r="666" spans="1:13" s="350" customFormat="1" ht="28.5" x14ac:dyDescent="0.25">
      <c r="A666" s="351">
        <v>10.189999999999996</v>
      </c>
      <c r="B666" s="352" t="s">
        <v>629</v>
      </c>
      <c r="C666" s="353"/>
      <c r="D666" s="353"/>
      <c r="E666" s="354"/>
      <c r="F666" s="357"/>
      <c r="G666" s="196">
        <f t="shared" si="53"/>
        <v>0</v>
      </c>
      <c r="H666" s="197">
        <f t="shared" si="54"/>
        <v>0</v>
      </c>
      <c r="I666" s="169">
        <f t="shared" si="55"/>
        <v>0</v>
      </c>
      <c r="J666" s="198">
        <f t="shared" si="56"/>
        <v>0</v>
      </c>
      <c r="K666" s="173">
        <f t="shared" si="57"/>
        <v>0</v>
      </c>
      <c r="L666" s="358"/>
      <c r="M666" s="359"/>
    </row>
    <row r="667" spans="1:13" s="350" customFormat="1" ht="15" x14ac:dyDescent="0.25">
      <c r="A667" s="351" t="s">
        <v>4</v>
      </c>
      <c r="B667" s="352" t="s">
        <v>627</v>
      </c>
      <c r="C667" s="353">
        <v>6</v>
      </c>
      <c r="D667" s="353" t="s">
        <v>326</v>
      </c>
      <c r="E667" s="354">
        <v>350</v>
      </c>
      <c r="F667" s="355">
        <f>ROUND($C667*E667,0)</f>
        <v>2100</v>
      </c>
      <c r="G667" s="196">
        <f t="shared" si="53"/>
        <v>28</v>
      </c>
      <c r="H667" s="197">
        <f t="shared" si="54"/>
        <v>14</v>
      </c>
      <c r="I667" s="169">
        <f t="shared" si="55"/>
        <v>238</v>
      </c>
      <c r="J667" s="198">
        <f t="shared" si="56"/>
        <v>70</v>
      </c>
      <c r="K667" s="173">
        <f t="shared" si="57"/>
        <v>350</v>
      </c>
      <c r="L667" s="358"/>
      <c r="M667" s="359"/>
    </row>
    <row r="668" spans="1:13" s="350" customFormat="1" ht="15" x14ac:dyDescent="0.25">
      <c r="A668" s="351" t="s">
        <v>48</v>
      </c>
      <c r="B668" s="352" t="s">
        <v>628</v>
      </c>
      <c r="C668" s="353">
        <v>4</v>
      </c>
      <c r="D668" s="353" t="s">
        <v>326</v>
      </c>
      <c r="E668" s="354">
        <v>400</v>
      </c>
      <c r="F668" s="355">
        <f>ROUND($C668*E668,0)</f>
        <v>1600</v>
      </c>
      <c r="G668" s="196">
        <f t="shared" si="53"/>
        <v>32</v>
      </c>
      <c r="H668" s="197">
        <f t="shared" si="54"/>
        <v>16</v>
      </c>
      <c r="I668" s="169">
        <f t="shared" si="55"/>
        <v>272</v>
      </c>
      <c r="J668" s="198">
        <f t="shared" si="56"/>
        <v>80</v>
      </c>
      <c r="K668" s="173">
        <f t="shared" si="57"/>
        <v>400</v>
      </c>
      <c r="L668" s="358"/>
      <c r="M668" s="359"/>
    </row>
    <row r="669" spans="1:13" s="350" customFormat="1" ht="3.95" customHeight="1" x14ac:dyDescent="0.25">
      <c r="A669" s="351"/>
      <c r="B669" s="352"/>
      <c r="C669" s="353"/>
      <c r="D669" s="353"/>
      <c r="E669" s="354"/>
      <c r="F669" s="357"/>
      <c r="G669" s="196">
        <f t="shared" si="53"/>
        <v>0</v>
      </c>
      <c r="H669" s="197">
        <f t="shared" si="54"/>
        <v>0</v>
      </c>
      <c r="I669" s="169">
        <f t="shared" si="55"/>
        <v>0</v>
      </c>
      <c r="J669" s="198">
        <f t="shared" si="56"/>
        <v>0</v>
      </c>
      <c r="K669" s="173">
        <f t="shared" si="57"/>
        <v>0</v>
      </c>
      <c r="L669" s="358"/>
      <c r="M669" s="359"/>
    </row>
    <row r="670" spans="1:13" s="350" customFormat="1" ht="99.75" x14ac:dyDescent="0.25">
      <c r="A670" s="351">
        <v>10.199999999999996</v>
      </c>
      <c r="B670" s="352" t="s">
        <v>630</v>
      </c>
      <c r="C670" s="353"/>
      <c r="D670" s="353"/>
      <c r="E670" s="354"/>
      <c r="F670" s="357"/>
      <c r="G670" s="196">
        <f t="shared" si="53"/>
        <v>0</v>
      </c>
      <c r="H670" s="197">
        <f t="shared" si="54"/>
        <v>0</v>
      </c>
      <c r="I670" s="169">
        <f t="shared" si="55"/>
        <v>0</v>
      </c>
      <c r="J670" s="198">
        <f t="shared" si="56"/>
        <v>0</v>
      </c>
      <c r="K670" s="173">
        <f t="shared" si="57"/>
        <v>0</v>
      </c>
      <c r="L670" s="358"/>
      <c r="M670" s="359"/>
    </row>
    <row r="671" spans="1:13" s="350" customFormat="1" ht="15" x14ac:dyDescent="0.25">
      <c r="A671" s="351" t="s">
        <v>4</v>
      </c>
      <c r="B671" s="352" t="s">
        <v>627</v>
      </c>
      <c r="C671" s="353">
        <v>51</v>
      </c>
      <c r="D671" s="353" t="s">
        <v>326</v>
      </c>
      <c r="E671" s="354">
        <v>5500</v>
      </c>
      <c r="F671" s="355">
        <f>ROUND($C671*E671,0)</f>
        <v>280500</v>
      </c>
      <c r="G671" s="196">
        <f t="shared" si="53"/>
        <v>440</v>
      </c>
      <c r="H671" s="197">
        <f t="shared" si="54"/>
        <v>220</v>
      </c>
      <c r="I671" s="169">
        <f t="shared" si="55"/>
        <v>3740</v>
      </c>
      <c r="J671" s="198">
        <f t="shared" si="56"/>
        <v>1100</v>
      </c>
      <c r="K671" s="173">
        <f t="shared" si="57"/>
        <v>5500</v>
      </c>
      <c r="L671" s="358"/>
      <c r="M671" s="359"/>
    </row>
    <row r="672" spans="1:13" s="350" customFormat="1" ht="3.95" customHeight="1" x14ac:dyDescent="0.25">
      <c r="A672" s="351"/>
      <c r="B672" s="352"/>
      <c r="C672" s="353"/>
      <c r="D672" s="353"/>
      <c r="E672" s="354"/>
      <c r="F672" s="357"/>
      <c r="G672" s="196">
        <f t="shared" si="53"/>
        <v>0</v>
      </c>
      <c r="H672" s="197">
        <f t="shared" si="54"/>
        <v>0</v>
      </c>
      <c r="I672" s="169">
        <f t="shared" si="55"/>
        <v>0</v>
      </c>
      <c r="J672" s="198">
        <f t="shared" si="56"/>
        <v>0</v>
      </c>
      <c r="K672" s="173">
        <f t="shared" si="57"/>
        <v>0</v>
      </c>
      <c r="L672" s="358"/>
      <c r="M672" s="359"/>
    </row>
    <row r="673" spans="1:13" s="350" customFormat="1" ht="87.75" customHeight="1" x14ac:dyDescent="0.25">
      <c r="A673" s="351">
        <v>10.209999999999996</v>
      </c>
      <c r="B673" s="352" t="s">
        <v>631</v>
      </c>
      <c r="C673" s="353"/>
      <c r="D673" s="353"/>
      <c r="E673" s="354"/>
      <c r="F673" s="357"/>
      <c r="G673" s="196">
        <f t="shared" si="53"/>
        <v>0</v>
      </c>
      <c r="H673" s="197">
        <f t="shared" si="54"/>
        <v>0</v>
      </c>
      <c r="I673" s="169">
        <f t="shared" si="55"/>
        <v>0</v>
      </c>
      <c r="J673" s="198">
        <f t="shared" si="56"/>
        <v>0</v>
      </c>
      <c r="K673" s="173">
        <f t="shared" si="57"/>
        <v>0</v>
      </c>
      <c r="L673" s="358"/>
      <c r="M673" s="359"/>
    </row>
    <row r="674" spans="1:13" s="350" customFormat="1" ht="15" x14ac:dyDescent="0.25">
      <c r="A674" s="351" t="s">
        <v>4</v>
      </c>
      <c r="B674" s="352" t="s">
        <v>627</v>
      </c>
      <c r="C674" s="353">
        <v>19</v>
      </c>
      <c r="D674" s="353" t="s">
        <v>326</v>
      </c>
      <c r="E674" s="354">
        <v>5200</v>
      </c>
      <c r="F674" s="355">
        <f>ROUND($C674*E674,0)</f>
        <v>98800</v>
      </c>
      <c r="G674" s="196">
        <f t="shared" si="53"/>
        <v>416</v>
      </c>
      <c r="H674" s="197">
        <f t="shared" si="54"/>
        <v>208</v>
      </c>
      <c r="I674" s="169">
        <f t="shared" si="55"/>
        <v>3536</v>
      </c>
      <c r="J674" s="198">
        <f t="shared" si="56"/>
        <v>1040</v>
      </c>
      <c r="K674" s="173">
        <f t="shared" si="57"/>
        <v>5200</v>
      </c>
      <c r="L674" s="358"/>
      <c r="M674" s="359"/>
    </row>
    <row r="675" spans="1:13" s="350" customFormat="1" ht="15" x14ac:dyDescent="0.25">
      <c r="A675" s="351" t="s">
        <v>48</v>
      </c>
      <c r="B675" s="352" t="s">
        <v>628</v>
      </c>
      <c r="C675" s="353">
        <v>11</v>
      </c>
      <c r="D675" s="353" t="s">
        <v>326</v>
      </c>
      <c r="E675" s="354">
        <v>6500</v>
      </c>
      <c r="F675" s="355">
        <f>ROUND($C675*E675,0)</f>
        <v>71500</v>
      </c>
      <c r="G675" s="196">
        <f t="shared" si="53"/>
        <v>520</v>
      </c>
      <c r="H675" s="197">
        <f t="shared" si="54"/>
        <v>260</v>
      </c>
      <c r="I675" s="169">
        <f t="shared" si="55"/>
        <v>4420</v>
      </c>
      <c r="J675" s="198">
        <f t="shared" si="56"/>
        <v>1300</v>
      </c>
      <c r="K675" s="173">
        <f t="shared" si="57"/>
        <v>6500</v>
      </c>
      <c r="L675" s="358"/>
      <c r="M675" s="359"/>
    </row>
    <row r="676" spans="1:13" s="350" customFormat="1" ht="3.95" customHeight="1" x14ac:dyDescent="0.25">
      <c r="A676" s="351"/>
      <c r="B676" s="352"/>
      <c r="C676" s="353"/>
      <c r="D676" s="353"/>
      <c r="E676" s="354"/>
      <c r="F676" s="357"/>
      <c r="G676" s="196">
        <f t="shared" si="53"/>
        <v>0</v>
      </c>
      <c r="H676" s="197">
        <f t="shared" si="54"/>
        <v>0</v>
      </c>
      <c r="I676" s="169">
        <f t="shared" si="55"/>
        <v>0</v>
      </c>
      <c r="J676" s="198">
        <f t="shared" si="56"/>
        <v>0</v>
      </c>
      <c r="K676" s="173">
        <f t="shared" si="57"/>
        <v>0</v>
      </c>
      <c r="L676" s="358"/>
      <c r="M676" s="359"/>
    </row>
    <row r="677" spans="1:13" s="350" customFormat="1" ht="15.75" x14ac:dyDescent="0.25">
      <c r="A677" s="372" t="s">
        <v>632</v>
      </c>
      <c r="B677" s="373"/>
      <c r="C677" s="374"/>
      <c r="D677" s="374"/>
      <c r="E677" s="375"/>
      <c r="F677" s="376"/>
      <c r="G677" s="196">
        <f t="shared" si="53"/>
        <v>0</v>
      </c>
      <c r="H677" s="197">
        <f t="shared" si="54"/>
        <v>0</v>
      </c>
      <c r="I677" s="169">
        <f t="shared" si="55"/>
        <v>0</v>
      </c>
      <c r="J677" s="198">
        <f t="shared" si="56"/>
        <v>0</v>
      </c>
      <c r="K677" s="173">
        <f t="shared" si="57"/>
        <v>0</v>
      </c>
      <c r="L677" s="377"/>
      <c r="M677" s="374"/>
    </row>
    <row r="678" spans="1:13" s="350" customFormat="1" ht="58.5" customHeight="1" x14ac:dyDescent="0.25">
      <c r="A678" s="351">
        <v>10.219999999999995</v>
      </c>
      <c r="B678" s="378" t="s">
        <v>633</v>
      </c>
      <c r="C678" s="387"/>
      <c r="D678" s="387"/>
      <c r="E678" s="388"/>
      <c r="F678" s="389"/>
      <c r="G678" s="196">
        <f t="shared" si="53"/>
        <v>0</v>
      </c>
      <c r="H678" s="197">
        <f t="shared" si="54"/>
        <v>0</v>
      </c>
      <c r="I678" s="169">
        <f t="shared" si="55"/>
        <v>0</v>
      </c>
      <c r="J678" s="198">
        <f t="shared" si="56"/>
        <v>0</v>
      </c>
      <c r="K678" s="173">
        <f t="shared" si="57"/>
        <v>0</v>
      </c>
      <c r="L678" s="390"/>
      <c r="M678" s="387"/>
    </row>
    <row r="679" spans="1:13" s="350" customFormat="1" ht="15" x14ac:dyDescent="0.25">
      <c r="A679" s="360" t="s">
        <v>4</v>
      </c>
      <c r="B679" s="361" t="s">
        <v>634</v>
      </c>
      <c r="C679" s="362">
        <v>250</v>
      </c>
      <c r="D679" s="362" t="s">
        <v>287</v>
      </c>
      <c r="E679" s="267">
        <v>900</v>
      </c>
      <c r="F679" s="364">
        <f>ROUND($C679*E679,0)</f>
        <v>225000</v>
      </c>
      <c r="G679" s="196">
        <f t="shared" si="53"/>
        <v>72</v>
      </c>
      <c r="H679" s="197">
        <f t="shared" si="54"/>
        <v>36</v>
      </c>
      <c r="I679" s="169">
        <f t="shared" si="55"/>
        <v>612</v>
      </c>
      <c r="J679" s="198">
        <f t="shared" si="56"/>
        <v>180</v>
      </c>
      <c r="K679" s="173">
        <f t="shared" si="57"/>
        <v>900</v>
      </c>
      <c r="L679" s="268"/>
      <c r="M679" s="267"/>
    </row>
    <row r="680" spans="1:13" s="350" customFormat="1" ht="3.95" customHeight="1" x14ac:dyDescent="0.25">
      <c r="A680" s="391"/>
      <c r="B680" s="367"/>
      <c r="C680" s="368"/>
      <c r="D680" s="368"/>
      <c r="E680" s="369"/>
      <c r="F680" s="380"/>
      <c r="G680" s="196">
        <f t="shared" si="53"/>
        <v>0</v>
      </c>
      <c r="H680" s="197">
        <f t="shared" si="54"/>
        <v>0</v>
      </c>
      <c r="I680" s="169">
        <f t="shared" si="55"/>
        <v>0</v>
      </c>
      <c r="J680" s="198">
        <f t="shared" si="56"/>
        <v>0</v>
      </c>
      <c r="K680" s="173">
        <f t="shared" si="57"/>
        <v>0</v>
      </c>
      <c r="L680" s="381"/>
      <c r="M680" s="382"/>
    </row>
    <row r="681" spans="1:13" s="350" customFormat="1" ht="72.75" customHeight="1" x14ac:dyDescent="0.25">
      <c r="A681" s="351">
        <v>10.229999999999995</v>
      </c>
      <c r="B681" s="378" t="s">
        <v>635</v>
      </c>
      <c r="C681" s="262"/>
      <c r="D681" s="262"/>
      <c r="E681" s="388"/>
      <c r="F681" s="389"/>
      <c r="G681" s="196">
        <f t="shared" si="53"/>
        <v>0</v>
      </c>
      <c r="H681" s="197">
        <f t="shared" si="54"/>
        <v>0</v>
      </c>
      <c r="I681" s="169">
        <f t="shared" si="55"/>
        <v>0</v>
      </c>
      <c r="J681" s="198">
        <f t="shared" si="56"/>
        <v>0</v>
      </c>
      <c r="K681" s="173">
        <f t="shared" si="57"/>
        <v>0</v>
      </c>
      <c r="L681" s="390"/>
      <c r="M681" s="387"/>
    </row>
    <row r="682" spans="1:13" s="350" customFormat="1" ht="15" x14ac:dyDescent="0.25">
      <c r="A682" s="351" t="s">
        <v>4</v>
      </c>
      <c r="B682" s="378" t="s">
        <v>636</v>
      </c>
      <c r="C682" s="262">
        <v>9</v>
      </c>
      <c r="D682" s="262" t="s">
        <v>326</v>
      </c>
      <c r="E682" s="262">
        <v>15000</v>
      </c>
      <c r="F682" s="355">
        <f>ROUND($C682*E682,0)</f>
        <v>135000</v>
      </c>
      <c r="G682" s="196">
        <f t="shared" si="53"/>
        <v>1200</v>
      </c>
      <c r="H682" s="197">
        <f t="shared" si="54"/>
        <v>600</v>
      </c>
      <c r="I682" s="169">
        <f t="shared" si="55"/>
        <v>10200</v>
      </c>
      <c r="J682" s="198">
        <f t="shared" si="56"/>
        <v>3000</v>
      </c>
      <c r="K682" s="173">
        <f t="shared" si="57"/>
        <v>15000</v>
      </c>
      <c r="L682" s="263"/>
      <c r="M682" s="262"/>
    </row>
    <row r="683" spans="1:13" s="350" customFormat="1" ht="3.95" customHeight="1" x14ac:dyDescent="0.25">
      <c r="A683" s="351" t="s">
        <v>189</v>
      </c>
      <c r="B683" s="352"/>
      <c r="C683" s="353"/>
      <c r="D683" s="353"/>
      <c r="E683" s="354"/>
      <c r="F683" s="357"/>
      <c r="G683" s="196">
        <f t="shared" si="53"/>
        <v>0</v>
      </c>
      <c r="H683" s="197">
        <f t="shared" si="54"/>
        <v>0</v>
      </c>
      <c r="I683" s="169">
        <f t="shared" si="55"/>
        <v>0</v>
      </c>
      <c r="J683" s="198">
        <f t="shared" si="56"/>
        <v>0</v>
      </c>
      <c r="K683" s="173">
        <f t="shared" si="57"/>
        <v>0</v>
      </c>
      <c r="L683" s="358"/>
      <c r="M683" s="359"/>
    </row>
    <row r="684" spans="1:13" s="350" customFormat="1" ht="44.25" customHeight="1" x14ac:dyDescent="0.25">
      <c r="A684" s="351">
        <v>10.239999999999995</v>
      </c>
      <c r="B684" s="378" t="s">
        <v>637</v>
      </c>
      <c r="C684" s="262"/>
      <c r="D684" s="262"/>
      <c r="E684" s="388"/>
      <c r="F684" s="389"/>
      <c r="G684" s="196">
        <f t="shared" si="53"/>
        <v>0</v>
      </c>
      <c r="H684" s="197">
        <f t="shared" si="54"/>
        <v>0</v>
      </c>
      <c r="I684" s="169">
        <f t="shared" si="55"/>
        <v>0</v>
      </c>
      <c r="J684" s="198">
        <f t="shared" si="56"/>
        <v>0</v>
      </c>
      <c r="K684" s="173">
        <f t="shared" si="57"/>
        <v>0</v>
      </c>
      <c r="L684" s="390"/>
      <c r="M684" s="387"/>
    </row>
    <row r="685" spans="1:13" s="350" customFormat="1" ht="15" x14ac:dyDescent="0.25">
      <c r="A685" s="351" t="s">
        <v>4</v>
      </c>
      <c r="B685" s="378" t="s">
        <v>638</v>
      </c>
      <c r="C685" s="262">
        <v>7</v>
      </c>
      <c r="D685" s="262" t="s">
        <v>326</v>
      </c>
      <c r="E685" s="354">
        <v>4200</v>
      </c>
      <c r="F685" s="355">
        <f>ROUND($C685*E685,0)</f>
        <v>29400</v>
      </c>
      <c r="G685" s="196">
        <f t="shared" si="53"/>
        <v>336</v>
      </c>
      <c r="H685" s="197">
        <f t="shared" si="54"/>
        <v>168</v>
      </c>
      <c r="I685" s="169">
        <f t="shared" si="55"/>
        <v>2856</v>
      </c>
      <c r="J685" s="198">
        <f t="shared" si="56"/>
        <v>840</v>
      </c>
      <c r="K685" s="173">
        <f t="shared" si="57"/>
        <v>4200</v>
      </c>
      <c r="L685" s="356"/>
      <c r="M685" s="354"/>
    </row>
    <row r="686" spans="1:13" s="350" customFormat="1" ht="3.95" customHeight="1" x14ac:dyDescent="0.25">
      <c r="A686" s="351" t="s">
        <v>189</v>
      </c>
      <c r="B686" s="352"/>
      <c r="C686" s="353"/>
      <c r="D686" s="353"/>
      <c r="E686" s="354"/>
      <c r="F686" s="357"/>
      <c r="G686" s="196">
        <f t="shared" si="53"/>
        <v>0</v>
      </c>
      <c r="H686" s="197">
        <f t="shared" si="54"/>
        <v>0</v>
      </c>
      <c r="I686" s="169">
        <f t="shared" si="55"/>
        <v>0</v>
      </c>
      <c r="J686" s="198">
        <f t="shared" si="56"/>
        <v>0</v>
      </c>
      <c r="K686" s="173">
        <f t="shared" si="57"/>
        <v>0</v>
      </c>
      <c r="L686" s="358"/>
      <c r="M686" s="359"/>
    </row>
    <row r="687" spans="1:13" s="350" customFormat="1" ht="42.75" customHeight="1" x14ac:dyDescent="0.25">
      <c r="A687" s="351">
        <v>10.249999999999995</v>
      </c>
      <c r="B687" s="392" t="s">
        <v>639</v>
      </c>
      <c r="C687" s="353">
        <v>1</v>
      </c>
      <c r="D687" s="353" t="s">
        <v>113</v>
      </c>
      <c r="E687" s="354">
        <v>10000</v>
      </c>
      <c r="F687" s="355">
        <f>ROUND($C687*E687,0)</f>
        <v>10000</v>
      </c>
      <c r="G687" s="196">
        <f t="shared" si="53"/>
        <v>800</v>
      </c>
      <c r="H687" s="197">
        <f t="shared" si="54"/>
        <v>400</v>
      </c>
      <c r="I687" s="169">
        <f t="shared" si="55"/>
        <v>6800</v>
      </c>
      <c r="J687" s="198">
        <f t="shared" si="56"/>
        <v>2000</v>
      </c>
      <c r="K687" s="173">
        <f t="shared" si="57"/>
        <v>10000</v>
      </c>
      <c r="L687" s="356"/>
      <c r="M687" s="354"/>
    </row>
    <row r="688" spans="1:13" s="350" customFormat="1" ht="3.95" customHeight="1" x14ac:dyDescent="0.25">
      <c r="A688" s="351" t="s">
        <v>189</v>
      </c>
      <c r="B688" s="352"/>
      <c r="C688" s="353"/>
      <c r="D688" s="353"/>
      <c r="E688" s="354"/>
      <c r="F688" s="357"/>
      <c r="G688" s="196">
        <f t="shared" si="53"/>
        <v>0</v>
      </c>
      <c r="H688" s="197">
        <f t="shared" si="54"/>
        <v>0</v>
      </c>
      <c r="I688" s="169">
        <f t="shared" si="55"/>
        <v>0</v>
      </c>
      <c r="J688" s="198">
        <f t="shared" si="56"/>
        <v>0</v>
      </c>
      <c r="K688" s="173">
        <f t="shared" si="57"/>
        <v>0</v>
      </c>
      <c r="L688" s="358"/>
      <c r="M688" s="359"/>
    </row>
    <row r="689" spans="1:13" s="350" customFormat="1" ht="15.75" x14ac:dyDescent="0.25">
      <c r="A689" s="372" t="s">
        <v>640</v>
      </c>
      <c r="B689" s="373"/>
      <c r="C689" s="374"/>
      <c r="D689" s="374"/>
      <c r="E689" s="375"/>
      <c r="F689" s="376"/>
      <c r="G689" s="196">
        <f t="shared" si="53"/>
        <v>0</v>
      </c>
      <c r="H689" s="197">
        <f t="shared" si="54"/>
        <v>0</v>
      </c>
      <c r="I689" s="169">
        <f t="shared" si="55"/>
        <v>0</v>
      </c>
      <c r="J689" s="198">
        <f t="shared" si="56"/>
        <v>0</v>
      </c>
      <c r="K689" s="173">
        <f t="shared" si="57"/>
        <v>0</v>
      </c>
      <c r="L689" s="377"/>
      <c r="M689" s="374"/>
    </row>
    <row r="690" spans="1:13" s="350" customFormat="1" ht="115.5" customHeight="1" x14ac:dyDescent="0.25">
      <c r="A690" s="351">
        <v>10.259999999999994</v>
      </c>
      <c r="B690" s="352" t="s">
        <v>641</v>
      </c>
      <c r="C690" s="353"/>
      <c r="D690" s="353"/>
      <c r="E690" s="354"/>
      <c r="F690" s="357"/>
      <c r="G690" s="196">
        <f t="shared" si="53"/>
        <v>0</v>
      </c>
      <c r="H690" s="197">
        <f t="shared" si="54"/>
        <v>0</v>
      </c>
      <c r="I690" s="169">
        <f t="shared" si="55"/>
        <v>0</v>
      </c>
      <c r="J690" s="198">
        <f t="shared" si="56"/>
        <v>0</v>
      </c>
      <c r="K690" s="173">
        <f t="shared" si="57"/>
        <v>0</v>
      </c>
      <c r="L690" s="358"/>
      <c r="M690" s="359"/>
    </row>
    <row r="691" spans="1:13" s="350" customFormat="1" ht="15" x14ac:dyDescent="0.25">
      <c r="A691" s="351" t="s">
        <v>4</v>
      </c>
      <c r="B691" s="352" t="s">
        <v>642</v>
      </c>
      <c r="C691" s="353">
        <v>170</v>
      </c>
      <c r="D691" s="353" t="s">
        <v>287</v>
      </c>
      <c r="E691" s="354">
        <v>460</v>
      </c>
      <c r="F691" s="355">
        <f>ROUND($C691*E691,0)</f>
        <v>78200</v>
      </c>
      <c r="G691" s="196">
        <f t="shared" si="53"/>
        <v>36.799999999999997</v>
      </c>
      <c r="H691" s="197">
        <f t="shared" si="54"/>
        <v>18.399999999999999</v>
      </c>
      <c r="I691" s="169">
        <f t="shared" si="55"/>
        <v>312.8</v>
      </c>
      <c r="J691" s="198">
        <f t="shared" si="56"/>
        <v>92</v>
      </c>
      <c r="K691" s="173">
        <f t="shared" si="57"/>
        <v>460</v>
      </c>
      <c r="L691" s="358"/>
      <c r="M691" s="359"/>
    </row>
    <row r="692" spans="1:13" s="350" customFormat="1" ht="3.95" customHeight="1" x14ac:dyDescent="0.25">
      <c r="A692" s="351"/>
      <c r="B692" s="352"/>
      <c r="C692" s="353"/>
      <c r="D692" s="353"/>
      <c r="E692" s="354"/>
      <c r="F692" s="357"/>
      <c r="G692" s="196">
        <f t="shared" si="53"/>
        <v>0</v>
      </c>
      <c r="H692" s="197">
        <f t="shared" si="54"/>
        <v>0</v>
      </c>
      <c r="I692" s="169">
        <f t="shared" si="55"/>
        <v>0</v>
      </c>
      <c r="J692" s="198">
        <f t="shared" si="56"/>
        <v>0</v>
      </c>
      <c r="K692" s="173">
        <f t="shared" si="57"/>
        <v>0</v>
      </c>
      <c r="L692" s="358"/>
      <c r="M692" s="359"/>
    </row>
    <row r="693" spans="1:13" s="350" customFormat="1" ht="85.5" x14ac:dyDescent="0.25">
      <c r="A693" s="351">
        <v>10.269999999999994</v>
      </c>
      <c r="B693" s="378" t="s">
        <v>643</v>
      </c>
      <c r="C693" s="353"/>
      <c r="D693" s="353"/>
      <c r="E693" s="354"/>
      <c r="F693" s="357"/>
      <c r="G693" s="196">
        <f t="shared" si="53"/>
        <v>0</v>
      </c>
      <c r="H693" s="197">
        <f t="shared" si="54"/>
        <v>0</v>
      </c>
      <c r="I693" s="169">
        <f t="shared" si="55"/>
        <v>0</v>
      </c>
      <c r="J693" s="198">
        <f t="shared" si="56"/>
        <v>0</v>
      </c>
      <c r="K693" s="173">
        <f t="shared" si="57"/>
        <v>0</v>
      </c>
      <c r="L693" s="358"/>
      <c r="M693" s="359"/>
    </row>
    <row r="694" spans="1:13" s="350" customFormat="1" ht="15" x14ac:dyDescent="0.25">
      <c r="A694" s="351" t="s">
        <v>4</v>
      </c>
      <c r="B694" s="352" t="s">
        <v>644</v>
      </c>
      <c r="C694" s="262">
        <v>3</v>
      </c>
      <c r="D694" s="262" t="s">
        <v>326</v>
      </c>
      <c r="E694" s="354">
        <v>5000</v>
      </c>
      <c r="F694" s="355">
        <f>ROUND($C694*E694,0)</f>
        <v>15000</v>
      </c>
      <c r="G694" s="196">
        <f t="shared" si="53"/>
        <v>400</v>
      </c>
      <c r="H694" s="197">
        <f t="shared" si="54"/>
        <v>200</v>
      </c>
      <c r="I694" s="169">
        <f t="shared" si="55"/>
        <v>3400</v>
      </c>
      <c r="J694" s="198">
        <f t="shared" si="56"/>
        <v>1000</v>
      </c>
      <c r="K694" s="173">
        <f t="shared" si="57"/>
        <v>5000</v>
      </c>
      <c r="L694" s="358"/>
      <c r="M694" s="359"/>
    </row>
    <row r="695" spans="1:13" x14ac:dyDescent="0.25">
      <c r="A695" s="206"/>
      <c r="B695" s="136"/>
      <c r="C695" s="163"/>
      <c r="D695" s="163"/>
      <c r="E695" s="163"/>
      <c r="F695" s="210"/>
      <c r="G695" s="196">
        <f t="shared" si="53"/>
        <v>0</v>
      </c>
      <c r="H695" s="197">
        <f t="shared" si="54"/>
        <v>0</v>
      </c>
      <c r="I695" s="169">
        <f t="shared" si="55"/>
        <v>0</v>
      </c>
      <c r="J695" s="198">
        <f t="shared" si="56"/>
        <v>0</v>
      </c>
      <c r="K695" s="173">
        <f t="shared" si="57"/>
        <v>0</v>
      </c>
      <c r="L695" s="168"/>
      <c r="M695" s="169"/>
    </row>
    <row r="696" spans="1:13" s="398" customFormat="1" ht="15" x14ac:dyDescent="0.25">
      <c r="A696" s="393"/>
      <c r="B696" s="394" t="s">
        <v>645</v>
      </c>
      <c r="C696" s="395"/>
      <c r="D696" s="395"/>
      <c r="E696" s="395"/>
      <c r="F696" s="396"/>
      <c r="G696" s="196">
        <f t="shared" si="53"/>
        <v>0</v>
      </c>
      <c r="H696" s="197">
        <f t="shared" si="54"/>
        <v>0</v>
      </c>
      <c r="I696" s="169">
        <f t="shared" si="55"/>
        <v>0</v>
      </c>
      <c r="J696" s="198">
        <f t="shared" si="56"/>
        <v>0</v>
      </c>
      <c r="K696" s="173">
        <f t="shared" si="57"/>
        <v>0</v>
      </c>
      <c r="L696" s="397"/>
      <c r="M696" s="395"/>
    </row>
    <row r="697" spans="1:13" s="398" customFormat="1" ht="246.75" customHeight="1" x14ac:dyDescent="0.25">
      <c r="A697" s="399">
        <v>11.01</v>
      </c>
      <c r="B697" s="400" t="s">
        <v>646</v>
      </c>
      <c r="C697" s="401">
        <v>1</v>
      </c>
      <c r="D697" s="401" t="s">
        <v>583</v>
      </c>
      <c r="E697" s="262">
        <v>5500000</v>
      </c>
      <c r="F697" s="357">
        <f>ROUND(E697*$C697,0)</f>
        <v>5500000</v>
      </c>
      <c r="G697" s="196">
        <f t="shared" si="53"/>
        <v>440000</v>
      </c>
      <c r="H697" s="197">
        <f t="shared" si="54"/>
        <v>220000</v>
      </c>
      <c r="I697" s="169">
        <f t="shared" si="55"/>
        <v>3740000</v>
      </c>
      <c r="J697" s="198">
        <f t="shared" si="56"/>
        <v>1100000</v>
      </c>
      <c r="K697" s="173">
        <f t="shared" si="57"/>
        <v>5500000</v>
      </c>
      <c r="L697" s="263"/>
      <c r="M697" s="262"/>
    </row>
    <row r="698" spans="1:13" s="398" customFormat="1" ht="13.5" customHeight="1" x14ac:dyDescent="0.25">
      <c r="A698" s="399"/>
      <c r="B698" s="400"/>
      <c r="C698" s="401"/>
      <c r="D698" s="401"/>
      <c r="E698" s="262"/>
      <c r="F698" s="164"/>
      <c r="G698" s="196">
        <f t="shared" si="53"/>
        <v>0</v>
      </c>
      <c r="H698" s="197">
        <f t="shared" si="54"/>
        <v>0</v>
      </c>
      <c r="I698" s="169">
        <f t="shared" si="55"/>
        <v>0</v>
      </c>
      <c r="J698" s="198">
        <f t="shared" si="56"/>
        <v>0</v>
      </c>
      <c r="K698" s="173">
        <f t="shared" si="57"/>
        <v>0</v>
      </c>
      <c r="L698" s="263"/>
      <c r="M698" s="262"/>
    </row>
    <row r="699" spans="1:13" s="398" customFormat="1" ht="73.5" customHeight="1" x14ac:dyDescent="0.25">
      <c r="A699" s="399">
        <v>11.02</v>
      </c>
      <c r="B699" s="400" t="s">
        <v>647</v>
      </c>
      <c r="C699" s="401">
        <v>6</v>
      </c>
      <c r="D699" s="401" t="s">
        <v>326</v>
      </c>
      <c r="E699" s="402">
        <v>35000</v>
      </c>
      <c r="F699" s="357">
        <f>ROUND(E699*$C699,0)</f>
        <v>210000</v>
      </c>
      <c r="G699" s="196">
        <f t="shared" si="53"/>
        <v>2800</v>
      </c>
      <c r="H699" s="197">
        <f t="shared" si="54"/>
        <v>1400</v>
      </c>
      <c r="I699" s="169">
        <f t="shared" si="55"/>
        <v>23800</v>
      </c>
      <c r="J699" s="198">
        <f t="shared" si="56"/>
        <v>7000</v>
      </c>
      <c r="K699" s="173">
        <f t="shared" si="57"/>
        <v>35000</v>
      </c>
      <c r="L699" s="403"/>
      <c r="M699" s="402"/>
    </row>
    <row r="700" spans="1:13" s="398" customFormat="1" ht="10.5" customHeight="1" x14ac:dyDescent="0.25">
      <c r="A700" s="399"/>
      <c r="B700" s="400"/>
      <c r="C700" s="401"/>
      <c r="D700" s="401"/>
      <c r="E700" s="262"/>
      <c r="F700" s="164"/>
      <c r="G700" s="196">
        <f t="shared" si="53"/>
        <v>0</v>
      </c>
      <c r="H700" s="197">
        <f t="shared" si="54"/>
        <v>0</v>
      </c>
      <c r="I700" s="169">
        <f t="shared" si="55"/>
        <v>0</v>
      </c>
      <c r="J700" s="198">
        <f t="shared" si="56"/>
        <v>0</v>
      </c>
      <c r="K700" s="173">
        <f t="shared" si="57"/>
        <v>0</v>
      </c>
      <c r="L700" s="263"/>
      <c r="M700" s="262"/>
    </row>
    <row r="701" spans="1:13" s="398" customFormat="1" ht="45" customHeight="1" x14ac:dyDescent="0.25">
      <c r="A701" s="399">
        <v>11.03</v>
      </c>
      <c r="B701" s="400" t="s">
        <v>648</v>
      </c>
      <c r="C701" s="401">
        <v>6</v>
      </c>
      <c r="D701" s="401" t="s">
        <v>326</v>
      </c>
      <c r="E701" s="262">
        <v>9000</v>
      </c>
      <c r="F701" s="357">
        <f>ROUND(E701*$C701,0)</f>
        <v>54000</v>
      </c>
      <c r="G701" s="196">
        <f t="shared" si="53"/>
        <v>720</v>
      </c>
      <c r="H701" s="197">
        <f t="shared" si="54"/>
        <v>360</v>
      </c>
      <c r="I701" s="169">
        <f t="shared" si="55"/>
        <v>6120</v>
      </c>
      <c r="J701" s="198">
        <f t="shared" si="56"/>
        <v>1800</v>
      </c>
      <c r="K701" s="173">
        <f t="shared" si="57"/>
        <v>9000</v>
      </c>
      <c r="L701" s="263"/>
      <c r="M701" s="262"/>
    </row>
    <row r="702" spans="1:13" s="398" customFormat="1" ht="8.25" customHeight="1" x14ac:dyDescent="0.25">
      <c r="A702" s="399"/>
      <c r="B702" s="400"/>
      <c r="C702" s="401"/>
      <c r="D702" s="401"/>
      <c r="E702" s="401"/>
      <c r="F702" s="404"/>
      <c r="G702" s="196">
        <f t="shared" si="53"/>
        <v>0</v>
      </c>
      <c r="H702" s="197">
        <f t="shared" si="54"/>
        <v>0</v>
      </c>
      <c r="I702" s="169">
        <f t="shared" si="55"/>
        <v>0</v>
      </c>
      <c r="J702" s="198">
        <f t="shared" si="56"/>
        <v>0</v>
      </c>
      <c r="K702" s="173">
        <f t="shared" si="57"/>
        <v>0</v>
      </c>
      <c r="L702" s="405"/>
      <c r="M702" s="401"/>
    </row>
    <row r="703" spans="1:13" s="398" customFormat="1" ht="42.75" x14ac:dyDescent="0.25">
      <c r="A703" s="399">
        <v>11.04</v>
      </c>
      <c r="B703" s="400" t="s">
        <v>649</v>
      </c>
      <c r="C703" s="401">
        <v>6</v>
      </c>
      <c r="D703" s="401" t="s">
        <v>326</v>
      </c>
      <c r="E703" s="262">
        <v>9000</v>
      </c>
      <c r="F703" s="357">
        <f>ROUND(E703*$C703,0)</f>
        <v>54000</v>
      </c>
      <c r="G703" s="196">
        <f t="shared" si="53"/>
        <v>720</v>
      </c>
      <c r="H703" s="197">
        <f t="shared" si="54"/>
        <v>360</v>
      </c>
      <c r="I703" s="169">
        <f t="shared" si="55"/>
        <v>6120</v>
      </c>
      <c r="J703" s="198">
        <f t="shared" si="56"/>
        <v>1800</v>
      </c>
      <c r="K703" s="173">
        <f t="shared" si="57"/>
        <v>9000</v>
      </c>
      <c r="L703" s="263"/>
      <c r="M703" s="262"/>
    </row>
    <row r="704" spans="1:13" s="398" customFormat="1" ht="10.5" customHeight="1" x14ac:dyDescent="0.25">
      <c r="A704" s="399"/>
      <c r="B704" s="400"/>
      <c r="C704" s="401"/>
      <c r="D704" s="401"/>
      <c r="E704" s="401"/>
      <c r="F704" s="404"/>
      <c r="G704" s="196">
        <f t="shared" si="53"/>
        <v>0</v>
      </c>
      <c r="H704" s="197">
        <f t="shared" si="54"/>
        <v>0</v>
      </c>
      <c r="I704" s="169">
        <f t="shared" si="55"/>
        <v>0</v>
      </c>
      <c r="J704" s="198">
        <f t="shared" si="56"/>
        <v>0</v>
      </c>
      <c r="K704" s="173">
        <f t="shared" si="57"/>
        <v>0</v>
      </c>
      <c r="L704" s="405"/>
      <c r="M704" s="401"/>
    </row>
    <row r="705" spans="1:13" s="398" customFormat="1" ht="102" customHeight="1" x14ac:dyDescent="0.25">
      <c r="A705" s="399">
        <v>11.049999999999999</v>
      </c>
      <c r="B705" s="400" t="s">
        <v>650</v>
      </c>
      <c r="C705" s="401"/>
      <c r="D705" s="401"/>
      <c r="E705" s="401"/>
      <c r="F705" s="404"/>
      <c r="G705" s="196">
        <f t="shared" si="53"/>
        <v>0</v>
      </c>
      <c r="H705" s="197">
        <f t="shared" si="54"/>
        <v>0</v>
      </c>
      <c r="I705" s="169">
        <f t="shared" si="55"/>
        <v>0</v>
      </c>
      <c r="J705" s="198">
        <f t="shared" si="56"/>
        <v>0</v>
      </c>
      <c r="K705" s="173">
        <f t="shared" si="57"/>
        <v>0</v>
      </c>
      <c r="L705" s="405"/>
      <c r="M705" s="401"/>
    </row>
    <row r="706" spans="1:13" s="398" customFormat="1" x14ac:dyDescent="0.25">
      <c r="A706" s="399" t="s">
        <v>651</v>
      </c>
      <c r="B706" s="400" t="s">
        <v>652</v>
      </c>
      <c r="C706" s="401">
        <v>50</v>
      </c>
      <c r="D706" s="401" t="s">
        <v>287</v>
      </c>
      <c r="E706" s="402">
        <v>380</v>
      </c>
      <c r="F706" s="357">
        <f>ROUND(E706*$C706,0)</f>
        <v>19000</v>
      </c>
      <c r="G706" s="196">
        <f t="shared" si="53"/>
        <v>30.4</v>
      </c>
      <c r="H706" s="197">
        <f t="shared" si="54"/>
        <v>15.2</v>
      </c>
      <c r="I706" s="169">
        <f t="shared" si="55"/>
        <v>258.39999999999998</v>
      </c>
      <c r="J706" s="198">
        <f t="shared" si="56"/>
        <v>76</v>
      </c>
      <c r="K706" s="173">
        <f t="shared" si="57"/>
        <v>380</v>
      </c>
      <c r="L706" s="403"/>
      <c r="M706" s="402"/>
    </row>
    <row r="707" spans="1:13" s="398" customFormat="1" x14ac:dyDescent="0.25">
      <c r="A707" s="399" t="s">
        <v>653</v>
      </c>
      <c r="B707" s="400" t="s">
        <v>654</v>
      </c>
      <c r="C707" s="401">
        <v>600</v>
      </c>
      <c r="D707" s="401" t="s">
        <v>287</v>
      </c>
      <c r="E707" s="402">
        <v>1850</v>
      </c>
      <c r="F707" s="357">
        <f>ROUND(E707*$C707,0)</f>
        <v>1110000</v>
      </c>
      <c r="G707" s="196">
        <f t="shared" si="53"/>
        <v>148</v>
      </c>
      <c r="H707" s="197">
        <f t="shared" si="54"/>
        <v>74</v>
      </c>
      <c r="I707" s="169">
        <f t="shared" si="55"/>
        <v>1258</v>
      </c>
      <c r="J707" s="198">
        <f t="shared" si="56"/>
        <v>370</v>
      </c>
      <c r="K707" s="173">
        <f t="shared" si="57"/>
        <v>1850</v>
      </c>
      <c r="L707" s="403"/>
      <c r="M707" s="402"/>
    </row>
    <row r="708" spans="1:13" s="398" customFormat="1" ht="10.5" customHeight="1" x14ac:dyDescent="0.25">
      <c r="A708" s="399"/>
      <c r="B708" s="400"/>
      <c r="C708" s="401"/>
      <c r="D708" s="401"/>
      <c r="E708" s="401"/>
      <c r="F708" s="404"/>
      <c r="G708" s="196">
        <f t="shared" si="53"/>
        <v>0</v>
      </c>
      <c r="H708" s="197">
        <f t="shared" si="54"/>
        <v>0</v>
      </c>
      <c r="I708" s="169">
        <f t="shared" si="55"/>
        <v>0</v>
      </c>
      <c r="J708" s="198">
        <f t="shared" si="56"/>
        <v>0</v>
      </c>
      <c r="K708" s="173">
        <f t="shared" si="57"/>
        <v>0</v>
      </c>
      <c r="L708" s="405"/>
      <c r="M708" s="401"/>
    </row>
    <row r="709" spans="1:13" s="398" customFormat="1" x14ac:dyDescent="0.25">
      <c r="A709" s="406">
        <v>11.059999999999999</v>
      </c>
      <c r="B709" s="407" t="s">
        <v>655</v>
      </c>
      <c r="C709" s="408"/>
      <c r="D709" s="408"/>
      <c r="E709" s="408"/>
      <c r="F709" s="409"/>
      <c r="G709" s="196">
        <f t="shared" si="53"/>
        <v>0</v>
      </c>
      <c r="H709" s="197">
        <f t="shared" si="54"/>
        <v>0</v>
      </c>
      <c r="I709" s="169">
        <f t="shared" si="55"/>
        <v>0</v>
      </c>
      <c r="J709" s="198">
        <f t="shared" si="56"/>
        <v>0</v>
      </c>
      <c r="K709" s="173">
        <f t="shared" si="57"/>
        <v>0</v>
      </c>
      <c r="L709" s="410"/>
      <c r="M709" s="408"/>
    </row>
    <row r="710" spans="1:13" s="398" customFormat="1" x14ac:dyDescent="0.25">
      <c r="A710" s="411" t="s">
        <v>651</v>
      </c>
      <c r="B710" s="412" t="s">
        <v>656</v>
      </c>
      <c r="C710" s="413">
        <v>2</v>
      </c>
      <c r="D710" s="413" t="s">
        <v>326</v>
      </c>
      <c r="E710" s="269">
        <v>10000</v>
      </c>
      <c r="F710" s="380">
        <f>ROUND(E710*$C710,0)</f>
        <v>20000</v>
      </c>
      <c r="G710" s="196">
        <f t="shared" si="53"/>
        <v>800</v>
      </c>
      <c r="H710" s="197">
        <f t="shared" si="54"/>
        <v>400</v>
      </c>
      <c r="I710" s="169">
        <f t="shared" si="55"/>
        <v>6800</v>
      </c>
      <c r="J710" s="198">
        <f t="shared" si="56"/>
        <v>2000</v>
      </c>
      <c r="K710" s="173">
        <f t="shared" si="57"/>
        <v>10000</v>
      </c>
      <c r="L710" s="270"/>
      <c r="M710" s="269"/>
    </row>
    <row r="711" spans="1:13" s="398" customFormat="1" ht="10.5" customHeight="1" x14ac:dyDescent="0.25">
      <c r="A711" s="399"/>
      <c r="B711" s="400"/>
      <c r="C711" s="401"/>
      <c r="D711" s="401"/>
      <c r="E711" s="262"/>
      <c r="F711" s="164"/>
      <c r="G711" s="196">
        <f t="shared" si="53"/>
        <v>0</v>
      </c>
      <c r="H711" s="197">
        <f t="shared" si="54"/>
        <v>0</v>
      </c>
      <c r="I711" s="169">
        <f t="shared" si="55"/>
        <v>0</v>
      </c>
      <c r="J711" s="198">
        <f t="shared" si="56"/>
        <v>0</v>
      </c>
      <c r="K711" s="173">
        <f t="shared" si="57"/>
        <v>0</v>
      </c>
      <c r="L711" s="263"/>
      <c r="M711" s="262"/>
    </row>
    <row r="712" spans="1:13" s="398" customFormat="1" ht="28.5" x14ac:dyDescent="0.25">
      <c r="A712" s="399">
        <v>11.069999999999999</v>
      </c>
      <c r="B712" s="400" t="s">
        <v>657</v>
      </c>
      <c r="C712" s="401"/>
      <c r="D712" s="401"/>
      <c r="E712" s="262"/>
      <c r="F712" s="164"/>
      <c r="G712" s="196">
        <f t="shared" si="53"/>
        <v>0</v>
      </c>
      <c r="H712" s="197">
        <f t="shared" si="54"/>
        <v>0</v>
      </c>
      <c r="I712" s="169">
        <f t="shared" si="55"/>
        <v>0</v>
      </c>
      <c r="J712" s="198">
        <f t="shared" si="56"/>
        <v>0</v>
      </c>
      <c r="K712" s="173">
        <f t="shared" si="57"/>
        <v>0</v>
      </c>
      <c r="L712" s="263"/>
      <c r="M712" s="262"/>
    </row>
    <row r="713" spans="1:13" s="398" customFormat="1" ht="14.25" customHeight="1" x14ac:dyDescent="0.25">
      <c r="A713" s="399" t="s">
        <v>651</v>
      </c>
      <c r="B713" s="400" t="s">
        <v>658</v>
      </c>
      <c r="C713" s="401">
        <v>1</v>
      </c>
      <c r="D713" s="401" t="s">
        <v>86</v>
      </c>
      <c r="E713" s="262">
        <v>10000</v>
      </c>
      <c r="F713" s="357">
        <f>ROUND(E713*$C713,0)</f>
        <v>10000</v>
      </c>
      <c r="G713" s="196">
        <f t="shared" si="53"/>
        <v>800</v>
      </c>
      <c r="H713" s="197">
        <f t="shared" si="54"/>
        <v>400</v>
      </c>
      <c r="I713" s="169">
        <f t="shared" si="55"/>
        <v>6800</v>
      </c>
      <c r="J713" s="198">
        <f t="shared" si="56"/>
        <v>2000</v>
      </c>
      <c r="K713" s="173">
        <f t="shared" si="57"/>
        <v>10000</v>
      </c>
      <c r="L713" s="263"/>
      <c r="M713" s="262"/>
    </row>
    <row r="714" spans="1:13" s="398" customFormat="1" x14ac:dyDescent="0.25">
      <c r="A714" s="399"/>
      <c r="B714" s="400"/>
      <c r="C714" s="401"/>
      <c r="D714" s="401"/>
      <c r="E714" s="262"/>
      <c r="F714" s="164"/>
      <c r="G714" s="196">
        <f t="shared" si="53"/>
        <v>0</v>
      </c>
      <c r="H714" s="197">
        <f t="shared" si="54"/>
        <v>0</v>
      </c>
      <c r="I714" s="169">
        <f t="shared" si="55"/>
        <v>0</v>
      </c>
      <c r="J714" s="198">
        <f t="shared" si="56"/>
        <v>0</v>
      </c>
      <c r="K714" s="173">
        <f t="shared" si="57"/>
        <v>0</v>
      </c>
      <c r="L714" s="263"/>
      <c r="M714" s="262"/>
    </row>
    <row r="715" spans="1:13" s="289" customFormat="1" ht="15" x14ac:dyDescent="0.25">
      <c r="A715" s="414"/>
      <c r="B715" s="415" t="s">
        <v>659</v>
      </c>
      <c r="C715" s="416"/>
      <c r="D715" s="417"/>
      <c r="E715" s="418"/>
      <c r="F715" s="419"/>
      <c r="G715" s="196">
        <f t="shared" si="53"/>
        <v>0</v>
      </c>
      <c r="H715" s="197">
        <f t="shared" si="54"/>
        <v>0</v>
      </c>
      <c r="I715" s="169">
        <f t="shared" si="55"/>
        <v>0</v>
      </c>
      <c r="J715" s="198">
        <f t="shared" si="56"/>
        <v>0</v>
      </c>
      <c r="K715" s="173">
        <f t="shared" si="57"/>
        <v>0</v>
      </c>
      <c r="L715" s="420"/>
      <c r="M715" s="421"/>
    </row>
    <row r="716" spans="1:13" s="289" customFormat="1" ht="130.5" customHeight="1" x14ac:dyDescent="0.25">
      <c r="A716" s="399">
        <v>11.079999999999998</v>
      </c>
      <c r="B716" s="422" t="s">
        <v>660</v>
      </c>
      <c r="C716" s="416">
        <v>160</v>
      </c>
      <c r="D716" s="423" t="s">
        <v>661</v>
      </c>
      <c r="E716" s="424">
        <v>200</v>
      </c>
      <c r="F716" s="357">
        <f>ROUND(E716*$C716,0)</f>
        <v>32000</v>
      </c>
      <c r="G716" s="196">
        <f t="shared" si="53"/>
        <v>16</v>
      </c>
      <c r="H716" s="197">
        <f t="shared" si="54"/>
        <v>8</v>
      </c>
      <c r="I716" s="169">
        <f t="shared" si="55"/>
        <v>136</v>
      </c>
      <c r="J716" s="198">
        <f t="shared" si="56"/>
        <v>40</v>
      </c>
      <c r="K716" s="173">
        <f t="shared" si="57"/>
        <v>200</v>
      </c>
      <c r="L716" s="425"/>
      <c r="M716" s="424"/>
    </row>
    <row r="717" spans="1:13" s="289" customFormat="1" ht="5.0999999999999996" customHeight="1" x14ac:dyDescent="0.25">
      <c r="A717" s="414"/>
      <c r="B717" s="422"/>
      <c r="C717" s="426"/>
      <c r="D717" s="416"/>
      <c r="E717" s="424"/>
      <c r="F717" s="427"/>
      <c r="G717" s="196">
        <f t="shared" si="53"/>
        <v>0</v>
      </c>
      <c r="H717" s="197">
        <f t="shared" si="54"/>
        <v>0</v>
      </c>
      <c r="I717" s="169">
        <f t="shared" si="55"/>
        <v>0</v>
      </c>
      <c r="J717" s="198">
        <f t="shared" si="56"/>
        <v>0</v>
      </c>
      <c r="K717" s="173">
        <f t="shared" si="57"/>
        <v>0</v>
      </c>
      <c r="L717" s="425"/>
      <c r="M717" s="424"/>
    </row>
    <row r="718" spans="1:13" s="289" customFormat="1" ht="15" x14ac:dyDescent="0.25">
      <c r="A718" s="414"/>
      <c r="B718" s="415" t="s">
        <v>662</v>
      </c>
      <c r="C718" s="416"/>
      <c r="D718" s="417"/>
      <c r="E718" s="424"/>
      <c r="F718" s="427"/>
      <c r="G718" s="196">
        <f t="shared" ref="G718:G781" si="58">IFERROR((ROUND(E718/1.25*10%,2)),0)</f>
        <v>0</v>
      </c>
      <c r="H718" s="197">
        <f t="shared" ref="H718:H781" si="59">IFERROR((ROUND(E718/1.25*5%,2)),0)</f>
        <v>0</v>
      </c>
      <c r="I718" s="169">
        <f t="shared" ref="I718:I781" si="60">IFERROR((ROUND(E718/1.25*85%,2)),0)</f>
        <v>0</v>
      </c>
      <c r="J718" s="198">
        <f t="shared" ref="J718:J781" si="61">IFERROR((ROUND(E718-(E718/1.25),2)),0)</f>
        <v>0</v>
      </c>
      <c r="K718" s="173">
        <f t="shared" ref="K718:K781" si="62">SUM(G718:J718)</f>
        <v>0</v>
      </c>
      <c r="L718" s="425"/>
      <c r="M718" s="424"/>
    </row>
    <row r="719" spans="1:13" s="289" customFormat="1" ht="71.25" x14ac:dyDescent="0.25">
      <c r="A719" s="414">
        <v>11.089999999999998</v>
      </c>
      <c r="B719" s="428" t="s">
        <v>663</v>
      </c>
      <c r="C719" s="416">
        <v>120</v>
      </c>
      <c r="D719" s="416" t="s">
        <v>664</v>
      </c>
      <c r="E719" s="424">
        <v>8000</v>
      </c>
      <c r="F719" s="357">
        <f>ROUND(E719*$C719,0)</f>
        <v>960000</v>
      </c>
      <c r="G719" s="196">
        <f t="shared" si="58"/>
        <v>640</v>
      </c>
      <c r="H719" s="197">
        <f t="shared" si="59"/>
        <v>320</v>
      </c>
      <c r="I719" s="169">
        <f t="shared" si="60"/>
        <v>5440</v>
      </c>
      <c r="J719" s="198">
        <f t="shared" si="61"/>
        <v>1600</v>
      </c>
      <c r="K719" s="173">
        <f t="shared" si="62"/>
        <v>8000</v>
      </c>
      <c r="L719" s="425"/>
      <c r="M719" s="424"/>
    </row>
    <row r="720" spans="1:13" s="289" customFormat="1" ht="5.0999999999999996" customHeight="1" x14ac:dyDescent="0.25">
      <c r="A720" s="414"/>
      <c r="B720" s="429"/>
      <c r="C720" s="416"/>
      <c r="D720" s="417"/>
      <c r="E720" s="424"/>
      <c r="F720" s="427"/>
      <c r="G720" s="196">
        <f t="shared" si="58"/>
        <v>0</v>
      </c>
      <c r="H720" s="197">
        <f t="shared" si="59"/>
        <v>0</v>
      </c>
      <c r="I720" s="169">
        <f t="shared" si="60"/>
        <v>0</v>
      </c>
      <c r="J720" s="198">
        <f t="shared" si="61"/>
        <v>0</v>
      </c>
      <c r="K720" s="173">
        <f t="shared" si="62"/>
        <v>0</v>
      </c>
      <c r="L720" s="425"/>
      <c r="M720" s="424"/>
    </row>
    <row r="721" spans="1:13" s="289" customFormat="1" ht="15" x14ac:dyDescent="0.25">
      <c r="A721" s="414"/>
      <c r="B721" s="415" t="s">
        <v>665</v>
      </c>
      <c r="C721" s="416"/>
      <c r="D721" s="417"/>
      <c r="E721" s="424"/>
      <c r="F721" s="427"/>
      <c r="G721" s="196">
        <f t="shared" si="58"/>
        <v>0</v>
      </c>
      <c r="H721" s="197">
        <f t="shared" si="59"/>
        <v>0</v>
      </c>
      <c r="I721" s="169">
        <f t="shared" si="60"/>
        <v>0</v>
      </c>
      <c r="J721" s="198">
        <f t="shared" si="61"/>
        <v>0</v>
      </c>
      <c r="K721" s="173">
        <f t="shared" si="62"/>
        <v>0</v>
      </c>
      <c r="L721" s="425"/>
      <c r="M721" s="424"/>
    </row>
    <row r="722" spans="1:13" s="289" customFormat="1" ht="53.25" customHeight="1" x14ac:dyDescent="0.25">
      <c r="A722" s="414">
        <v>11.099999999999998</v>
      </c>
      <c r="B722" s="428" t="s">
        <v>666</v>
      </c>
      <c r="C722" s="416">
        <v>14</v>
      </c>
      <c r="D722" s="416" t="s">
        <v>664</v>
      </c>
      <c r="E722" s="424">
        <v>8000</v>
      </c>
      <c r="F722" s="357">
        <f>ROUND(E722*$C722,0)</f>
        <v>112000</v>
      </c>
      <c r="G722" s="196">
        <f t="shared" si="58"/>
        <v>640</v>
      </c>
      <c r="H722" s="197">
        <f t="shared" si="59"/>
        <v>320</v>
      </c>
      <c r="I722" s="169">
        <f t="shared" si="60"/>
        <v>5440</v>
      </c>
      <c r="J722" s="198">
        <f t="shared" si="61"/>
        <v>1600</v>
      </c>
      <c r="K722" s="173">
        <f t="shared" si="62"/>
        <v>8000</v>
      </c>
      <c r="L722" s="425"/>
      <c r="M722" s="424"/>
    </row>
    <row r="723" spans="1:13" s="289" customFormat="1" ht="15" x14ac:dyDescent="0.25">
      <c r="A723" s="414"/>
      <c r="B723" s="430"/>
      <c r="C723" s="416"/>
      <c r="D723" s="416"/>
      <c r="E723" s="424"/>
      <c r="F723" s="427"/>
      <c r="G723" s="196">
        <f t="shared" si="58"/>
        <v>0</v>
      </c>
      <c r="H723" s="197">
        <f t="shared" si="59"/>
        <v>0</v>
      </c>
      <c r="I723" s="169">
        <f t="shared" si="60"/>
        <v>0</v>
      </c>
      <c r="J723" s="198">
        <f t="shared" si="61"/>
        <v>0</v>
      </c>
      <c r="K723" s="173">
        <f t="shared" si="62"/>
        <v>0</v>
      </c>
      <c r="L723" s="425"/>
      <c r="M723" s="424"/>
    </row>
    <row r="724" spans="1:13" s="289" customFormat="1" ht="15" x14ac:dyDescent="0.25">
      <c r="A724" s="414"/>
      <c r="B724" s="415" t="s">
        <v>667</v>
      </c>
      <c r="C724" s="416"/>
      <c r="D724" s="416"/>
      <c r="E724" s="424"/>
      <c r="F724" s="427"/>
      <c r="G724" s="196">
        <f t="shared" si="58"/>
        <v>0</v>
      </c>
      <c r="H724" s="197">
        <f t="shared" si="59"/>
        <v>0</v>
      </c>
      <c r="I724" s="169">
        <f t="shared" si="60"/>
        <v>0</v>
      </c>
      <c r="J724" s="198">
        <f t="shared" si="61"/>
        <v>0</v>
      </c>
      <c r="K724" s="173">
        <f t="shared" si="62"/>
        <v>0</v>
      </c>
      <c r="L724" s="425"/>
      <c r="M724" s="424"/>
    </row>
    <row r="725" spans="1:13" s="289" customFormat="1" ht="51.75" customHeight="1" x14ac:dyDescent="0.25">
      <c r="A725" s="414">
        <v>11.109999999999998</v>
      </c>
      <c r="B725" s="431" t="s">
        <v>668</v>
      </c>
      <c r="C725" s="416">
        <v>12</v>
      </c>
      <c r="D725" s="416" t="s">
        <v>664</v>
      </c>
      <c r="E725" s="424">
        <v>8000</v>
      </c>
      <c r="F725" s="357">
        <f>ROUND(E725*$C725,0)</f>
        <v>96000</v>
      </c>
      <c r="G725" s="196">
        <f t="shared" si="58"/>
        <v>640</v>
      </c>
      <c r="H725" s="197">
        <f t="shared" si="59"/>
        <v>320</v>
      </c>
      <c r="I725" s="169">
        <f t="shared" si="60"/>
        <v>5440</v>
      </c>
      <c r="J725" s="198">
        <f t="shared" si="61"/>
        <v>1600</v>
      </c>
      <c r="K725" s="173">
        <f t="shared" si="62"/>
        <v>8000</v>
      </c>
      <c r="L725" s="425"/>
      <c r="M725" s="424"/>
    </row>
    <row r="726" spans="1:13" s="289" customFormat="1" ht="5.0999999999999996" customHeight="1" x14ac:dyDescent="0.25">
      <c r="A726" s="414"/>
      <c r="B726" s="430"/>
      <c r="C726" s="416"/>
      <c r="D726" s="417"/>
      <c r="E726" s="424"/>
      <c r="F726" s="427"/>
      <c r="G726" s="196">
        <f t="shared" si="58"/>
        <v>0</v>
      </c>
      <c r="H726" s="197">
        <f t="shared" si="59"/>
        <v>0</v>
      </c>
      <c r="I726" s="169">
        <f t="shared" si="60"/>
        <v>0</v>
      </c>
      <c r="J726" s="198">
        <f t="shared" si="61"/>
        <v>0</v>
      </c>
      <c r="K726" s="173">
        <f t="shared" si="62"/>
        <v>0</v>
      </c>
      <c r="L726" s="425"/>
      <c r="M726" s="424"/>
    </row>
    <row r="727" spans="1:13" s="289" customFormat="1" ht="15" x14ac:dyDescent="0.25">
      <c r="A727" s="414"/>
      <c r="B727" s="415" t="s">
        <v>669</v>
      </c>
      <c r="C727" s="416"/>
      <c r="D727" s="417"/>
      <c r="E727" s="424"/>
      <c r="F727" s="427"/>
      <c r="G727" s="196">
        <f t="shared" si="58"/>
        <v>0</v>
      </c>
      <c r="H727" s="197">
        <f t="shared" si="59"/>
        <v>0</v>
      </c>
      <c r="I727" s="169">
        <f t="shared" si="60"/>
        <v>0</v>
      </c>
      <c r="J727" s="198">
        <f t="shared" si="61"/>
        <v>0</v>
      </c>
      <c r="K727" s="173">
        <f t="shared" si="62"/>
        <v>0</v>
      </c>
      <c r="L727" s="425"/>
      <c r="M727" s="424"/>
    </row>
    <row r="728" spans="1:13" s="289" customFormat="1" ht="85.5" x14ac:dyDescent="0.25">
      <c r="A728" s="414">
        <v>11.119999999999997</v>
      </c>
      <c r="B728" s="428" t="s">
        <v>670</v>
      </c>
      <c r="C728" s="416">
        <v>12</v>
      </c>
      <c r="D728" s="416" t="s">
        <v>664</v>
      </c>
      <c r="E728" s="424">
        <v>5000</v>
      </c>
      <c r="F728" s="357">
        <f>ROUND(E728*$C728,0)</f>
        <v>60000</v>
      </c>
      <c r="G728" s="196">
        <f t="shared" si="58"/>
        <v>400</v>
      </c>
      <c r="H728" s="197">
        <f t="shared" si="59"/>
        <v>200</v>
      </c>
      <c r="I728" s="169">
        <f t="shared" si="60"/>
        <v>3400</v>
      </c>
      <c r="J728" s="198">
        <f t="shared" si="61"/>
        <v>1000</v>
      </c>
      <c r="K728" s="173">
        <f t="shared" si="62"/>
        <v>5000</v>
      </c>
      <c r="L728" s="425"/>
      <c r="M728" s="424"/>
    </row>
    <row r="729" spans="1:13" s="289" customFormat="1" ht="5.0999999999999996" customHeight="1" x14ac:dyDescent="0.25">
      <c r="A729" s="432"/>
      <c r="B729" s="433"/>
      <c r="C729" s="434"/>
      <c r="D729" s="434"/>
      <c r="E729" s="435"/>
      <c r="F729" s="436"/>
      <c r="G729" s="196">
        <f t="shared" si="58"/>
        <v>0</v>
      </c>
      <c r="H729" s="197">
        <f t="shared" si="59"/>
        <v>0</v>
      </c>
      <c r="I729" s="169">
        <f t="shared" si="60"/>
        <v>0</v>
      </c>
      <c r="J729" s="198">
        <f t="shared" si="61"/>
        <v>0</v>
      </c>
      <c r="K729" s="173">
        <f t="shared" si="62"/>
        <v>0</v>
      </c>
      <c r="L729" s="437"/>
      <c r="M729" s="435"/>
    </row>
    <row r="730" spans="1:13" s="289" customFormat="1" ht="15" x14ac:dyDescent="0.25">
      <c r="A730" s="438"/>
      <c r="B730" s="439" t="s">
        <v>671</v>
      </c>
      <c r="C730" s="440"/>
      <c r="D730" s="440"/>
      <c r="E730" s="441"/>
      <c r="F730" s="442"/>
      <c r="G730" s="196">
        <f t="shared" si="58"/>
        <v>0</v>
      </c>
      <c r="H730" s="197">
        <f t="shared" si="59"/>
        <v>0</v>
      </c>
      <c r="I730" s="169">
        <f t="shared" si="60"/>
        <v>0</v>
      </c>
      <c r="J730" s="198">
        <f t="shared" si="61"/>
        <v>0</v>
      </c>
      <c r="K730" s="173">
        <f t="shared" si="62"/>
        <v>0</v>
      </c>
      <c r="L730" s="443"/>
      <c r="M730" s="441"/>
    </row>
    <row r="731" spans="1:13" s="289" customFormat="1" ht="42.75" x14ac:dyDescent="0.25">
      <c r="A731" s="414">
        <v>11.129999999999997</v>
      </c>
      <c r="B731" s="444" t="s">
        <v>672</v>
      </c>
      <c r="C731" s="416">
        <v>1</v>
      </c>
      <c r="D731" s="416" t="s">
        <v>664</v>
      </c>
      <c r="E731" s="424">
        <v>7000</v>
      </c>
      <c r="F731" s="357">
        <f>ROUND(E731*$C731,0)</f>
        <v>7000</v>
      </c>
      <c r="G731" s="196">
        <f t="shared" si="58"/>
        <v>560</v>
      </c>
      <c r="H731" s="197">
        <f t="shared" si="59"/>
        <v>280</v>
      </c>
      <c r="I731" s="169">
        <f t="shared" si="60"/>
        <v>4760</v>
      </c>
      <c r="J731" s="198">
        <f t="shared" si="61"/>
        <v>1400</v>
      </c>
      <c r="K731" s="173">
        <f t="shared" si="62"/>
        <v>7000</v>
      </c>
      <c r="L731" s="425"/>
      <c r="M731" s="424"/>
    </row>
    <row r="732" spans="1:13" s="289" customFormat="1" ht="5.0999999999999996" customHeight="1" x14ac:dyDescent="0.25">
      <c r="A732" s="414"/>
      <c r="B732" s="430"/>
      <c r="C732" s="416"/>
      <c r="D732" s="417"/>
      <c r="E732" s="424"/>
      <c r="F732" s="427"/>
      <c r="G732" s="196">
        <f t="shared" si="58"/>
        <v>0</v>
      </c>
      <c r="H732" s="197">
        <f t="shared" si="59"/>
        <v>0</v>
      </c>
      <c r="I732" s="169">
        <f t="shared" si="60"/>
        <v>0</v>
      </c>
      <c r="J732" s="198">
        <f t="shared" si="61"/>
        <v>0</v>
      </c>
      <c r="K732" s="173">
        <f t="shared" si="62"/>
        <v>0</v>
      </c>
      <c r="L732" s="425"/>
      <c r="M732" s="424"/>
    </row>
    <row r="733" spans="1:13" s="289" customFormat="1" ht="15" x14ac:dyDescent="0.25">
      <c r="A733" s="414"/>
      <c r="B733" s="445" t="s">
        <v>673</v>
      </c>
      <c r="C733" s="416"/>
      <c r="D733" s="417"/>
      <c r="E733" s="424"/>
      <c r="F733" s="427"/>
      <c r="G733" s="196">
        <f t="shared" si="58"/>
        <v>0</v>
      </c>
      <c r="H733" s="197">
        <f t="shared" si="59"/>
        <v>0</v>
      </c>
      <c r="I733" s="169">
        <f t="shared" si="60"/>
        <v>0</v>
      </c>
      <c r="J733" s="198">
        <f t="shared" si="61"/>
        <v>0</v>
      </c>
      <c r="K733" s="173">
        <f t="shared" si="62"/>
        <v>0</v>
      </c>
      <c r="L733" s="425"/>
      <c r="M733" s="424"/>
    </row>
    <row r="734" spans="1:13" s="289" customFormat="1" ht="185.25" x14ac:dyDescent="0.25">
      <c r="A734" s="414">
        <v>11.139999999999997</v>
      </c>
      <c r="B734" s="446" t="s">
        <v>674</v>
      </c>
      <c r="C734" s="416">
        <v>1</v>
      </c>
      <c r="D734" s="416" t="s">
        <v>675</v>
      </c>
      <c r="E734" s="424">
        <v>165000</v>
      </c>
      <c r="F734" s="357">
        <f>ROUND(E734*$C734,0)</f>
        <v>165000</v>
      </c>
      <c r="G734" s="196">
        <f t="shared" si="58"/>
        <v>13200</v>
      </c>
      <c r="H734" s="197">
        <f t="shared" si="59"/>
        <v>6600</v>
      </c>
      <c r="I734" s="169">
        <f t="shared" si="60"/>
        <v>112200</v>
      </c>
      <c r="J734" s="198">
        <f t="shared" si="61"/>
        <v>33000</v>
      </c>
      <c r="K734" s="173">
        <f t="shared" si="62"/>
        <v>165000</v>
      </c>
      <c r="L734" s="425"/>
      <c r="M734" s="424"/>
    </row>
    <row r="735" spans="1:13" s="289" customFormat="1" ht="5.0999999999999996" customHeight="1" x14ac:dyDescent="0.25">
      <c r="A735" s="414"/>
      <c r="B735" s="446"/>
      <c r="C735" s="416"/>
      <c r="D735" s="416"/>
      <c r="E735" s="424"/>
      <c r="F735" s="355"/>
      <c r="G735" s="196">
        <f t="shared" si="58"/>
        <v>0</v>
      </c>
      <c r="H735" s="197">
        <f t="shared" si="59"/>
        <v>0</v>
      </c>
      <c r="I735" s="169">
        <f t="shared" si="60"/>
        <v>0</v>
      </c>
      <c r="J735" s="198">
        <f t="shared" si="61"/>
        <v>0</v>
      </c>
      <c r="K735" s="173">
        <f t="shared" si="62"/>
        <v>0</v>
      </c>
      <c r="L735" s="425"/>
      <c r="M735" s="424"/>
    </row>
    <row r="736" spans="1:13" s="289" customFormat="1" ht="28.5" x14ac:dyDescent="0.25">
      <c r="A736" s="414">
        <v>11.149999999999997</v>
      </c>
      <c r="B736" s="447" t="s">
        <v>676</v>
      </c>
      <c r="C736" s="448"/>
      <c r="D736" s="448"/>
      <c r="E736" s="449"/>
      <c r="F736" s="450"/>
      <c r="G736" s="196">
        <f t="shared" si="58"/>
        <v>0</v>
      </c>
      <c r="H736" s="197">
        <f t="shared" si="59"/>
        <v>0</v>
      </c>
      <c r="I736" s="169">
        <f t="shared" si="60"/>
        <v>0</v>
      </c>
      <c r="J736" s="198">
        <f t="shared" si="61"/>
        <v>0</v>
      </c>
      <c r="K736" s="173">
        <f t="shared" si="62"/>
        <v>0</v>
      </c>
      <c r="L736" s="451"/>
      <c r="M736" s="449"/>
    </row>
    <row r="737" spans="1:13" s="289" customFormat="1" x14ac:dyDescent="0.25">
      <c r="A737" s="452" t="s">
        <v>4</v>
      </c>
      <c r="B737" s="453" t="s">
        <v>677</v>
      </c>
      <c r="C737" s="448">
        <v>12</v>
      </c>
      <c r="D737" s="454" t="s">
        <v>678</v>
      </c>
      <c r="E737" s="449">
        <v>8000</v>
      </c>
      <c r="F737" s="357">
        <f>ROUND(E737*$C737,0)</f>
        <v>96000</v>
      </c>
      <c r="G737" s="196">
        <f t="shared" si="58"/>
        <v>640</v>
      </c>
      <c r="H737" s="197">
        <f t="shared" si="59"/>
        <v>320</v>
      </c>
      <c r="I737" s="169">
        <f t="shared" si="60"/>
        <v>5440</v>
      </c>
      <c r="J737" s="198">
        <f t="shared" si="61"/>
        <v>1600</v>
      </c>
      <c r="K737" s="173">
        <f t="shared" si="62"/>
        <v>8000</v>
      </c>
      <c r="L737" s="451"/>
      <c r="M737" s="449"/>
    </row>
    <row r="738" spans="1:13" s="289" customFormat="1" x14ac:dyDescent="0.25">
      <c r="A738" s="452" t="s">
        <v>48</v>
      </c>
      <c r="B738" s="453" t="s">
        <v>679</v>
      </c>
      <c r="C738" s="448">
        <v>12</v>
      </c>
      <c r="D738" s="454" t="s">
        <v>678</v>
      </c>
      <c r="E738" s="449">
        <v>7000</v>
      </c>
      <c r="F738" s="357">
        <f>ROUND(E738*$C738,0)</f>
        <v>84000</v>
      </c>
      <c r="G738" s="196">
        <f t="shared" si="58"/>
        <v>560</v>
      </c>
      <c r="H738" s="197">
        <f t="shared" si="59"/>
        <v>280</v>
      </c>
      <c r="I738" s="169">
        <f t="shared" si="60"/>
        <v>4760</v>
      </c>
      <c r="J738" s="198">
        <f t="shared" si="61"/>
        <v>1400</v>
      </c>
      <c r="K738" s="173">
        <f t="shared" si="62"/>
        <v>7000</v>
      </c>
      <c r="L738" s="451"/>
      <c r="M738" s="449"/>
    </row>
    <row r="739" spans="1:13" s="462" customFormat="1" ht="7.5" customHeight="1" x14ac:dyDescent="0.25">
      <c r="A739" s="455"/>
      <c r="B739" s="456"/>
      <c r="C739" s="457"/>
      <c r="D739" s="458"/>
      <c r="E739" s="459"/>
      <c r="F739" s="460"/>
      <c r="G739" s="196">
        <f t="shared" si="58"/>
        <v>0</v>
      </c>
      <c r="H739" s="197">
        <f t="shared" si="59"/>
        <v>0</v>
      </c>
      <c r="I739" s="169">
        <f t="shared" si="60"/>
        <v>0</v>
      </c>
      <c r="J739" s="198">
        <f t="shared" si="61"/>
        <v>0</v>
      </c>
      <c r="K739" s="173">
        <f t="shared" si="62"/>
        <v>0</v>
      </c>
      <c r="L739" s="461"/>
      <c r="M739" s="459"/>
    </row>
    <row r="740" spans="1:13" s="462" customFormat="1" ht="128.25" x14ac:dyDescent="0.25">
      <c r="A740" s="455">
        <v>12.01</v>
      </c>
      <c r="B740" s="463" t="s">
        <v>680</v>
      </c>
      <c r="C740" s="459">
        <v>10</v>
      </c>
      <c r="D740" s="458" t="s">
        <v>326</v>
      </c>
      <c r="E740" s="459">
        <v>24000</v>
      </c>
      <c r="F740" s="464">
        <f>ROUND($C740*E740,0)</f>
        <v>240000</v>
      </c>
      <c r="G740" s="196">
        <f t="shared" si="58"/>
        <v>1920</v>
      </c>
      <c r="H740" s="197">
        <f t="shared" si="59"/>
        <v>960</v>
      </c>
      <c r="I740" s="169">
        <f t="shared" si="60"/>
        <v>16320</v>
      </c>
      <c r="J740" s="198">
        <f t="shared" si="61"/>
        <v>4800</v>
      </c>
      <c r="K740" s="173">
        <f t="shared" si="62"/>
        <v>24000</v>
      </c>
      <c r="L740" s="461"/>
      <c r="M740" s="459"/>
    </row>
    <row r="741" spans="1:13" s="462" customFormat="1" ht="6" customHeight="1" x14ac:dyDescent="0.25">
      <c r="A741" s="455"/>
      <c r="B741" s="456"/>
      <c r="C741" s="457"/>
      <c r="D741" s="458"/>
      <c r="E741" s="459"/>
      <c r="F741" s="465"/>
      <c r="G741" s="196">
        <f t="shared" si="58"/>
        <v>0</v>
      </c>
      <c r="H741" s="197">
        <f t="shared" si="59"/>
        <v>0</v>
      </c>
      <c r="I741" s="169">
        <f t="shared" si="60"/>
        <v>0</v>
      </c>
      <c r="J741" s="198">
        <f t="shared" si="61"/>
        <v>0</v>
      </c>
      <c r="K741" s="173">
        <f t="shared" si="62"/>
        <v>0</v>
      </c>
      <c r="L741" s="461"/>
      <c r="M741" s="459"/>
    </row>
    <row r="742" spans="1:13" s="462" customFormat="1" ht="114" x14ac:dyDescent="0.25">
      <c r="A742" s="466">
        <v>12.02</v>
      </c>
      <c r="B742" s="463" t="s">
        <v>681</v>
      </c>
      <c r="C742" s="459">
        <v>1</v>
      </c>
      <c r="D742" s="458" t="s">
        <v>86</v>
      </c>
      <c r="E742" s="459">
        <v>97000</v>
      </c>
      <c r="F742" s="464">
        <f>ROUND($C742*E742,0)</f>
        <v>97000</v>
      </c>
      <c r="G742" s="196">
        <f t="shared" si="58"/>
        <v>7760</v>
      </c>
      <c r="H742" s="197">
        <f t="shared" si="59"/>
        <v>3880</v>
      </c>
      <c r="I742" s="169">
        <f t="shared" si="60"/>
        <v>65960</v>
      </c>
      <c r="J742" s="198">
        <f t="shared" si="61"/>
        <v>19400</v>
      </c>
      <c r="K742" s="173">
        <f t="shared" si="62"/>
        <v>97000</v>
      </c>
      <c r="L742" s="461"/>
      <c r="M742" s="459"/>
    </row>
    <row r="743" spans="1:13" s="462" customFormat="1" ht="6" customHeight="1" x14ac:dyDescent="0.25">
      <c r="A743" s="467"/>
      <c r="B743" s="468"/>
      <c r="C743" s="469"/>
      <c r="D743" s="470"/>
      <c r="E743" s="471"/>
      <c r="F743" s="472"/>
      <c r="G743" s="196">
        <f t="shared" si="58"/>
        <v>0</v>
      </c>
      <c r="H743" s="197">
        <f t="shared" si="59"/>
        <v>0</v>
      </c>
      <c r="I743" s="169">
        <f t="shared" si="60"/>
        <v>0</v>
      </c>
      <c r="J743" s="198">
        <f t="shared" si="61"/>
        <v>0</v>
      </c>
      <c r="K743" s="173">
        <f t="shared" si="62"/>
        <v>0</v>
      </c>
      <c r="L743" s="473"/>
      <c r="M743" s="471"/>
    </row>
    <row r="744" spans="1:13" s="462" customFormat="1" ht="99.75" x14ac:dyDescent="0.25">
      <c r="A744" s="474">
        <v>12.03</v>
      </c>
      <c r="B744" s="475" t="s">
        <v>682</v>
      </c>
      <c r="C744" s="476">
        <v>1</v>
      </c>
      <c r="D744" s="477" t="s">
        <v>86</v>
      </c>
      <c r="E744" s="478">
        <v>57000</v>
      </c>
      <c r="F744" s="479">
        <f>ROUND($C744*E744,0)</f>
        <v>57000</v>
      </c>
      <c r="G744" s="196">
        <f t="shared" si="58"/>
        <v>4560</v>
      </c>
      <c r="H744" s="197">
        <f t="shared" si="59"/>
        <v>2280</v>
      </c>
      <c r="I744" s="169">
        <f t="shared" si="60"/>
        <v>38760</v>
      </c>
      <c r="J744" s="198">
        <f t="shared" si="61"/>
        <v>11400</v>
      </c>
      <c r="K744" s="173">
        <f t="shared" si="62"/>
        <v>57000</v>
      </c>
      <c r="L744" s="480"/>
      <c r="M744" s="478"/>
    </row>
    <row r="745" spans="1:13" s="462" customFormat="1" ht="6" customHeight="1" x14ac:dyDescent="0.25">
      <c r="A745" s="455"/>
      <c r="B745" s="456"/>
      <c r="C745" s="457"/>
      <c r="D745" s="458"/>
      <c r="E745" s="459"/>
      <c r="F745" s="465"/>
      <c r="G745" s="196">
        <f t="shared" si="58"/>
        <v>0</v>
      </c>
      <c r="H745" s="197">
        <f t="shared" si="59"/>
        <v>0</v>
      </c>
      <c r="I745" s="169">
        <f t="shared" si="60"/>
        <v>0</v>
      </c>
      <c r="J745" s="198">
        <f t="shared" si="61"/>
        <v>0</v>
      </c>
      <c r="K745" s="173">
        <f t="shared" si="62"/>
        <v>0</v>
      </c>
      <c r="L745" s="461"/>
      <c r="M745" s="459"/>
    </row>
    <row r="746" spans="1:13" s="462" customFormat="1" ht="128.25" x14ac:dyDescent="0.25">
      <c r="A746" s="466">
        <v>12.04</v>
      </c>
      <c r="B746" s="463" t="s">
        <v>683</v>
      </c>
      <c r="C746" s="459">
        <v>1</v>
      </c>
      <c r="D746" s="458" t="s">
        <v>86</v>
      </c>
      <c r="E746" s="459">
        <v>15000</v>
      </c>
      <c r="F746" s="464">
        <f>ROUND($C746*E746,0)</f>
        <v>15000</v>
      </c>
      <c r="G746" s="196">
        <f t="shared" si="58"/>
        <v>1200</v>
      </c>
      <c r="H746" s="197">
        <f t="shared" si="59"/>
        <v>600</v>
      </c>
      <c r="I746" s="169">
        <f t="shared" si="60"/>
        <v>10200</v>
      </c>
      <c r="J746" s="198">
        <f t="shared" si="61"/>
        <v>3000</v>
      </c>
      <c r="K746" s="173">
        <f t="shared" si="62"/>
        <v>15000</v>
      </c>
      <c r="L746" s="461"/>
      <c r="M746" s="459"/>
    </row>
    <row r="747" spans="1:13" s="462" customFormat="1" ht="6.75" customHeight="1" x14ac:dyDescent="0.25">
      <c r="A747" s="455"/>
      <c r="B747" s="463"/>
      <c r="C747" s="481"/>
      <c r="D747" s="457"/>
      <c r="E747" s="482"/>
      <c r="F747" s="465"/>
      <c r="G747" s="196">
        <f t="shared" si="58"/>
        <v>0</v>
      </c>
      <c r="H747" s="197">
        <f t="shared" si="59"/>
        <v>0</v>
      </c>
      <c r="I747" s="169">
        <f t="shared" si="60"/>
        <v>0</v>
      </c>
      <c r="J747" s="198">
        <f t="shared" si="61"/>
        <v>0</v>
      </c>
      <c r="K747" s="173">
        <f t="shared" si="62"/>
        <v>0</v>
      </c>
      <c r="L747" s="483"/>
      <c r="M747" s="457"/>
    </row>
    <row r="748" spans="1:13" s="462" customFormat="1" ht="71.25" x14ac:dyDescent="0.25">
      <c r="A748" s="455">
        <v>12.049999999999999</v>
      </c>
      <c r="B748" s="463" t="s">
        <v>684</v>
      </c>
      <c r="C748" s="459">
        <v>1</v>
      </c>
      <c r="D748" s="458" t="s">
        <v>86</v>
      </c>
      <c r="E748" s="484">
        <v>52000</v>
      </c>
      <c r="F748" s="464">
        <f>ROUND($C748*E748,0)</f>
        <v>52000</v>
      </c>
      <c r="G748" s="196">
        <f t="shared" si="58"/>
        <v>4160</v>
      </c>
      <c r="H748" s="197">
        <f t="shared" si="59"/>
        <v>2080</v>
      </c>
      <c r="I748" s="169">
        <f t="shared" si="60"/>
        <v>35360</v>
      </c>
      <c r="J748" s="198">
        <f t="shared" si="61"/>
        <v>10400</v>
      </c>
      <c r="K748" s="173">
        <f t="shared" si="62"/>
        <v>52000</v>
      </c>
      <c r="L748" s="485"/>
      <c r="M748" s="484"/>
    </row>
    <row r="749" spans="1:13" s="462" customFormat="1" ht="6" customHeight="1" x14ac:dyDescent="0.25">
      <c r="A749" s="455"/>
      <c r="B749" s="456"/>
      <c r="C749" s="457"/>
      <c r="D749" s="458"/>
      <c r="E749" s="459"/>
      <c r="F749" s="465"/>
      <c r="G749" s="196">
        <f t="shared" si="58"/>
        <v>0</v>
      </c>
      <c r="H749" s="197">
        <f t="shared" si="59"/>
        <v>0</v>
      </c>
      <c r="I749" s="169">
        <f t="shared" si="60"/>
        <v>0</v>
      </c>
      <c r="J749" s="198">
        <f t="shared" si="61"/>
        <v>0</v>
      </c>
      <c r="K749" s="173">
        <f t="shared" si="62"/>
        <v>0</v>
      </c>
      <c r="L749" s="461"/>
      <c r="M749" s="459"/>
    </row>
    <row r="750" spans="1:13" s="462" customFormat="1" ht="71.25" x14ac:dyDescent="0.25">
      <c r="A750" s="455">
        <v>12.059999999999999</v>
      </c>
      <c r="B750" s="463" t="s">
        <v>685</v>
      </c>
      <c r="C750" s="459">
        <v>1</v>
      </c>
      <c r="D750" s="458" t="s">
        <v>86</v>
      </c>
      <c r="E750" s="484">
        <v>85000</v>
      </c>
      <c r="F750" s="464">
        <f>ROUND($C750*E750,0)</f>
        <v>85000</v>
      </c>
      <c r="G750" s="196">
        <f t="shared" si="58"/>
        <v>6800</v>
      </c>
      <c r="H750" s="197">
        <f t="shared" si="59"/>
        <v>3400</v>
      </c>
      <c r="I750" s="169">
        <f t="shared" si="60"/>
        <v>57800</v>
      </c>
      <c r="J750" s="198">
        <f t="shared" si="61"/>
        <v>17000</v>
      </c>
      <c r="K750" s="173">
        <f t="shared" si="62"/>
        <v>85000</v>
      </c>
      <c r="L750" s="485"/>
      <c r="M750" s="484"/>
    </row>
    <row r="751" spans="1:13" s="462" customFormat="1" ht="6" customHeight="1" x14ac:dyDescent="0.25">
      <c r="A751" s="455"/>
      <c r="B751" s="456"/>
      <c r="C751" s="457"/>
      <c r="D751" s="458"/>
      <c r="E751" s="459"/>
      <c r="F751" s="465"/>
      <c r="G751" s="196">
        <f t="shared" si="58"/>
        <v>0</v>
      </c>
      <c r="H751" s="197">
        <f t="shared" si="59"/>
        <v>0</v>
      </c>
      <c r="I751" s="169">
        <f t="shared" si="60"/>
        <v>0</v>
      </c>
      <c r="J751" s="198">
        <f t="shared" si="61"/>
        <v>0</v>
      </c>
      <c r="K751" s="173">
        <f t="shared" si="62"/>
        <v>0</v>
      </c>
      <c r="L751" s="461"/>
      <c r="M751" s="459"/>
    </row>
    <row r="752" spans="1:13" s="486" customFormat="1" ht="57" x14ac:dyDescent="0.25">
      <c r="A752" s="455">
        <v>12.069999999999999</v>
      </c>
      <c r="B752" s="463" t="s">
        <v>686</v>
      </c>
      <c r="C752" s="459">
        <v>1</v>
      </c>
      <c r="D752" s="458" t="s">
        <v>86</v>
      </c>
      <c r="E752" s="484">
        <v>3000</v>
      </c>
      <c r="F752" s="464">
        <f>ROUND($C752*E752,0)</f>
        <v>3000</v>
      </c>
      <c r="G752" s="196">
        <f t="shared" si="58"/>
        <v>240</v>
      </c>
      <c r="H752" s="197">
        <f t="shared" si="59"/>
        <v>120</v>
      </c>
      <c r="I752" s="169">
        <f t="shared" si="60"/>
        <v>2040</v>
      </c>
      <c r="J752" s="198">
        <f t="shared" si="61"/>
        <v>600</v>
      </c>
      <c r="K752" s="173">
        <f t="shared" si="62"/>
        <v>3000</v>
      </c>
      <c r="L752" s="485"/>
      <c r="M752" s="484"/>
    </row>
    <row r="753" spans="1:13" s="462" customFormat="1" ht="6" customHeight="1" x14ac:dyDescent="0.25">
      <c r="A753" s="455"/>
      <c r="B753" s="456"/>
      <c r="C753" s="457"/>
      <c r="D753" s="458"/>
      <c r="E753" s="459"/>
      <c r="F753" s="465"/>
      <c r="G753" s="196">
        <f t="shared" si="58"/>
        <v>0</v>
      </c>
      <c r="H753" s="197">
        <f t="shared" si="59"/>
        <v>0</v>
      </c>
      <c r="I753" s="169">
        <f t="shared" si="60"/>
        <v>0</v>
      </c>
      <c r="J753" s="198">
        <f t="shared" si="61"/>
        <v>0</v>
      </c>
      <c r="K753" s="173">
        <f t="shared" si="62"/>
        <v>0</v>
      </c>
      <c r="L753" s="461"/>
      <c r="M753" s="459"/>
    </row>
    <row r="754" spans="1:13" s="488" customFormat="1" ht="99.75" x14ac:dyDescent="0.25">
      <c r="A754" s="487">
        <v>12.079999999999998</v>
      </c>
      <c r="B754" s="463" t="s">
        <v>687</v>
      </c>
      <c r="C754" s="482">
        <v>2</v>
      </c>
      <c r="D754" s="482" t="s">
        <v>326</v>
      </c>
      <c r="E754" s="484">
        <v>30000</v>
      </c>
      <c r="F754" s="464">
        <f>ROUND($C754*E754,0)</f>
        <v>60000</v>
      </c>
      <c r="G754" s="196">
        <f t="shared" si="58"/>
        <v>2400</v>
      </c>
      <c r="H754" s="197">
        <f t="shared" si="59"/>
        <v>1200</v>
      </c>
      <c r="I754" s="169">
        <f t="shared" si="60"/>
        <v>20400</v>
      </c>
      <c r="J754" s="198">
        <f t="shared" si="61"/>
        <v>6000</v>
      </c>
      <c r="K754" s="173">
        <f t="shared" si="62"/>
        <v>30000</v>
      </c>
      <c r="L754" s="485"/>
      <c r="M754" s="484"/>
    </row>
    <row r="755" spans="1:13" s="462" customFormat="1" ht="7.5" customHeight="1" x14ac:dyDescent="0.25">
      <c r="A755" s="467"/>
      <c r="B755" s="468"/>
      <c r="C755" s="469"/>
      <c r="D755" s="470"/>
      <c r="E755" s="471"/>
      <c r="F755" s="472"/>
      <c r="G755" s="196">
        <f t="shared" si="58"/>
        <v>0</v>
      </c>
      <c r="H755" s="197">
        <f t="shared" si="59"/>
        <v>0</v>
      </c>
      <c r="I755" s="169">
        <f t="shared" si="60"/>
        <v>0</v>
      </c>
      <c r="J755" s="198">
        <f t="shared" si="61"/>
        <v>0</v>
      </c>
      <c r="K755" s="173">
        <f t="shared" si="62"/>
        <v>0</v>
      </c>
      <c r="L755" s="473"/>
      <c r="M755" s="471"/>
    </row>
    <row r="756" spans="1:13" s="462" customFormat="1" ht="42.75" x14ac:dyDescent="0.25">
      <c r="A756" s="489">
        <v>12.089999999999998</v>
      </c>
      <c r="B756" s="475" t="s">
        <v>688</v>
      </c>
      <c r="C756" s="476">
        <v>4</v>
      </c>
      <c r="D756" s="490" t="s">
        <v>326</v>
      </c>
      <c r="E756" s="478">
        <v>20000</v>
      </c>
      <c r="F756" s="479">
        <f>ROUND($C756*E756,0)</f>
        <v>80000</v>
      </c>
      <c r="G756" s="196">
        <f t="shared" si="58"/>
        <v>1600</v>
      </c>
      <c r="H756" s="197">
        <f t="shared" si="59"/>
        <v>800</v>
      </c>
      <c r="I756" s="169">
        <f t="shared" si="60"/>
        <v>13600</v>
      </c>
      <c r="J756" s="198">
        <f t="shared" si="61"/>
        <v>4000</v>
      </c>
      <c r="K756" s="173">
        <f t="shared" si="62"/>
        <v>20000</v>
      </c>
      <c r="L756" s="480"/>
      <c r="M756" s="478"/>
    </row>
    <row r="757" spans="1:13" s="462" customFormat="1" ht="7.5" customHeight="1" x14ac:dyDescent="0.25">
      <c r="A757" s="455"/>
      <c r="B757" s="456"/>
      <c r="C757" s="457"/>
      <c r="D757" s="458"/>
      <c r="E757" s="459"/>
      <c r="F757" s="465"/>
      <c r="G757" s="196">
        <f t="shared" si="58"/>
        <v>0</v>
      </c>
      <c r="H757" s="197">
        <f t="shared" si="59"/>
        <v>0</v>
      </c>
      <c r="I757" s="169">
        <f t="shared" si="60"/>
        <v>0</v>
      </c>
      <c r="J757" s="198">
        <f t="shared" si="61"/>
        <v>0</v>
      </c>
      <c r="K757" s="173">
        <f t="shared" si="62"/>
        <v>0</v>
      </c>
      <c r="L757" s="461"/>
      <c r="M757" s="459"/>
    </row>
    <row r="758" spans="1:13" s="462" customFormat="1" ht="142.5" x14ac:dyDescent="0.25">
      <c r="A758" s="455">
        <v>12.099999999999998</v>
      </c>
      <c r="B758" s="463" t="s">
        <v>689</v>
      </c>
      <c r="C758" s="459">
        <v>3200</v>
      </c>
      <c r="D758" s="482" t="s">
        <v>690</v>
      </c>
      <c r="E758" s="484">
        <v>150</v>
      </c>
      <c r="F758" s="464">
        <f>ROUND($C758*E758,0)</f>
        <v>480000</v>
      </c>
      <c r="G758" s="196">
        <f t="shared" si="58"/>
        <v>12</v>
      </c>
      <c r="H758" s="197">
        <f t="shared" si="59"/>
        <v>6</v>
      </c>
      <c r="I758" s="169">
        <f t="shared" si="60"/>
        <v>102</v>
      </c>
      <c r="J758" s="198">
        <f t="shared" si="61"/>
        <v>30</v>
      </c>
      <c r="K758" s="173">
        <f t="shared" si="62"/>
        <v>150</v>
      </c>
      <c r="L758" s="485"/>
      <c r="M758" s="484"/>
    </row>
    <row r="759" spans="1:13" s="462" customFormat="1" ht="6" customHeight="1" x14ac:dyDescent="0.25">
      <c r="A759" s="455"/>
      <c r="B759" s="456"/>
      <c r="C759" s="457"/>
      <c r="D759" s="458"/>
      <c r="E759" s="459"/>
      <c r="F759" s="465"/>
      <c r="G759" s="196">
        <f t="shared" si="58"/>
        <v>0</v>
      </c>
      <c r="H759" s="197">
        <f t="shared" si="59"/>
        <v>0</v>
      </c>
      <c r="I759" s="169">
        <f t="shared" si="60"/>
        <v>0</v>
      </c>
      <c r="J759" s="198">
        <f t="shared" si="61"/>
        <v>0</v>
      </c>
      <c r="K759" s="173">
        <f t="shared" si="62"/>
        <v>0</v>
      </c>
      <c r="L759" s="461"/>
      <c r="M759" s="459"/>
    </row>
    <row r="760" spans="1:13" s="486" customFormat="1" ht="128.25" x14ac:dyDescent="0.25">
      <c r="A760" s="455">
        <v>12.109999999999998</v>
      </c>
      <c r="B760" s="491" t="s">
        <v>691</v>
      </c>
      <c r="C760" s="459">
        <v>175</v>
      </c>
      <c r="D760" s="482" t="s">
        <v>690</v>
      </c>
      <c r="E760" s="484">
        <v>750</v>
      </c>
      <c r="F760" s="464">
        <f>ROUND($C760*E760,0)</f>
        <v>131250</v>
      </c>
      <c r="G760" s="196">
        <f t="shared" si="58"/>
        <v>60</v>
      </c>
      <c r="H760" s="197">
        <f t="shared" si="59"/>
        <v>30</v>
      </c>
      <c r="I760" s="169">
        <f t="shared" si="60"/>
        <v>510</v>
      </c>
      <c r="J760" s="198">
        <f t="shared" si="61"/>
        <v>150</v>
      </c>
      <c r="K760" s="173">
        <f t="shared" si="62"/>
        <v>750</v>
      </c>
      <c r="L760" s="485"/>
      <c r="M760" s="484"/>
    </row>
    <row r="761" spans="1:13" s="462" customFormat="1" ht="7.5" customHeight="1" x14ac:dyDescent="0.25">
      <c r="A761" s="455"/>
      <c r="B761" s="456"/>
      <c r="C761" s="457"/>
      <c r="D761" s="458"/>
      <c r="E761" s="459"/>
      <c r="F761" s="465"/>
      <c r="G761" s="196">
        <f t="shared" si="58"/>
        <v>0</v>
      </c>
      <c r="H761" s="197">
        <f t="shared" si="59"/>
        <v>0</v>
      </c>
      <c r="I761" s="169">
        <f t="shared" si="60"/>
        <v>0</v>
      </c>
      <c r="J761" s="198">
        <f t="shared" si="61"/>
        <v>0</v>
      </c>
      <c r="K761" s="173">
        <f t="shared" si="62"/>
        <v>0</v>
      </c>
      <c r="L761" s="461"/>
      <c r="M761" s="459"/>
    </row>
    <row r="762" spans="1:13" s="488" customFormat="1" ht="15" x14ac:dyDescent="0.25">
      <c r="A762" s="492">
        <v>12.119999999999997</v>
      </c>
      <c r="B762" s="456" t="s">
        <v>692</v>
      </c>
      <c r="C762" s="481"/>
      <c r="D762" s="457"/>
      <c r="E762" s="482"/>
      <c r="F762" s="493"/>
      <c r="G762" s="196">
        <f t="shared" si="58"/>
        <v>0</v>
      </c>
      <c r="H762" s="197">
        <f t="shared" si="59"/>
        <v>0</v>
      </c>
      <c r="I762" s="169">
        <f t="shared" si="60"/>
        <v>0</v>
      </c>
      <c r="J762" s="198">
        <f t="shared" si="61"/>
        <v>0</v>
      </c>
      <c r="K762" s="173">
        <f t="shared" si="62"/>
        <v>0</v>
      </c>
      <c r="L762" s="483"/>
      <c r="M762" s="457"/>
    </row>
    <row r="763" spans="1:13" s="462" customFormat="1" x14ac:dyDescent="0.25">
      <c r="A763" s="455" t="s">
        <v>693</v>
      </c>
      <c r="B763" s="456" t="s">
        <v>694</v>
      </c>
      <c r="C763" s="481"/>
      <c r="D763" s="457"/>
      <c r="E763" s="482"/>
      <c r="F763" s="465"/>
      <c r="G763" s="196">
        <f t="shared" si="58"/>
        <v>0</v>
      </c>
      <c r="H763" s="197">
        <f t="shared" si="59"/>
        <v>0</v>
      </c>
      <c r="I763" s="169">
        <f t="shared" si="60"/>
        <v>0</v>
      </c>
      <c r="J763" s="198">
        <f t="shared" si="61"/>
        <v>0</v>
      </c>
      <c r="K763" s="173">
        <f t="shared" si="62"/>
        <v>0</v>
      </c>
      <c r="L763" s="483"/>
      <c r="M763" s="457"/>
    </row>
    <row r="764" spans="1:13" s="462" customFormat="1" x14ac:dyDescent="0.25">
      <c r="A764" s="455" t="s">
        <v>695</v>
      </c>
      <c r="B764" s="456" t="s">
        <v>696</v>
      </c>
      <c r="C764" s="481"/>
      <c r="D764" s="457"/>
      <c r="E764" s="482"/>
      <c r="F764" s="465"/>
      <c r="G764" s="196">
        <f t="shared" si="58"/>
        <v>0</v>
      </c>
      <c r="H764" s="197">
        <f t="shared" si="59"/>
        <v>0</v>
      </c>
      <c r="I764" s="169">
        <f t="shared" si="60"/>
        <v>0</v>
      </c>
      <c r="J764" s="198">
        <f t="shared" si="61"/>
        <v>0</v>
      </c>
      <c r="K764" s="173">
        <f t="shared" si="62"/>
        <v>0</v>
      </c>
      <c r="L764" s="483"/>
      <c r="M764" s="457"/>
    </row>
    <row r="765" spans="1:13" s="462" customFormat="1" x14ac:dyDescent="0.25">
      <c r="A765" s="455" t="s">
        <v>697</v>
      </c>
      <c r="B765" s="456" t="s">
        <v>698</v>
      </c>
      <c r="C765" s="481"/>
      <c r="D765" s="457"/>
      <c r="E765" s="482"/>
      <c r="F765" s="465"/>
      <c r="G765" s="196">
        <f t="shared" si="58"/>
        <v>0</v>
      </c>
      <c r="H765" s="197">
        <f t="shared" si="59"/>
        <v>0</v>
      </c>
      <c r="I765" s="169">
        <f t="shared" si="60"/>
        <v>0</v>
      </c>
      <c r="J765" s="198">
        <f t="shared" si="61"/>
        <v>0</v>
      </c>
      <c r="K765" s="173">
        <f t="shared" si="62"/>
        <v>0</v>
      </c>
      <c r="L765" s="483"/>
      <c r="M765" s="457"/>
    </row>
    <row r="766" spans="1:13" s="462" customFormat="1" x14ac:dyDescent="0.25">
      <c r="A766" s="455" t="s">
        <v>699</v>
      </c>
      <c r="B766" s="456" t="s">
        <v>700</v>
      </c>
      <c r="C766" s="481"/>
      <c r="D766" s="457"/>
      <c r="E766" s="482"/>
      <c r="F766" s="465"/>
      <c r="G766" s="196">
        <f t="shared" si="58"/>
        <v>0</v>
      </c>
      <c r="H766" s="197">
        <f t="shared" si="59"/>
        <v>0</v>
      </c>
      <c r="I766" s="169">
        <f t="shared" si="60"/>
        <v>0</v>
      </c>
      <c r="J766" s="198">
        <f t="shared" si="61"/>
        <v>0</v>
      </c>
      <c r="K766" s="173">
        <f t="shared" si="62"/>
        <v>0</v>
      </c>
      <c r="L766" s="483"/>
      <c r="M766" s="457"/>
    </row>
    <row r="767" spans="1:13" s="462" customFormat="1" x14ac:dyDescent="0.25">
      <c r="A767" s="455" t="s">
        <v>701</v>
      </c>
      <c r="B767" s="456" t="s">
        <v>702</v>
      </c>
      <c r="C767" s="481"/>
      <c r="D767" s="457"/>
      <c r="E767" s="482"/>
      <c r="F767" s="465"/>
      <c r="G767" s="196">
        <f t="shared" si="58"/>
        <v>0</v>
      </c>
      <c r="H767" s="197">
        <f t="shared" si="59"/>
        <v>0</v>
      </c>
      <c r="I767" s="169">
        <f t="shared" si="60"/>
        <v>0</v>
      </c>
      <c r="J767" s="198">
        <f t="shared" si="61"/>
        <v>0</v>
      </c>
      <c r="K767" s="173">
        <f t="shared" si="62"/>
        <v>0</v>
      </c>
      <c r="L767" s="483"/>
      <c r="M767" s="457"/>
    </row>
    <row r="768" spans="1:13" s="462" customFormat="1" x14ac:dyDescent="0.25">
      <c r="A768" s="455" t="s">
        <v>703</v>
      </c>
      <c r="B768" s="456" t="s">
        <v>704</v>
      </c>
      <c r="C768" s="459">
        <v>175</v>
      </c>
      <c r="D768" s="482" t="s">
        <v>690</v>
      </c>
      <c r="E768" s="482">
        <v>1200</v>
      </c>
      <c r="F768" s="464">
        <f>ROUND($C768*E768,0)</f>
        <v>210000</v>
      </c>
      <c r="G768" s="196">
        <f t="shared" si="58"/>
        <v>96</v>
      </c>
      <c r="H768" s="197">
        <f t="shared" si="59"/>
        <v>48</v>
      </c>
      <c r="I768" s="169">
        <f t="shared" si="60"/>
        <v>816</v>
      </c>
      <c r="J768" s="198">
        <f t="shared" si="61"/>
        <v>240</v>
      </c>
      <c r="K768" s="173">
        <f t="shared" si="62"/>
        <v>1200</v>
      </c>
      <c r="L768" s="483"/>
      <c r="M768" s="457"/>
    </row>
    <row r="769" spans="1:13" s="501" customFormat="1" ht="4.5" customHeight="1" x14ac:dyDescent="0.2">
      <c r="A769" s="494"/>
      <c r="B769" s="495"/>
      <c r="C769" s="496"/>
      <c r="D769" s="497"/>
      <c r="E769" s="498"/>
      <c r="F769" s="499"/>
      <c r="G769" s="196">
        <f t="shared" si="58"/>
        <v>0</v>
      </c>
      <c r="H769" s="197">
        <f t="shared" si="59"/>
        <v>0</v>
      </c>
      <c r="I769" s="169">
        <f t="shared" si="60"/>
        <v>0</v>
      </c>
      <c r="J769" s="198">
        <f t="shared" si="61"/>
        <v>0</v>
      </c>
      <c r="K769" s="173">
        <f t="shared" si="62"/>
        <v>0</v>
      </c>
      <c r="L769" s="500"/>
      <c r="M769" s="497"/>
    </row>
    <row r="770" spans="1:13" s="289" customFormat="1" ht="15" x14ac:dyDescent="0.2">
      <c r="A770" s="502">
        <v>13.01</v>
      </c>
      <c r="B770" s="503" t="s">
        <v>705</v>
      </c>
      <c r="C770" s="504"/>
      <c r="D770" s="504"/>
      <c r="E770" s="505"/>
      <c r="F770" s="506"/>
      <c r="G770" s="196">
        <f t="shared" si="58"/>
        <v>0</v>
      </c>
      <c r="H770" s="197">
        <f t="shared" si="59"/>
        <v>0</v>
      </c>
      <c r="I770" s="169">
        <f t="shared" si="60"/>
        <v>0</v>
      </c>
      <c r="J770" s="198">
        <f t="shared" si="61"/>
        <v>0</v>
      </c>
      <c r="K770" s="173">
        <f t="shared" si="62"/>
        <v>0</v>
      </c>
      <c r="L770" s="507"/>
      <c r="M770" s="508"/>
    </row>
    <row r="771" spans="1:13" s="289" customFormat="1" ht="171" x14ac:dyDescent="0.2">
      <c r="A771" s="502"/>
      <c r="B771" s="509" t="s">
        <v>706</v>
      </c>
      <c r="C771" s="510">
        <v>1</v>
      </c>
      <c r="D771" s="510" t="s">
        <v>113</v>
      </c>
      <c r="E771" s="511">
        <v>4000000</v>
      </c>
      <c r="F771" s="512">
        <f>SUM($C771*E771)</f>
        <v>4000000</v>
      </c>
      <c r="G771" s="196">
        <f t="shared" si="58"/>
        <v>320000</v>
      </c>
      <c r="H771" s="197">
        <f t="shared" si="59"/>
        <v>160000</v>
      </c>
      <c r="I771" s="169">
        <f t="shared" si="60"/>
        <v>2720000</v>
      </c>
      <c r="J771" s="198">
        <f t="shared" si="61"/>
        <v>800000</v>
      </c>
      <c r="K771" s="173">
        <f t="shared" si="62"/>
        <v>4000000</v>
      </c>
      <c r="L771" s="513"/>
      <c r="M771" s="511"/>
    </row>
    <row r="772" spans="1:13" s="289" customFormat="1" ht="8.1" customHeight="1" x14ac:dyDescent="0.2">
      <c r="A772" s="502"/>
      <c r="B772" s="514"/>
      <c r="C772" s="510"/>
      <c r="D772" s="510"/>
      <c r="E772" s="515"/>
      <c r="F772" s="512"/>
      <c r="G772" s="196">
        <f t="shared" si="58"/>
        <v>0</v>
      </c>
      <c r="H772" s="197">
        <f t="shared" si="59"/>
        <v>0</v>
      </c>
      <c r="I772" s="169">
        <f t="shared" si="60"/>
        <v>0</v>
      </c>
      <c r="J772" s="198">
        <f t="shared" si="61"/>
        <v>0</v>
      </c>
      <c r="K772" s="173">
        <f t="shared" si="62"/>
        <v>0</v>
      </c>
      <c r="L772" s="516"/>
      <c r="M772" s="515"/>
    </row>
    <row r="773" spans="1:13" s="289" customFormat="1" ht="15" x14ac:dyDescent="0.2">
      <c r="A773" s="502">
        <v>13.02</v>
      </c>
      <c r="B773" s="503" t="s">
        <v>707</v>
      </c>
      <c r="C773" s="510"/>
      <c r="D773" s="510"/>
      <c r="E773" s="515"/>
      <c r="F773" s="512"/>
      <c r="G773" s="196">
        <f t="shared" si="58"/>
        <v>0</v>
      </c>
      <c r="H773" s="197">
        <f t="shared" si="59"/>
        <v>0</v>
      </c>
      <c r="I773" s="169">
        <f t="shared" si="60"/>
        <v>0</v>
      </c>
      <c r="J773" s="198">
        <f t="shared" si="61"/>
        <v>0</v>
      </c>
      <c r="K773" s="173">
        <f t="shared" si="62"/>
        <v>0</v>
      </c>
      <c r="L773" s="516"/>
      <c r="M773" s="515"/>
    </row>
    <row r="774" spans="1:13" s="289" customFormat="1" ht="71.25" x14ac:dyDescent="0.2">
      <c r="A774" s="502"/>
      <c r="B774" s="509" t="s">
        <v>708</v>
      </c>
      <c r="C774" s="510">
        <v>1</v>
      </c>
      <c r="D774" s="510" t="s">
        <v>113</v>
      </c>
      <c r="E774" s="511">
        <v>250000</v>
      </c>
      <c r="F774" s="512">
        <f>SUM($C774*E774)</f>
        <v>250000</v>
      </c>
      <c r="G774" s="196">
        <f t="shared" si="58"/>
        <v>20000</v>
      </c>
      <c r="H774" s="197">
        <f t="shared" si="59"/>
        <v>10000</v>
      </c>
      <c r="I774" s="169">
        <f t="shared" si="60"/>
        <v>170000</v>
      </c>
      <c r="J774" s="198">
        <f t="shared" si="61"/>
        <v>50000</v>
      </c>
      <c r="K774" s="173">
        <f t="shared" si="62"/>
        <v>250000</v>
      </c>
      <c r="L774" s="513"/>
      <c r="M774" s="511"/>
    </row>
    <row r="775" spans="1:13" s="289" customFormat="1" ht="8.1" customHeight="1" x14ac:dyDescent="0.2">
      <c r="A775" s="502"/>
      <c r="B775" s="514"/>
      <c r="C775" s="510"/>
      <c r="D775" s="510"/>
      <c r="E775" s="515"/>
      <c r="F775" s="512"/>
      <c r="G775" s="196">
        <f t="shared" si="58"/>
        <v>0</v>
      </c>
      <c r="H775" s="197">
        <f t="shared" si="59"/>
        <v>0</v>
      </c>
      <c r="I775" s="169">
        <f t="shared" si="60"/>
        <v>0</v>
      </c>
      <c r="J775" s="198">
        <f t="shared" si="61"/>
        <v>0</v>
      </c>
      <c r="K775" s="173">
        <f t="shared" si="62"/>
        <v>0</v>
      </c>
      <c r="L775" s="516"/>
      <c r="M775" s="515"/>
    </row>
    <row r="776" spans="1:13" s="289" customFormat="1" ht="15" x14ac:dyDescent="0.25">
      <c r="A776" s="517"/>
      <c r="B776" s="518" t="s">
        <v>709</v>
      </c>
      <c r="C776" s="416"/>
      <c r="D776" s="416"/>
      <c r="E776" s="418"/>
      <c r="F776" s="419"/>
      <c r="G776" s="196">
        <f t="shared" si="58"/>
        <v>0</v>
      </c>
      <c r="H776" s="197">
        <f t="shared" si="59"/>
        <v>0</v>
      </c>
      <c r="I776" s="169">
        <f t="shared" si="60"/>
        <v>0</v>
      </c>
      <c r="J776" s="198">
        <f t="shared" si="61"/>
        <v>0</v>
      </c>
      <c r="K776" s="173">
        <f t="shared" si="62"/>
        <v>0</v>
      </c>
      <c r="L776" s="420"/>
      <c r="M776" s="421"/>
    </row>
    <row r="777" spans="1:13" s="289" customFormat="1" ht="219.75" customHeight="1" x14ac:dyDescent="0.25">
      <c r="A777" s="519">
        <v>14.01</v>
      </c>
      <c r="B777" s="520" t="s">
        <v>710</v>
      </c>
      <c r="C777" s="521"/>
      <c r="D777" s="522"/>
      <c r="E777" s="521"/>
      <c r="F777" s="419"/>
      <c r="G777" s="196">
        <f t="shared" si="58"/>
        <v>0</v>
      </c>
      <c r="H777" s="197">
        <f t="shared" si="59"/>
        <v>0</v>
      </c>
      <c r="I777" s="169">
        <f t="shared" si="60"/>
        <v>0</v>
      </c>
      <c r="J777" s="198">
        <f t="shared" si="61"/>
        <v>0</v>
      </c>
      <c r="K777" s="173">
        <f t="shared" si="62"/>
        <v>0</v>
      </c>
      <c r="L777" s="523"/>
      <c r="M777" s="524"/>
    </row>
    <row r="778" spans="1:13" s="289" customFormat="1" ht="27" customHeight="1" x14ac:dyDescent="0.25">
      <c r="A778" s="519"/>
      <c r="B778" s="520" t="s">
        <v>711</v>
      </c>
      <c r="C778" s="521"/>
      <c r="D778" s="522"/>
      <c r="E778" s="521"/>
      <c r="F778" s="419"/>
      <c r="G778" s="196">
        <f t="shared" si="58"/>
        <v>0</v>
      </c>
      <c r="H778" s="197">
        <f t="shared" si="59"/>
        <v>0</v>
      </c>
      <c r="I778" s="169">
        <f t="shared" si="60"/>
        <v>0</v>
      </c>
      <c r="J778" s="198">
        <f t="shared" si="61"/>
        <v>0</v>
      </c>
      <c r="K778" s="173">
        <f t="shared" si="62"/>
        <v>0</v>
      </c>
      <c r="L778" s="523"/>
      <c r="M778" s="524"/>
    </row>
    <row r="779" spans="1:13" s="289" customFormat="1" ht="42.75" customHeight="1" x14ac:dyDescent="0.25">
      <c r="A779" s="519"/>
      <c r="B779" s="520" t="s">
        <v>712</v>
      </c>
      <c r="C779" s="521">
        <v>1</v>
      </c>
      <c r="D779" s="525" t="s">
        <v>713</v>
      </c>
      <c r="E779" s="521">
        <v>7800000</v>
      </c>
      <c r="F779" s="526">
        <f>ROUND($C779*E779,2)</f>
        <v>7800000</v>
      </c>
      <c r="G779" s="196">
        <f t="shared" si="58"/>
        <v>624000</v>
      </c>
      <c r="H779" s="197">
        <f t="shared" si="59"/>
        <v>312000</v>
      </c>
      <c r="I779" s="169">
        <f t="shared" si="60"/>
        <v>5304000</v>
      </c>
      <c r="J779" s="198">
        <f t="shared" si="61"/>
        <v>1560000</v>
      </c>
      <c r="K779" s="173">
        <f t="shared" si="62"/>
        <v>7800000</v>
      </c>
      <c r="L779" s="527"/>
      <c r="M779" s="528"/>
    </row>
    <row r="780" spans="1:13" x14ac:dyDescent="0.25">
      <c r="A780" s="206"/>
      <c r="B780" s="136"/>
      <c r="C780" s="163"/>
      <c r="D780" s="163"/>
      <c r="E780" s="163"/>
      <c r="F780" s="210"/>
      <c r="G780" s="196">
        <f t="shared" si="58"/>
        <v>0</v>
      </c>
      <c r="H780" s="197">
        <f t="shared" si="59"/>
        <v>0</v>
      </c>
      <c r="I780" s="169">
        <f t="shared" si="60"/>
        <v>0</v>
      </c>
      <c r="J780" s="198">
        <f t="shared" si="61"/>
        <v>0</v>
      </c>
      <c r="K780" s="173">
        <f t="shared" si="62"/>
        <v>0</v>
      </c>
      <c r="L780" s="168"/>
      <c r="M780" s="169"/>
    </row>
    <row r="781" spans="1:13" s="289" customFormat="1" ht="15" x14ac:dyDescent="0.25">
      <c r="A781" s="529"/>
      <c r="B781" s="530" t="s">
        <v>714</v>
      </c>
      <c r="C781" s="504"/>
      <c r="D781" s="531"/>
      <c r="E781" s="511"/>
      <c r="F781" s="531"/>
      <c r="G781" s="196">
        <f t="shared" si="58"/>
        <v>0</v>
      </c>
      <c r="H781" s="197">
        <f t="shared" si="59"/>
        <v>0</v>
      </c>
      <c r="I781" s="169">
        <f t="shared" si="60"/>
        <v>0</v>
      </c>
      <c r="J781" s="198">
        <f t="shared" si="61"/>
        <v>0</v>
      </c>
      <c r="K781" s="173">
        <f t="shared" si="62"/>
        <v>0</v>
      </c>
      <c r="L781" s="513"/>
      <c r="M781" s="511"/>
    </row>
    <row r="782" spans="1:13" s="289" customFormat="1" ht="118.5" customHeight="1" x14ac:dyDescent="0.25">
      <c r="A782" s="529">
        <v>15.01</v>
      </c>
      <c r="B782" s="532" t="s">
        <v>715</v>
      </c>
      <c r="C782" s="510"/>
      <c r="D782" s="531"/>
      <c r="E782" s="511"/>
      <c r="F782" s="531"/>
      <c r="G782" s="196">
        <f t="shared" ref="G782:G845" si="63">IFERROR((ROUND(E782/1.25*10%,2)),0)</f>
        <v>0</v>
      </c>
      <c r="H782" s="197">
        <f t="shared" ref="H782:H845" si="64">IFERROR((ROUND(E782/1.25*5%,2)),0)</f>
        <v>0</v>
      </c>
      <c r="I782" s="169">
        <f t="shared" ref="I782:I845" si="65">IFERROR((ROUND(E782/1.25*85%,2)),0)</f>
        <v>0</v>
      </c>
      <c r="J782" s="198">
        <f t="shared" ref="J782:J845" si="66">IFERROR((ROUND(E782-(E782/1.25),2)),0)</f>
        <v>0</v>
      </c>
      <c r="K782" s="173">
        <f t="shared" ref="K782:K845" si="67">SUM(G782:J782)</f>
        <v>0</v>
      </c>
      <c r="L782" s="513"/>
      <c r="M782" s="511"/>
    </row>
    <row r="783" spans="1:13" s="289" customFormat="1" x14ac:dyDescent="0.25">
      <c r="A783" s="529" t="s">
        <v>415</v>
      </c>
      <c r="B783" s="532" t="s">
        <v>716</v>
      </c>
      <c r="C783" s="510">
        <v>70</v>
      </c>
      <c r="D783" s="510" t="s">
        <v>678</v>
      </c>
      <c r="E783" s="511">
        <v>95000</v>
      </c>
      <c r="F783" s="512">
        <f>SUM($C783*E783)</f>
        <v>6650000</v>
      </c>
      <c r="G783" s="196">
        <f t="shared" si="63"/>
        <v>7600</v>
      </c>
      <c r="H783" s="197">
        <f t="shared" si="64"/>
        <v>3800</v>
      </c>
      <c r="I783" s="169">
        <f t="shared" si="65"/>
        <v>64600</v>
      </c>
      <c r="J783" s="198">
        <f t="shared" si="66"/>
        <v>19000</v>
      </c>
      <c r="K783" s="173">
        <f t="shared" si="67"/>
        <v>95000</v>
      </c>
      <c r="L783" s="513"/>
      <c r="M783" s="511"/>
    </row>
    <row r="784" spans="1:13" s="289" customFormat="1" x14ac:dyDescent="0.25">
      <c r="A784" s="529" t="s">
        <v>438</v>
      </c>
      <c r="B784" s="532" t="s">
        <v>717</v>
      </c>
      <c r="C784" s="510">
        <v>102</v>
      </c>
      <c r="D784" s="510" t="s">
        <v>678</v>
      </c>
      <c r="E784" s="511">
        <v>150000</v>
      </c>
      <c r="F784" s="512">
        <f>SUM($C784*E784)</f>
        <v>15300000</v>
      </c>
      <c r="G784" s="196">
        <f t="shared" si="63"/>
        <v>12000</v>
      </c>
      <c r="H784" s="197">
        <f t="shared" si="64"/>
        <v>6000</v>
      </c>
      <c r="I784" s="169">
        <f t="shared" si="65"/>
        <v>102000</v>
      </c>
      <c r="J784" s="198">
        <f t="shared" si="66"/>
        <v>30000</v>
      </c>
      <c r="K784" s="173">
        <f t="shared" si="67"/>
        <v>150000</v>
      </c>
      <c r="L784" s="513"/>
      <c r="M784" s="511"/>
    </row>
    <row r="785" spans="1:13" s="289" customFormat="1" x14ac:dyDescent="0.25">
      <c r="A785" s="529"/>
      <c r="B785" s="532"/>
      <c r="C785" s="510"/>
      <c r="D785" s="510"/>
      <c r="E785" s="511"/>
      <c r="F785" s="533"/>
      <c r="G785" s="196">
        <f t="shared" si="63"/>
        <v>0</v>
      </c>
      <c r="H785" s="197">
        <f t="shared" si="64"/>
        <v>0</v>
      </c>
      <c r="I785" s="169">
        <f t="shared" si="65"/>
        <v>0</v>
      </c>
      <c r="J785" s="198">
        <f t="shared" si="66"/>
        <v>0</v>
      </c>
      <c r="K785" s="173">
        <f t="shared" si="67"/>
        <v>0</v>
      </c>
      <c r="L785" s="513"/>
      <c r="M785" s="511"/>
    </row>
    <row r="786" spans="1:13" s="289" customFormat="1" ht="57" x14ac:dyDescent="0.25">
      <c r="A786" s="529">
        <v>15.02</v>
      </c>
      <c r="B786" s="532" t="s">
        <v>718</v>
      </c>
      <c r="C786" s="510">
        <v>3500</v>
      </c>
      <c r="D786" s="510" t="s">
        <v>85</v>
      </c>
      <c r="E786" s="511">
        <v>1200</v>
      </c>
      <c r="F786" s="512">
        <f>SUM($C786*E786)</f>
        <v>4200000</v>
      </c>
      <c r="G786" s="196">
        <f t="shared" si="63"/>
        <v>96</v>
      </c>
      <c r="H786" s="197">
        <f t="shared" si="64"/>
        <v>48</v>
      </c>
      <c r="I786" s="169">
        <f t="shared" si="65"/>
        <v>816</v>
      </c>
      <c r="J786" s="198">
        <f t="shared" si="66"/>
        <v>240</v>
      </c>
      <c r="K786" s="173">
        <f t="shared" si="67"/>
        <v>1200</v>
      </c>
      <c r="L786" s="513"/>
      <c r="M786" s="511"/>
    </row>
    <row r="787" spans="1:13" s="289" customFormat="1" x14ac:dyDescent="0.25">
      <c r="A787" s="529"/>
      <c r="B787" s="532"/>
      <c r="C787" s="510"/>
      <c r="D787" s="510"/>
      <c r="E787" s="511"/>
      <c r="F787" s="533"/>
      <c r="G787" s="196">
        <f t="shared" si="63"/>
        <v>0</v>
      </c>
      <c r="H787" s="197">
        <f t="shared" si="64"/>
        <v>0</v>
      </c>
      <c r="I787" s="169">
        <f t="shared" si="65"/>
        <v>0</v>
      </c>
      <c r="J787" s="198">
        <f t="shared" si="66"/>
        <v>0</v>
      </c>
      <c r="K787" s="173">
        <f t="shared" si="67"/>
        <v>0</v>
      </c>
      <c r="L787" s="513"/>
      <c r="M787" s="511"/>
    </row>
    <row r="788" spans="1:13" s="540" customFormat="1" ht="15" x14ac:dyDescent="0.25">
      <c r="A788" s="534"/>
      <c r="B788" s="535" t="s">
        <v>719</v>
      </c>
      <c r="C788" s="536"/>
      <c r="D788" s="536"/>
      <c r="E788" s="537"/>
      <c r="F788" s="538"/>
      <c r="G788" s="196">
        <f t="shared" si="63"/>
        <v>0</v>
      </c>
      <c r="H788" s="197">
        <f t="shared" si="64"/>
        <v>0</v>
      </c>
      <c r="I788" s="169">
        <f t="shared" si="65"/>
        <v>0</v>
      </c>
      <c r="J788" s="198">
        <f t="shared" si="66"/>
        <v>0</v>
      </c>
      <c r="K788" s="173">
        <f t="shared" si="67"/>
        <v>0</v>
      </c>
      <c r="L788" s="539"/>
      <c r="M788" s="537"/>
    </row>
    <row r="789" spans="1:13" s="540" customFormat="1" ht="201" customHeight="1" x14ac:dyDescent="0.25">
      <c r="A789" s="541"/>
      <c r="B789" s="542" t="s">
        <v>720</v>
      </c>
      <c r="C789" s="543"/>
      <c r="D789" s="543"/>
      <c r="E789" s="544"/>
      <c r="F789" s="545"/>
      <c r="G789" s="196">
        <f t="shared" si="63"/>
        <v>0</v>
      </c>
      <c r="H789" s="197">
        <f t="shared" si="64"/>
        <v>0</v>
      </c>
      <c r="I789" s="169">
        <f t="shared" si="65"/>
        <v>0</v>
      </c>
      <c r="J789" s="198">
        <f t="shared" si="66"/>
        <v>0</v>
      </c>
      <c r="K789" s="173">
        <f t="shared" si="67"/>
        <v>0</v>
      </c>
      <c r="L789" s="546"/>
      <c r="M789" s="544"/>
    </row>
    <row r="790" spans="1:13" s="540" customFormat="1" ht="15" x14ac:dyDescent="0.25">
      <c r="A790" s="547">
        <v>16.010000000000002</v>
      </c>
      <c r="B790" s="548" t="s">
        <v>721</v>
      </c>
      <c r="C790" s="457"/>
      <c r="D790" s="458"/>
      <c r="E790" s="549"/>
      <c r="F790" s="550"/>
      <c r="G790" s="196">
        <f t="shared" si="63"/>
        <v>0</v>
      </c>
      <c r="H790" s="197">
        <f t="shared" si="64"/>
        <v>0</v>
      </c>
      <c r="I790" s="169">
        <f t="shared" si="65"/>
        <v>0</v>
      </c>
      <c r="J790" s="198">
        <f t="shared" si="66"/>
        <v>0</v>
      </c>
      <c r="K790" s="173">
        <f t="shared" si="67"/>
        <v>0</v>
      </c>
      <c r="L790" s="551"/>
      <c r="M790" s="549"/>
    </row>
    <row r="791" spans="1:13" s="540" customFormat="1" ht="157.5" customHeight="1" x14ac:dyDescent="0.25">
      <c r="A791" s="552"/>
      <c r="B791" s="553" t="s">
        <v>722</v>
      </c>
      <c r="C791" s="457">
        <v>1</v>
      </c>
      <c r="D791" s="458" t="s">
        <v>113</v>
      </c>
      <c r="E791" s="549"/>
      <c r="F791" s="554"/>
      <c r="G791" s="196">
        <f t="shared" si="63"/>
        <v>0</v>
      </c>
      <c r="H791" s="197">
        <f t="shared" si="64"/>
        <v>0</v>
      </c>
      <c r="I791" s="169">
        <f t="shared" si="65"/>
        <v>0</v>
      </c>
      <c r="J791" s="198">
        <f t="shared" si="66"/>
        <v>0</v>
      </c>
      <c r="K791" s="173">
        <f t="shared" si="67"/>
        <v>0</v>
      </c>
      <c r="L791" s="551"/>
      <c r="M791" s="549"/>
    </row>
    <row r="792" spans="1:13" s="540" customFormat="1" ht="6.95" customHeight="1" x14ac:dyDescent="0.25">
      <c r="A792" s="552"/>
      <c r="B792" s="553"/>
      <c r="C792" s="457"/>
      <c r="D792" s="458"/>
      <c r="E792" s="549"/>
      <c r="F792" s="550"/>
      <c r="G792" s="196">
        <f t="shared" si="63"/>
        <v>0</v>
      </c>
      <c r="H792" s="197">
        <f t="shared" si="64"/>
        <v>0</v>
      </c>
      <c r="I792" s="169">
        <f t="shared" si="65"/>
        <v>0</v>
      </c>
      <c r="J792" s="198">
        <f t="shared" si="66"/>
        <v>0</v>
      </c>
      <c r="K792" s="173">
        <f t="shared" si="67"/>
        <v>0</v>
      </c>
      <c r="L792" s="551"/>
      <c r="M792" s="549"/>
    </row>
    <row r="793" spans="1:13" s="540" customFormat="1" ht="15" x14ac:dyDescent="0.25">
      <c r="A793" s="547">
        <v>16.020000000000003</v>
      </c>
      <c r="B793" s="555" t="s">
        <v>723</v>
      </c>
      <c r="C793" s="457"/>
      <c r="D793" s="458"/>
      <c r="E793" s="549"/>
      <c r="F793" s="550"/>
      <c r="G793" s="196">
        <f t="shared" si="63"/>
        <v>0</v>
      </c>
      <c r="H793" s="197">
        <f t="shared" si="64"/>
        <v>0</v>
      </c>
      <c r="I793" s="169">
        <f t="shared" si="65"/>
        <v>0</v>
      </c>
      <c r="J793" s="198">
        <f t="shared" si="66"/>
        <v>0</v>
      </c>
      <c r="K793" s="173">
        <f t="shared" si="67"/>
        <v>0</v>
      </c>
      <c r="L793" s="551"/>
      <c r="M793" s="549"/>
    </row>
    <row r="794" spans="1:13" s="557" customFormat="1" ht="132" customHeight="1" x14ac:dyDescent="0.25">
      <c r="A794" s="552"/>
      <c r="B794" s="556" t="s">
        <v>724</v>
      </c>
      <c r="C794" s="457">
        <v>1</v>
      </c>
      <c r="D794" s="458" t="s">
        <v>113</v>
      </c>
      <c r="E794" s="549"/>
      <c r="F794" s="554"/>
      <c r="G794" s="196">
        <f t="shared" si="63"/>
        <v>0</v>
      </c>
      <c r="H794" s="197">
        <f t="shared" si="64"/>
        <v>0</v>
      </c>
      <c r="I794" s="169">
        <f t="shared" si="65"/>
        <v>0</v>
      </c>
      <c r="J794" s="198">
        <f t="shared" si="66"/>
        <v>0</v>
      </c>
      <c r="K794" s="173">
        <f t="shared" si="67"/>
        <v>0</v>
      </c>
      <c r="L794" s="551"/>
      <c r="M794" s="549"/>
    </row>
    <row r="795" spans="1:13" s="557" customFormat="1" ht="6.95" customHeight="1" x14ac:dyDescent="0.25">
      <c r="A795" s="558"/>
      <c r="B795" s="559"/>
      <c r="C795" s="469"/>
      <c r="D795" s="470"/>
      <c r="E795" s="560"/>
      <c r="F795" s="561"/>
      <c r="G795" s="196">
        <f t="shared" si="63"/>
        <v>0</v>
      </c>
      <c r="H795" s="197">
        <f t="shared" si="64"/>
        <v>0</v>
      </c>
      <c r="I795" s="169">
        <f t="shared" si="65"/>
        <v>0</v>
      </c>
      <c r="J795" s="198">
        <f t="shared" si="66"/>
        <v>0</v>
      </c>
      <c r="K795" s="173">
        <f t="shared" si="67"/>
        <v>0</v>
      </c>
      <c r="L795" s="562"/>
      <c r="M795" s="560"/>
    </row>
    <row r="796" spans="1:13" s="557" customFormat="1" ht="15" x14ac:dyDescent="0.25">
      <c r="A796" s="563">
        <v>16.030000000000005</v>
      </c>
      <c r="B796" s="564" t="s">
        <v>725</v>
      </c>
      <c r="C796" s="565"/>
      <c r="D796" s="477"/>
      <c r="E796" s="566"/>
      <c r="F796" s="567"/>
      <c r="G796" s="196">
        <f t="shared" si="63"/>
        <v>0</v>
      </c>
      <c r="H796" s="197">
        <f t="shared" si="64"/>
        <v>0</v>
      </c>
      <c r="I796" s="169">
        <f t="shared" si="65"/>
        <v>0</v>
      </c>
      <c r="J796" s="198">
        <f t="shared" si="66"/>
        <v>0</v>
      </c>
      <c r="K796" s="173">
        <f t="shared" si="67"/>
        <v>0</v>
      </c>
      <c r="L796" s="568"/>
      <c r="M796" s="566"/>
    </row>
    <row r="797" spans="1:13" s="557" customFormat="1" ht="116.25" customHeight="1" x14ac:dyDescent="0.25">
      <c r="A797" s="552"/>
      <c r="B797" s="553" t="s">
        <v>726</v>
      </c>
      <c r="C797" s="457">
        <v>2</v>
      </c>
      <c r="D797" s="458" t="s">
        <v>678</v>
      </c>
      <c r="E797" s="549"/>
      <c r="F797" s="554"/>
      <c r="G797" s="196">
        <f t="shared" si="63"/>
        <v>0</v>
      </c>
      <c r="H797" s="197">
        <f t="shared" si="64"/>
        <v>0</v>
      </c>
      <c r="I797" s="169">
        <f t="shared" si="65"/>
        <v>0</v>
      </c>
      <c r="J797" s="198">
        <f t="shared" si="66"/>
        <v>0</v>
      </c>
      <c r="K797" s="173">
        <f t="shared" si="67"/>
        <v>0</v>
      </c>
      <c r="L797" s="551"/>
      <c r="M797" s="549"/>
    </row>
    <row r="798" spans="1:13" s="557" customFormat="1" ht="15" x14ac:dyDescent="0.25">
      <c r="A798" s="552"/>
      <c r="B798" s="553"/>
      <c r="C798" s="457"/>
      <c r="D798" s="458"/>
      <c r="E798" s="549"/>
      <c r="F798" s="569"/>
      <c r="G798" s="196">
        <f t="shared" si="63"/>
        <v>0</v>
      </c>
      <c r="H798" s="197">
        <f t="shared" si="64"/>
        <v>0</v>
      </c>
      <c r="I798" s="169">
        <f t="shared" si="65"/>
        <v>0</v>
      </c>
      <c r="J798" s="198">
        <f t="shared" si="66"/>
        <v>0</v>
      </c>
      <c r="K798" s="173">
        <f t="shared" si="67"/>
        <v>0</v>
      </c>
      <c r="L798" s="551"/>
      <c r="M798" s="549"/>
    </row>
    <row r="799" spans="1:13" s="557" customFormat="1" ht="15" x14ac:dyDescent="0.25">
      <c r="A799" s="547">
        <v>16.040000000000006</v>
      </c>
      <c r="B799" s="548" t="s">
        <v>727</v>
      </c>
      <c r="C799" s="457"/>
      <c r="D799" s="458"/>
      <c r="E799" s="549"/>
      <c r="F799" s="569"/>
      <c r="G799" s="196">
        <f t="shared" si="63"/>
        <v>0</v>
      </c>
      <c r="H799" s="197">
        <f t="shared" si="64"/>
        <v>0</v>
      </c>
      <c r="I799" s="169">
        <f t="shared" si="65"/>
        <v>0</v>
      </c>
      <c r="J799" s="198">
        <f t="shared" si="66"/>
        <v>0</v>
      </c>
      <c r="K799" s="173">
        <f t="shared" si="67"/>
        <v>0</v>
      </c>
      <c r="L799" s="551"/>
      <c r="M799" s="549"/>
    </row>
    <row r="800" spans="1:13" s="557" customFormat="1" ht="73.5" customHeight="1" x14ac:dyDescent="0.25">
      <c r="A800" s="552"/>
      <c r="B800" s="553" t="s">
        <v>728</v>
      </c>
      <c r="C800" s="457">
        <v>2</v>
      </c>
      <c r="D800" s="458" t="s">
        <v>678</v>
      </c>
      <c r="E800" s="549"/>
      <c r="F800" s="554"/>
      <c r="G800" s="196">
        <f t="shared" si="63"/>
        <v>0</v>
      </c>
      <c r="H800" s="197">
        <f t="shared" si="64"/>
        <v>0</v>
      </c>
      <c r="I800" s="169">
        <f t="shared" si="65"/>
        <v>0</v>
      </c>
      <c r="J800" s="198">
        <f t="shared" si="66"/>
        <v>0</v>
      </c>
      <c r="K800" s="173">
        <f t="shared" si="67"/>
        <v>0</v>
      </c>
      <c r="L800" s="551"/>
      <c r="M800" s="549"/>
    </row>
    <row r="801" spans="1:13" s="557" customFormat="1" ht="6.95" customHeight="1" x14ac:dyDescent="0.25">
      <c r="A801" s="552"/>
      <c r="B801" s="553"/>
      <c r="C801" s="457"/>
      <c r="D801" s="458"/>
      <c r="E801" s="549"/>
      <c r="F801" s="569"/>
      <c r="G801" s="196">
        <f t="shared" si="63"/>
        <v>0</v>
      </c>
      <c r="H801" s="197">
        <f t="shared" si="64"/>
        <v>0</v>
      </c>
      <c r="I801" s="169">
        <f t="shared" si="65"/>
        <v>0</v>
      </c>
      <c r="J801" s="198">
        <f t="shared" si="66"/>
        <v>0</v>
      </c>
      <c r="K801" s="173">
        <f t="shared" si="67"/>
        <v>0</v>
      </c>
      <c r="L801" s="551"/>
      <c r="M801" s="549"/>
    </row>
    <row r="802" spans="1:13" s="557" customFormat="1" ht="15" x14ac:dyDescent="0.25">
      <c r="A802" s="547">
        <v>16.050000000000008</v>
      </c>
      <c r="B802" s="548" t="s">
        <v>729</v>
      </c>
      <c r="C802" s="457"/>
      <c r="D802" s="458"/>
      <c r="E802" s="549"/>
      <c r="F802" s="569"/>
      <c r="G802" s="196">
        <f t="shared" si="63"/>
        <v>0</v>
      </c>
      <c r="H802" s="197">
        <f t="shared" si="64"/>
        <v>0</v>
      </c>
      <c r="I802" s="169">
        <f t="shared" si="65"/>
        <v>0</v>
      </c>
      <c r="J802" s="198">
        <f t="shared" si="66"/>
        <v>0</v>
      </c>
      <c r="K802" s="173">
        <f t="shared" si="67"/>
        <v>0</v>
      </c>
      <c r="L802" s="551"/>
      <c r="M802" s="549"/>
    </row>
    <row r="803" spans="1:13" s="557" customFormat="1" ht="201.75" customHeight="1" x14ac:dyDescent="0.25">
      <c r="A803" s="552"/>
      <c r="B803" s="556" t="s">
        <v>730</v>
      </c>
      <c r="C803" s="457">
        <v>2</v>
      </c>
      <c r="D803" s="458" t="s">
        <v>113</v>
      </c>
      <c r="E803" s="549"/>
      <c r="F803" s="554"/>
      <c r="G803" s="196">
        <f t="shared" si="63"/>
        <v>0</v>
      </c>
      <c r="H803" s="197">
        <f t="shared" si="64"/>
        <v>0</v>
      </c>
      <c r="I803" s="169">
        <f t="shared" si="65"/>
        <v>0</v>
      </c>
      <c r="J803" s="198">
        <f t="shared" si="66"/>
        <v>0</v>
      </c>
      <c r="K803" s="173">
        <f t="shared" si="67"/>
        <v>0</v>
      </c>
      <c r="L803" s="551"/>
      <c r="M803" s="549"/>
    </row>
    <row r="804" spans="1:13" s="557" customFormat="1" ht="6.95" customHeight="1" x14ac:dyDescent="0.25">
      <c r="A804" s="558"/>
      <c r="B804" s="559"/>
      <c r="C804" s="469"/>
      <c r="D804" s="470"/>
      <c r="E804" s="560"/>
      <c r="F804" s="570"/>
      <c r="G804" s="196">
        <f t="shared" si="63"/>
        <v>0</v>
      </c>
      <c r="H804" s="197">
        <f t="shared" si="64"/>
        <v>0</v>
      </c>
      <c r="I804" s="169">
        <f t="shared" si="65"/>
        <v>0</v>
      </c>
      <c r="J804" s="198">
        <f t="shared" si="66"/>
        <v>0</v>
      </c>
      <c r="K804" s="173">
        <f t="shared" si="67"/>
        <v>0</v>
      </c>
      <c r="L804" s="562"/>
      <c r="M804" s="560"/>
    </row>
    <row r="805" spans="1:13" s="557" customFormat="1" ht="15" x14ac:dyDescent="0.25">
      <c r="A805" s="563">
        <v>16.060000000000009</v>
      </c>
      <c r="B805" s="564" t="s">
        <v>731</v>
      </c>
      <c r="C805" s="565"/>
      <c r="D805" s="477"/>
      <c r="E805" s="566"/>
      <c r="F805" s="567"/>
      <c r="G805" s="196">
        <f t="shared" si="63"/>
        <v>0</v>
      </c>
      <c r="H805" s="197">
        <f t="shared" si="64"/>
        <v>0</v>
      </c>
      <c r="I805" s="169">
        <f t="shared" si="65"/>
        <v>0</v>
      </c>
      <c r="J805" s="198">
        <f t="shared" si="66"/>
        <v>0</v>
      </c>
      <c r="K805" s="173">
        <f t="shared" si="67"/>
        <v>0</v>
      </c>
      <c r="L805" s="568"/>
      <c r="M805" s="566"/>
    </row>
    <row r="806" spans="1:13" s="557" customFormat="1" ht="162" customHeight="1" x14ac:dyDescent="0.25">
      <c r="A806" s="552"/>
      <c r="B806" s="553" t="s">
        <v>732</v>
      </c>
      <c r="C806" s="457">
        <v>1</v>
      </c>
      <c r="D806" s="458" t="s">
        <v>113</v>
      </c>
      <c r="E806" s="549"/>
      <c r="F806" s="554"/>
      <c r="G806" s="196">
        <f t="shared" si="63"/>
        <v>0</v>
      </c>
      <c r="H806" s="197">
        <f t="shared" si="64"/>
        <v>0</v>
      </c>
      <c r="I806" s="169">
        <f t="shared" si="65"/>
        <v>0</v>
      </c>
      <c r="J806" s="198">
        <f t="shared" si="66"/>
        <v>0</v>
      </c>
      <c r="K806" s="173">
        <f t="shared" si="67"/>
        <v>0</v>
      </c>
      <c r="L806" s="551"/>
      <c r="M806" s="549"/>
    </row>
    <row r="807" spans="1:13" s="557" customFormat="1" ht="5.0999999999999996" customHeight="1" x14ac:dyDescent="0.25">
      <c r="A807" s="552"/>
      <c r="B807" s="553"/>
      <c r="C807" s="457"/>
      <c r="D807" s="458"/>
      <c r="E807" s="549"/>
      <c r="F807" s="569"/>
      <c r="G807" s="196">
        <f t="shared" si="63"/>
        <v>0</v>
      </c>
      <c r="H807" s="197">
        <f t="shared" si="64"/>
        <v>0</v>
      </c>
      <c r="I807" s="169">
        <f t="shared" si="65"/>
        <v>0</v>
      </c>
      <c r="J807" s="198">
        <f t="shared" si="66"/>
        <v>0</v>
      </c>
      <c r="K807" s="173">
        <f t="shared" si="67"/>
        <v>0</v>
      </c>
      <c r="L807" s="551"/>
      <c r="M807" s="549"/>
    </row>
    <row r="808" spans="1:13" s="540" customFormat="1" ht="15" x14ac:dyDescent="0.25">
      <c r="A808" s="547">
        <v>16.070000000000011</v>
      </c>
      <c r="B808" s="548" t="s">
        <v>733</v>
      </c>
      <c r="C808" s="457"/>
      <c r="D808" s="458"/>
      <c r="E808" s="549"/>
      <c r="F808" s="569"/>
      <c r="G808" s="196">
        <f t="shared" si="63"/>
        <v>0</v>
      </c>
      <c r="H808" s="197">
        <f t="shared" si="64"/>
        <v>0</v>
      </c>
      <c r="I808" s="169">
        <f t="shared" si="65"/>
        <v>0</v>
      </c>
      <c r="J808" s="198">
        <f t="shared" si="66"/>
        <v>0</v>
      </c>
      <c r="K808" s="173">
        <f t="shared" si="67"/>
        <v>0</v>
      </c>
      <c r="L808" s="551"/>
      <c r="M808" s="549"/>
    </row>
    <row r="809" spans="1:13" s="557" customFormat="1" ht="114" x14ac:dyDescent="0.25">
      <c r="A809" s="552"/>
      <c r="B809" s="553" t="s">
        <v>734</v>
      </c>
      <c r="C809" s="457">
        <v>150</v>
      </c>
      <c r="D809" s="458" t="s">
        <v>735</v>
      </c>
      <c r="E809" s="549"/>
      <c r="F809" s="554"/>
      <c r="G809" s="196">
        <f t="shared" si="63"/>
        <v>0</v>
      </c>
      <c r="H809" s="197">
        <f t="shared" si="64"/>
        <v>0</v>
      </c>
      <c r="I809" s="169">
        <f t="shared" si="65"/>
        <v>0</v>
      </c>
      <c r="J809" s="198">
        <f t="shared" si="66"/>
        <v>0</v>
      </c>
      <c r="K809" s="173">
        <f t="shared" si="67"/>
        <v>0</v>
      </c>
      <c r="L809" s="551"/>
      <c r="M809" s="549"/>
    </row>
    <row r="810" spans="1:13" s="540" customFormat="1" ht="8.25" customHeight="1" x14ac:dyDescent="0.25">
      <c r="A810" s="571"/>
      <c r="B810" s="555"/>
      <c r="C810" s="543"/>
      <c r="D810" s="543"/>
      <c r="E810" s="549"/>
      <c r="F810" s="569"/>
      <c r="G810" s="196">
        <f t="shared" si="63"/>
        <v>0</v>
      </c>
      <c r="H810" s="197">
        <f t="shared" si="64"/>
        <v>0</v>
      </c>
      <c r="I810" s="169">
        <f t="shared" si="65"/>
        <v>0</v>
      </c>
      <c r="J810" s="198">
        <f t="shared" si="66"/>
        <v>0</v>
      </c>
      <c r="K810" s="173">
        <f t="shared" si="67"/>
        <v>0</v>
      </c>
      <c r="L810" s="551"/>
      <c r="M810" s="549"/>
    </row>
    <row r="811" spans="1:13" s="540" customFormat="1" ht="15" x14ac:dyDescent="0.25">
      <c r="A811" s="547">
        <v>16.080000000000013</v>
      </c>
      <c r="B811" s="548" t="s">
        <v>736</v>
      </c>
      <c r="C811" s="457"/>
      <c r="D811" s="458"/>
      <c r="E811" s="549"/>
      <c r="F811" s="569"/>
      <c r="G811" s="196">
        <f t="shared" si="63"/>
        <v>0</v>
      </c>
      <c r="H811" s="197">
        <f t="shared" si="64"/>
        <v>0</v>
      </c>
      <c r="I811" s="169">
        <f t="shared" si="65"/>
        <v>0</v>
      </c>
      <c r="J811" s="198">
        <f t="shared" si="66"/>
        <v>0</v>
      </c>
      <c r="K811" s="173">
        <f t="shared" si="67"/>
        <v>0</v>
      </c>
      <c r="L811" s="551"/>
      <c r="M811" s="549"/>
    </row>
    <row r="812" spans="1:13" s="557" customFormat="1" ht="85.5" x14ac:dyDescent="0.25">
      <c r="A812" s="552"/>
      <c r="B812" s="553" t="s">
        <v>737</v>
      </c>
      <c r="C812" s="457">
        <v>175</v>
      </c>
      <c r="D812" s="458" t="s">
        <v>735</v>
      </c>
      <c r="E812" s="549"/>
      <c r="F812" s="554"/>
      <c r="G812" s="196">
        <f t="shared" si="63"/>
        <v>0</v>
      </c>
      <c r="H812" s="197">
        <f t="shared" si="64"/>
        <v>0</v>
      </c>
      <c r="I812" s="169">
        <f t="shared" si="65"/>
        <v>0</v>
      </c>
      <c r="J812" s="198">
        <f t="shared" si="66"/>
        <v>0</v>
      </c>
      <c r="K812" s="173">
        <f t="shared" si="67"/>
        <v>0</v>
      </c>
      <c r="L812" s="551"/>
      <c r="M812" s="549"/>
    </row>
    <row r="813" spans="1:13" s="557" customFormat="1" ht="9.75" customHeight="1" x14ac:dyDescent="0.25">
      <c r="A813" s="571"/>
      <c r="B813" s="555"/>
      <c r="C813" s="543"/>
      <c r="D813" s="543"/>
      <c r="E813" s="549"/>
      <c r="F813" s="569"/>
      <c r="G813" s="196">
        <f t="shared" si="63"/>
        <v>0</v>
      </c>
      <c r="H813" s="197">
        <f t="shared" si="64"/>
        <v>0</v>
      </c>
      <c r="I813" s="169">
        <f t="shared" si="65"/>
        <v>0</v>
      </c>
      <c r="J813" s="198">
        <f t="shared" si="66"/>
        <v>0</v>
      </c>
      <c r="K813" s="173">
        <f t="shared" si="67"/>
        <v>0</v>
      </c>
      <c r="L813" s="551"/>
      <c r="M813" s="549"/>
    </row>
    <row r="814" spans="1:13" s="540" customFormat="1" ht="15" x14ac:dyDescent="0.25">
      <c r="A814" s="547">
        <v>16.090000000000014</v>
      </c>
      <c r="B814" s="548" t="s">
        <v>738</v>
      </c>
      <c r="C814" s="457"/>
      <c r="D814" s="458"/>
      <c r="E814" s="549"/>
      <c r="F814" s="569"/>
      <c r="G814" s="196">
        <f t="shared" si="63"/>
        <v>0</v>
      </c>
      <c r="H814" s="197">
        <f t="shared" si="64"/>
        <v>0</v>
      </c>
      <c r="I814" s="169">
        <f t="shared" si="65"/>
        <v>0</v>
      </c>
      <c r="J814" s="198">
        <f t="shared" si="66"/>
        <v>0</v>
      </c>
      <c r="K814" s="173">
        <f t="shared" si="67"/>
        <v>0</v>
      </c>
      <c r="L814" s="551"/>
      <c r="M814" s="549"/>
    </row>
    <row r="815" spans="1:13" s="557" customFormat="1" ht="75" customHeight="1" x14ac:dyDescent="0.25">
      <c r="A815" s="552"/>
      <c r="B815" s="556" t="s">
        <v>739</v>
      </c>
      <c r="C815" s="457">
        <v>90</v>
      </c>
      <c r="D815" s="458" t="s">
        <v>735</v>
      </c>
      <c r="E815" s="549"/>
      <c r="F815" s="554"/>
      <c r="G815" s="196">
        <f t="shared" si="63"/>
        <v>0</v>
      </c>
      <c r="H815" s="197">
        <f t="shared" si="64"/>
        <v>0</v>
      </c>
      <c r="I815" s="169">
        <f t="shared" si="65"/>
        <v>0</v>
      </c>
      <c r="J815" s="198">
        <f t="shared" si="66"/>
        <v>0</v>
      </c>
      <c r="K815" s="173">
        <f t="shared" si="67"/>
        <v>0</v>
      </c>
      <c r="L815" s="551"/>
      <c r="M815" s="549"/>
    </row>
    <row r="816" spans="1:13" s="557" customFormat="1" ht="6.95" customHeight="1" x14ac:dyDescent="0.25">
      <c r="A816" s="572"/>
      <c r="B816" s="573"/>
      <c r="C816" s="574"/>
      <c r="D816" s="574"/>
      <c r="E816" s="560"/>
      <c r="F816" s="570"/>
      <c r="G816" s="196">
        <f t="shared" si="63"/>
        <v>0</v>
      </c>
      <c r="H816" s="197">
        <f t="shared" si="64"/>
        <v>0</v>
      </c>
      <c r="I816" s="169">
        <f t="shared" si="65"/>
        <v>0</v>
      </c>
      <c r="J816" s="198">
        <f t="shared" si="66"/>
        <v>0</v>
      </c>
      <c r="K816" s="173">
        <f t="shared" si="67"/>
        <v>0</v>
      </c>
      <c r="L816" s="562"/>
      <c r="M816" s="560"/>
    </row>
    <row r="817" spans="1:13" s="540" customFormat="1" ht="15" x14ac:dyDescent="0.25">
      <c r="A817" s="575">
        <v>16.100000000000016</v>
      </c>
      <c r="B817" s="564" t="s">
        <v>740</v>
      </c>
      <c r="C817" s="565"/>
      <c r="D817" s="477"/>
      <c r="E817" s="566"/>
      <c r="F817" s="567"/>
      <c r="G817" s="196">
        <f t="shared" si="63"/>
        <v>0</v>
      </c>
      <c r="H817" s="197">
        <f t="shared" si="64"/>
        <v>0</v>
      </c>
      <c r="I817" s="169">
        <f t="shared" si="65"/>
        <v>0</v>
      </c>
      <c r="J817" s="198">
        <f t="shared" si="66"/>
        <v>0</v>
      </c>
      <c r="K817" s="173">
        <f t="shared" si="67"/>
        <v>0</v>
      </c>
      <c r="L817" s="568"/>
      <c r="M817" s="566"/>
    </row>
    <row r="818" spans="1:13" s="540" customFormat="1" ht="108" customHeight="1" x14ac:dyDescent="0.25">
      <c r="A818" s="552" t="s">
        <v>4</v>
      </c>
      <c r="B818" s="553" t="s">
        <v>741</v>
      </c>
      <c r="C818" s="457">
        <v>1</v>
      </c>
      <c r="D818" s="458" t="s">
        <v>113</v>
      </c>
      <c r="E818" s="549"/>
      <c r="F818" s="554"/>
      <c r="G818" s="196">
        <f t="shared" si="63"/>
        <v>0</v>
      </c>
      <c r="H818" s="197">
        <f t="shared" si="64"/>
        <v>0</v>
      </c>
      <c r="I818" s="169">
        <f t="shared" si="65"/>
        <v>0</v>
      </c>
      <c r="J818" s="198">
        <f t="shared" si="66"/>
        <v>0</v>
      </c>
      <c r="K818" s="173">
        <f t="shared" si="67"/>
        <v>0</v>
      </c>
      <c r="L818" s="551"/>
      <c r="M818" s="549"/>
    </row>
    <row r="819" spans="1:13" s="576" customFormat="1" ht="90" customHeight="1" x14ac:dyDescent="0.25">
      <c r="A819" s="552" t="s">
        <v>48</v>
      </c>
      <c r="B819" s="553" t="s">
        <v>742</v>
      </c>
      <c r="C819" s="457">
        <v>1</v>
      </c>
      <c r="D819" s="458" t="s">
        <v>113</v>
      </c>
      <c r="E819" s="549"/>
      <c r="F819" s="554"/>
      <c r="G819" s="196">
        <f t="shared" si="63"/>
        <v>0</v>
      </c>
      <c r="H819" s="197">
        <f t="shared" si="64"/>
        <v>0</v>
      </c>
      <c r="I819" s="169">
        <f t="shared" si="65"/>
        <v>0</v>
      </c>
      <c r="J819" s="198">
        <f t="shared" si="66"/>
        <v>0</v>
      </c>
      <c r="K819" s="173">
        <f t="shared" si="67"/>
        <v>0</v>
      </c>
      <c r="L819" s="551"/>
      <c r="M819" s="549"/>
    </row>
    <row r="820" spans="1:13" s="540" customFormat="1" ht="8.25" customHeight="1" x14ac:dyDescent="0.25">
      <c r="A820" s="571"/>
      <c r="B820" s="555"/>
      <c r="C820" s="457"/>
      <c r="D820" s="458"/>
      <c r="E820" s="549"/>
      <c r="F820" s="569"/>
      <c r="G820" s="196">
        <f t="shared" si="63"/>
        <v>0</v>
      </c>
      <c r="H820" s="197">
        <f t="shared" si="64"/>
        <v>0</v>
      </c>
      <c r="I820" s="169">
        <f t="shared" si="65"/>
        <v>0</v>
      </c>
      <c r="J820" s="198">
        <f t="shared" si="66"/>
        <v>0</v>
      </c>
      <c r="K820" s="173">
        <f t="shared" si="67"/>
        <v>0</v>
      </c>
      <c r="L820" s="551"/>
      <c r="M820" s="549"/>
    </row>
    <row r="821" spans="1:13" s="540" customFormat="1" ht="15" x14ac:dyDescent="0.25">
      <c r="A821" s="577">
        <v>16.110000000000017</v>
      </c>
      <c r="B821" s="548" t="s">
        <v>743</v>
      </c>
      <c r="C821" s="457"/>
      <c r="D821" s="458"/>
      <c r="E821" s="549"/>
      <c r="F821" s="569"/>
      <c r="G821" s="196">
        <f t="shared" si="63"/>
        <v>0</v>
      </c>
      <c r="H821" s="197">
        <f t="shared" si="64"/>
        <v>0</v>
      </c>
      <c r="I821" s="169">
        <f t="shared" si="65"/>
        <v>0</v>
      </c>
      <c r="J821" s="198">
        <f t="shared" si="66"/>
        <v>0</v>
      </c>
      <c r="K821" s="173">
        <f t="shared" si="67"/>
        <v>0</v>
      </c>
      <c r="L821" s="551"/>
      <c r="M821" s="549"/>
    </row>
    <row r="822" spans="1:13" s="557" customFormat="1" ht="85.5" x14ac:dyDescent="0.25">
      <c r="A822" s="552"/>
      <c r="B822" s="553" t="s">
        <v>744</v>
      </c>
      <c r="C822" s="457"/>
      <c r="D822" s="458"/>
      <c r="E822" s="549"/>
      <c r="F822" s="554"/>
      <c r="G822" s="196">
        <f t="shared" si="63"/>
        <v>0</v>
      </c>
      <c r="H822" s="197">
        <f t="shared" si="64"/>
        <v>0</v>
      </c>
      <c r="I822" s="169">
        <f t="shared" si="65"/>
        <v>0</v>
      </c>
      <c r="J822" s="198">
        <f t="shared" si="66"/>
        <v>0</v>
      </c>
      <c r="K822" s="173">
        <f t="shared" si="67"/>
        <v>0</v>
      </c>
      <c r="L822" s="551"/>
      <c r="M822" s="549"/>
    </row>
    <row r="823" spans="1:13" s="557" customFormat="1" ht="57" x14ac:dyDescent="0.25">
      <c r="A823" s="552"/>
      <c r="B823" s="553" t="s">
        <v>745</v>
      </c>
      <c r="C823" s="457">
        <v>1</v>
      </c>
      <c r="D823" s="458" t="s">
        <v>113</v>
      </c>
      <c r="E823" s="549"/>
      <c r="F823" s="554"/>
      <c r="G823" s="196">
        <f t="shared" si="63"/>
        <v>0</v>
      </c>
      <c r="H823" s="197">
        <f t="shared" si="64"/>
        <v>0</v>
      </c>
      <c r="I823" s="169">
        <f t="shared" si="65"/>
        <v>0</v>
      </c>
      <c r="J823" s="198">
        <f t="shared" si="66"/>
        <v>0</v>
      </c>
      <c r="K823" s="173">
        <f t="shared" si="67"/>
        <v>0</v>
      </c>
      <c r="L823" s="551"/>
      <c r="M823" s="549"/>
    </row>
    <row r="824" spans="1:13" x14ac:dyDescent="0.25">
      <c r="A824" s="206"/>
      <c r="B824" s="136"/>
      <c r="C824" s="163"/>
      <c r="D824" s="163"/>
      <c r="E824" s="163"/>
      <c r="F824" s="210"/>
      <c r="G824" s="196">
        <f t="shared" si="63"/>
        <v>0</v>
      </c>
      <c r="H824" s="197">
        <f t="shared" si="64"/>
        <v>0</v>
      </c>
      <c r="I824" s="169">
        <f t="shared" si="65"/>
        <v>0</v>
      </c>
      <c r="J824" s="198">
        <f t="shared" si="66"/>
        <v>0</v>
      </c>
      <c r="K824" s="173">
        <f t="shared" si="67"/>
        <v>0</v>
      </c>
      <c r="L824" s="168"/>
      <c r="M824" s="169"/>
    </row>
    <row r="825" spans="1:13" s="585" customFormat="1" ht="15" customHeight="1" x14ac:dyDescent="0.25">
      <c r="A825" s="578" t="s">
        <v>746</v>
      </c>
      <c r="B825" s="579"/>
      <c r="C825" s="580"/>
      <c r="D825" s="581"/>
      <c r="E825" s="582"/>
      <c r="F825" s="583"/>
      <c r="G825" s="196">
        <f t="shared" si="63"/>
        <v>0</v>
      </c>
      <c r="H825" s="197">
        <f t="shared" si="64"/>
        <v>0</v>
      </c>
      <c r="I825" s="169">
        <f t="shared" si="65"/>
        <v>0</v>
      </c>
      <c r="J825" s="198">
        <f t="shared" si="66"/>
        <v>0</v>
      </c>
      <c r="K825" s="173">
        <f t="shared" si="67"/>
        <v>0</v>
      </c>
      <c r="L825" s="584"/>
      <c r="M825" s="584"/>
    </row>
    <row r="826" spans="1:13" ht="159" customHeight="1" x14ac:dyDescent="0.25">
      <c r="A826" s="255">
        <v>17.010000000000002</v>
      </c>
      <c r="B826" s="136" t="s">
        <v>240</v>
      </c>
      <c r="C826" s="163">
        <v>1294</v>
      </c>
      <c r="D826" s="169" t="s">
        <v>11</v>
      </c>
      <c r="E826" s="401">
        <v>10.29</v>
      </c>
      <c r="F826" s="404">
        <f>ROUND($C826*E826,0)</f>
        <v>13315</v>
      </c>
      <c r="G826" s="196">
        <f t="shared" si="63"/>
        <v>0.82</v>
      </c>
      <c r="H826" s="197">
        <f t="shared" si="64"/>
        <v>0.41</v>
      </c>
      <c r="I826" s="169">
        <f t="shared" si="65"/>
        <v>7</v>
      </c>
      <c r="J826" s="198">
        <f t="shared" si="66"/>
        <v>2.06</v>
      </c>
      <c r="K826" s="173">
        <f t="shared" si="67"/>
        <v>10.290000000000001</v>
      </c>
      <c r="L826" s="586"/>
      <c r="M826" s="587"/>
    </row>
    <row r="827" spans="1:13" ht="9.75" customHeight="1" x14ac:dyDescent="0.25">
      <c r="A827" s="255"/>
      <c r="B827" s="136"/>
      <c r="C827" s="163"/>
      <c r="D827" s="169"/>
      <c r="E827" s="401"/>
      <c r="F827" s="404"/>
      <c r="G827" s="196">
        <f t="shared" si="63"/>
        <v>0</v>
      </c>
      <c r="H827" s="197">
        <f t="shared" si="64"/>
        <v>0</v>
      </c>
      <c r="I827" s="169">
        <f t="shared" si="65"/>
        <v>0</v>
      </c>
      <c r="J827" s="198">
        <f t="shared" si="66"/>
        <v>0</v>
      </c>
      <c r="K827" s="173">
        <f t="shared" si="67"/>
        <v>0</v>
      </c>
      <c r="L827" s="586"/>
      <c r="M827" s="587"/>
    </row>
    <row r="828" spans="1:13" ht="163.5" customHeight="1" x14ac:dyDescent="0.25">
      <c r="A828" s="255">
        <v>17.020000000000003</v>
      </c>
      <c r="B828" s="136" t="s">
        <v>241</v>
      </c>
      <c r="C828" s="163">
        <v>11642</v>
      </c>
      <c r="D828" s="169" t="s">
        <v>11</v>
      </c>
      <c r="E828" s="401">
        <v>29.42</v>
      </c>
      <c r="F828" s="404">
        <f>ROUND($C828*E828,0)</f>
        <v>342508</v>
      </c>
      <c r="G828" s="196">
        <f t="shared" si="63"/>
        <v>2.35</v>
      </c>
      <c r="H828" s="197">
        <f t="shared" si="64"/>
        <v>1.18</v>
      </c>
      <c r="I828" s="169">
        <f t="shared" si="65"/>
        <v>20.010000000000002</v>
      </c>
      <c r="J828" s="198">
        <f t="shared" si="66"/>
        <v>5.88</v>
      </c>
      <c r="K828" s="173">
        <f t="shared" si="67"/>
        <v>29.42</v>
      </c>
      <c r="L828" s="586"/>
      <c r="M828" s="587"/>
    </row>
    <row r="829" spans="1:13" ht="9.75" customHeight="1" x14ac:dyDescent="0.25">
      <c r="A829" s="255"/>
      <c r="B829" s="136"/>
      <c r="C829" s="163"/>
      <c r="D829" s="169"/>
      <c r="E829" s="163"/>
      <c r="F829" s="210"/>
      <c r="G829" s="196">
        <f t="shared" si="63"/>
        <v>0</v>
      </c>
      <c r="H829" s="197">
        <f t="shared" si="64"/>
        <v>0</v>
      </c>
      <c r="I829" s="169">
        <f t="shared" si="65"/>
        <v>0</v>
      </c>
      <c r="J829" s="198">
        <f t="shared" si="66"/>
        <v>0</v>
      </c>
      <c r="K829" s="173">
        <f t="shared" si="67"/>
        <v>0</v>
      </c>
      <c r="L829" s="174"/>
      <c r="M829" s="163"/>
    </row>
    <row r="830" spans="1:13" ht="128.25" x14ac:dyDescent="0.25">
      <c r="A830" s="255">
        <v>17.030000000000005</v>
      </c>
      <c r="B830" s="136" t="s">
        <v>53</v>
      </c>
      <c r="C830" s="163">
        <v>202754</v>
      </c>
      <c r="D830" s="169" t="s">
        <v>11</v>
      </c>
      <c r="E830" s="401">
        <v>24.67</v>
      </c>
      <c r="F830" s="404">
        <f>ROUND($C830*E830,0)</f>
        <v>5001941</v>
      </c>
      <c r="G830" s="196">
        <f t="shared" si="63"/>
        <v>1.97</v>
      </c>
      <c r="H830" s="197">
        <f t="shared" si="64"/>
        <v>0.99</v>
      </c>
      <c r="I830" s="169">
        <f t="shared" si="65"/>
        <v>16.78</v>
      </c>
      <c r="J830" s="198">
        <f t="shared" si="66"/>
        <v>4.93</v>
      </c>
      <c r="K830" s="173">
        <f t="shared" si="67"/>
        <v>24.67</v>
      </c>
      <c r="L830" s="586"/>
      <c r="M830" s="587"/>
    </row>
    <row r="831" spans="1:13" ht="9.75" customHeight="1" x14ac:dyDescent="0.25">
      <c r="A831" s="255"/>
      <c r="B831" s="136"/>
      <c r="C831" s="163"/>
      <c r="D831" s="169"/>
      <c r="E831" s="163"/>
      <c r="F831" s="210"/>
      <c r="G831" s="196">
        <f t="shared" si="63"/>
        <v>0</v>
      </c>
      <c r="H831" s="197">
        <f t="shared" si="64"/>
        <v>0</v>
      </c>
      <c r="I831" s="169">
        <f t="shared" si="65"/>
        <v>0</v>
      </c>
      <c r="J831" s="198">
        <f t="shared" si="66"/>
        <v>0</v>
      </c>
      <c r="K831" s="173">
        <f t="shared" si="67"/>
        <v>0</v>
      </c>
      <c r="L831" s="168"/>
      <c r="M831" s="169"/>
    </row>
    <row r="832" spans="1:13" ht="102" customHeight="1" x14ac:dyDescent="0.25">
      <c r="A832" s="255">
        <v>17.040000000000006</v>
      </c>
      <c r="B832" s="588" t="s">
        <v>243</v>
      </c>
      <c r="C832" s="236">
        <v>1320</v>
      </c>
      <c r="D832" s="589" t="s">
        <v>11</v>
      </c>
      <c r="E832" s="590">
        <v>10</v>
      </c>
      <c r="F832" s="404">
        <f>ROUND($C832*E832,0)</f>
        <v>13200</v>
      </c>
      <c r="G832" s="196">
        <f t="shared" si="63"/>
        <v>0.8</v>
      </c>
      <c r="H832" s="197">
        <f t="shared" si="64"/>
        <v>0.4</v>
      </c>
      <c r="I832" s="169">
        <f t="shared" si="65"/>
        <v>6.8</v>
      </c>
      <c r="J832" s="198">
        <f t="shared" si="66"/>
        <v>2</v>
      </c>
      <c r="K832" s="173">
        <f t="shared" si="67"/>
        <v>10</v>
      </c>
      <c r="L832" s="591"/>
      <c r="M832" s="592"/>
    </row>
    <row r="833" spans="1:13" ht="9.75" customHeight="1" x14ac:dyDescent="0.25">
      <c r="A833" s="260"/>
      <c r="B833" s="176"/>
      <c r="C833" s="177"/>
      <c r="D833" s="186"/>
      <c r="E833" s="177"/>
      <c r="F833" s="239"/>
      <c r="G833" s="196">
        <f t="shared" si="63"/>
        <v>0</v>
      </c>
      <c r="H833" s="197">
        <f t="shared" si="64"/>
        <v>0</v>
      </c>
      <c r="I833" s="169">
        <f t="shared" si="65"/>
        <v>0</v>
      </c>
      <c r="J833" s="198">
        <f t="shared" si="66"/>
        <v>0</v>
      </c>
      <c r="K833" s="173">
        <f t="shared" si="67"/>
        <v>0</v>
      </c>
      <c r="L833" s="179"/>
      <c r="M833" s="177"/>
    </row>
    <row r="834" spans="1:13" ht="71.25" x14ac:dyDescent="0.25">
      <c r="A834" s="261">
        <v>17.050000000000008</v>
      </c>
      <c r="B834" s="181" t="s">
        <v>244</v>
      </c>
      <c r="C834" s="182">
        <v>1056</v>
      </c>
      <c r="D834" s="166" t="s">
        <v>11</v>
      </c>
      <c r="E834" s="413">
        <v>66</v>
      </c>
      <c r="F834" s="593">
        <f>ROUND($C834*E834,0)</f>
        <v>69696</v>
      </c>
      <c r="G834" s="196">
        <f t="shared" si="63"/>
        <v>5.28</v>
      </c>
      <c r="H834" s="197">
        <f t="shared" si="64"/>
        <v>2.64</v>
      </c>
      <c r="I834" s="169">
        <f t="shared" si="65"/>
        <v>44.88</v>
      </c>
      <c r="J834" s="198">
        <f t="shared" si="66"/>
        <v>13.2</v>
      </c>
      <c r="K834" s="173">
        <f t="shared" si="67"/>
        <v>66</v>
      </c>
      <c r="L834" s="594"/>
      <c r="M834" s="595"/>
    </row>
    <row r="835" spans="1:13" ht="9.75" customHeight="1" x14ac:dyDescent="0.25">
      <c r="A835" s="255"/>
      <c r="B835" s="588"/>
      <c r="C835" s="236"/>
      <c r="D835" s="589"/>
      <c r="E835" s="189"/>
      <c r="F835" s="596"/>
      <c r="G835" s="196">
        <f t="shared" si="63"/>
        <v>0</v>
      </c>
      <c r="H835" s="197">
        <f t="shared" si="64"/>
        <v>0</v>
      </c>
      <c r="I835" s="169">
        <f t="shared" si="65"/>
        <v>0</v>
      </c>
      <c r="J835" s="198">
        <f t="shared" si="66"/>
        <v>0</v>
      </c>
      <c r="K835" s="173">
        <f t="shared" si="67"/>
        <v>0</v>
      </c>
      <c r="L835" s="212"/>
      <c r="M835" s="188"/>
    </row>
    <row r="836" spans="1:13" ht="57" x14ac:dyDescent="0.25">
      <c r="A836" s="255">
        <v>17.060000000000009</v>
      </c>
      <c r="B836" s="136" t="s">
        <v>245</v>
      </c>
      <c r="C836" s="163">
        <v>1133</v>
      </c>
      <c r="D836" s="169" t="s">
        <v>11</v>
      </c>
      <c r="E836" s="401">
        <v>155</v>
      </c>
      <c r="F836" s="404">
        <f>ROUND($C836*E836,0)</f>
        <v>175615</v>
      </c>
      <c r="G836" s="196">
        <f t="shared" si="63"/>
        <v>12.4</v>
      </c>
      <c r="H836" s="197">
        <f t="shared" si="64"/>
        <v>6.2</v>
      </c>
      <c r="I836" s="169">
        <f t="shared" si="65"/>
        <v>105.4</v>
      </c>
      <c r="J836" s="198">
        <f t="shared" si="66"/>
        <v>31</v>
      </c>
      <c r="K836" s="173">
        <f t="shared" si="67"/>
        <v>155</v>
      </c>
      <c r="L836" s="232">
        <f>ROUND((C836*1)*1.54/13/1.25,2)</f>
        <v>107.37</v>
      </c>
      <c r="M836" s="587"/>
    </row>
    <row r="837" spans="1:13" ht="6.75" customHeight="1" x14ac:dyDescent="0.25">
      <c r="A837" s="255"/>
      <c r="B837" s="588"/>
      <c r="C837" s="236"/>
      <c r="D837" s="589"/>
      <c r="E837" s="189"/>
      <c r="F837" s="596"/>
      <c r="G837" s="196">
        <f t="shared" si="63"/>
        <v>0</v>
      </c>
      <c r="H837" s="197">
        <f t="shared" si="64"/>
        <v>0</v>
      </c>
      <c r="I837" s="169">
        <f t="shared" si="65"/>
        <v>0</v>
      </c>
      <c r="J837" s="198">
        <f t="shared" si="66"/>
        <v>0</v>
      </c>
      <c r="K837" s="173">
        <f t="shared" si="67"/>
        <v>0</v>
      </c>
      <c r="L837" s="212"/>
      <c r="M837" s="188"/>
    </row>
    <row r="838" spans="1:13" ht="114" x14ac:dyDescent="0.25">
      <c r="A838" s="255">
        <v>17.070000000000011</v>
      </c>
      <c r="B838" s="136" t="s">
        <v>246</v>
      </c>
      <c r="C838" s="163">
        <v>4510</v>
      </c>
      <c r="D838" s="169" t="s">
        <v>11</v>
      </c>
      <c r="E838" s="401">
        <v>237</v>
      </c>
      <c r="F838" s="404">
        <f>ROUND($C838*E838,0)</f>
        <v>1068870</v>
      </c>
      <c r="G838" s="196">
        <f t="shared" si="63"/>
        <v>18.96</v>
      </c>
      <c r="H838" s="197">
        <f t="shared" si="64"/>
        <v>9.48</v>
      </c>
      <c r="I838" s="169">
        <f t="shared" si="65"/>
        <v>161.16</v>
      </c>
      <c r="J838" s="198">
        <f t="shared" si="66"/>
        <v>47.4</v>
      </c>
      <c r="K838" s="173">
        <f t="shared" si="67"/>
        <v>237</v>
      </c>
      <c r="L838" s="232">
        <f>ROUND((C838*1)*1.54/10/1.25,2)</f>
        <v>555.63</v>
      </c>
      <c r="M838" s="587"/>
    </row>
    <row r="839" spans="1:13" ht="9.75" customHeight="1" x14ac:dyDescent="0.25">
      <c r="A839" s="255"/>
      <c r="B839" s="588"/>
      <c r="C839" s="236"/>
      <c r="D839" s="589"/>
      <c r="E839" s="189"/>
      <c r="F839" s="596"/>
      <c r="G839" s="196">
        <f t="shared" si="63"/>
        <v>0</v>
      </c>
      <c r="H839" s="197">
        <f t="shared" si="64"/>
        <v>0</v>
      </c>
      <c r="I839" s="169">
        <f t="shared" si="65"/>
        <v>0</v>
      </c>
      <c r="J839" s="198">
        <f t="shared" si="66"/>
        <v>0</v>
      </c>
      <c r="K839" s="173">
        <f t="shared" si="67"/>
        <v>0</v>
      </c>
      <c r="L839" s="212"/>
      <c r="M839" s="188"/>
    </row>
    <row r="840" spans="1:13" ht="161.25" customHeight="1" x14ac:dyDescent="0.25">
      <c r="A840" s="255">
        <v>17.080000000000013</v>
      </c>
      <c r="B840" s="136" t="s">
        <v>260</v>
      </c>
      <c r="C840" s="163"/>
      <c r="D840" s="169"/>
      <c r="E840" s="163"/>
      <c r="F840" s="210"/>
      <c r="G840" s="196">
        <f t="shared" si="63"/>
        <v>0</v>
      </c>
      <c r="H840" s="197">
        <f t="shared" si="64"/>
        <v>0</v>
      </c>
      <c r="I840" s="169">
        <f t="shared" si="65"/>
        <v>0</v>
      </c>
      <c r="J840" s="198">
        <f t="shared" si="66"/>
        <v>0</v>
      </c>
      <c r="K840" s="173">
        <f t="shared" si="67"/>
        <v>0</v>
      </c>
      <c r="L840" s="174"/>
      <c r="M840" s="163"/>
    </row>
    <row r="841" spans="1:13" x14ac:dyDescent="0.25">
      <c r="A841" s="255" t="s">
        <v>4</v>
      </c>
      <c r="B841" s="588" t="s">
        <v>747</v>
      </c>
      <c r="C841" s="236">
        <v>1485</v>
      </c>
      <c r="D841" s="589" t="s">
        <v>11</v>
      </c>
      <c r="E841" s="590">
        <v>244</v>
      </c>
      <c r="F841" s="404">
        <f>ROUND($C841*E841,0)</f>
        <v>362340</v>
      </c>
      <c r="G841" s="196">
        <f t="shared" si="63"/>
        <v>19.52</v>
      </c>
      <c r="H841" s="197">
        <f t="shared" si="64"/>
        <v>9.76</v>
      </c>
      <c r="I841" s="169">
        <f t="shared" si="65"/>
        <v>165.92</v>
      </c>
      <c r="J841" s="198">
        <f t="shared" si="66"/>
        <v>48.8</v>
      </c>
      <c r="K841" s="173">
        <f t="shared" si="67"/>
        <v>244</v>
      </c>
      <c r="L841" s="232">
        <f>ROUND((C841*1)*1.54/7/1.25,2)</f>
        <v>261.36</v>
      </c>
      <c r="M841" s="592"/>
    </row>
    <row r="842" spans="1:13" x14ac:dyDescent="0.25">
      <c r="A842" s="255" t="s">
        <v>48</v>
      </c>
      <c r="B842" s="588" t="s">
        <v>49</v>
      </c>
      <c r="C842" s="236">
        <v>1769</v>
      </c>
      <c r="D842" s="589" t="s">
        <v>11</v>
      </c>
      <c r="E842" s="590">
        <v>274</v>
      </c>
      <c r="F842" s="404">
        <f>ROUND($C842*E842,0)</f>
        <v>484706</v>
      </c>
      <c r="G842" s="196">
        <f t="shared" si="63"/>
        <v>21.92</v>
      </c>
      <c r="H842" s="197">
        <f t="shared" si="64"/>
        <v>10.96</v>
      </c>
      <c r="I842" s="169">
        <f t="shared" si="65"/>
        <v>186.32</v>
      </c>
      <c r="J842" s="198">
        <f t="shared" si="66"/>
        <v>54.8</v>
      </c>
      <c r="K842" s="173">
        <f t="shared" si="67"/>
        <v>274</v>
      </c>
      <c r="L842" s="232">
        <f>ROUND((C842*1)*1.54/7/1.25,2)</f>
        <v>311.33999999999997</v>
      </c>
      <c r="M842" s="592"/>
    </row>
    <row r="843" spans="1:13" ht="9.75" customHeight="1" x14ac:dyDescent="0.25">
      <c r="A843" s="255"/>
      <c r="B843" s="588"/>
      <c r="C843" s="236"/>
      <c r="D843" s="589"/>
      <c r="E843" s="189"/>
      <c r="F843" s="596"/>
      <c r="G843" s="196">
        <f t="shared" si="63"/>
        <v>0</v>
      </c>
      <c r="H843" s="197">
        <f t="shared" si="64"/>
        <v>0</v>
      </c>
      <c r="I843" s="169">
        <f t="shared" si="65"/>
        <v>0</v>
      </c>
      <c r="J843" s="198">
        <f t="shared" si="66"/>
        <v>0</v>
      </c>
      <c r="K843" s="173">
        <f t="shared" si="67"/>
        <v>0</v>
      </c>
      <c r="L843" s="212"/>
      <c r="M843" s="188"/>
    </row>
    <row r="844" spans="1:13" ht="159.75" customHeight="1" x14ac:dyDescent="0.25">
      <c r="A844" s="255">
        <v>17.090000000000014</v>
      </c>
      <c r="B844" s="136" t="s">
        <v>271</v>
      </c>
      <c r="C844" s="163">
        <v>2322</v>
      </c>
      <c r="D844" s="169" t="s">
        <v>11</v>
      </c>
      <c r="E844" s="590">
        <v>274</v>
      </c>
      <c r="F844" s="404">
        <f>ROUND($C844*E844,0)</f>
        <v>636228</v>
      </c>
      <c r="G844" s="196">
        <f t="shared" si="63"/>
        <v>21.92</v>
      </c>
      <c r="H844" s="197">
        <f t="shared" si="64"/>
        <v>10.96</v>
      </c>
      <c r="I844" s="169">
        <f t="shared" si="65"/>
        <v>186.32</v>
      </c>
      <c r="J844" s="198">
        <f t="shared" si="66"/>
        <v>54.8</v>
      </c>
      <c r="K844" s="173">
        <f t="shared" si="67"/>
        <v>274</v>
      </c>
      <c r="L844" s="232">
        <f>ROUND((C844*1)*1.54/7/1.25,2)</f>
        <v>408.67</v>
      </c>
      <c r="M844" s="592"/>
    </row>
    <row r="845" spans="1:13" ht="9.75" customHeight="1" x14ac:dyDescent="0.25">
      <c r="A845" s="260"/>
      <c r="B845" s="176"/>
      <c r="C845" s="177"/>
      <c r="D845" s="186"/>
      <c r="E845" s="177"/>
      <c r="F845" s="239"/>
      <c r="G845" s="196">
        <f t="shared" si="63"/>
        <v>0</v>
      </c>
      <c r="H845" s="197">
        <f t="shared" si="64"/>
        <v>0</v>
      </c>
      <c r="I845" s="169">
        <f t="shared" si="65"/>
        <v>0</v>
      </c>
      <c r="J845" s="198">
        <f t="shared" si="66"/>
        <v>0</v>
      </c>
      <c r="K845" s="173">
        <f t="shared" si="67"/>
        <v>0</v>
      </c>
      <c r="L845" s="179"/>
      <c r="M845" s="177"/>
    </row>
    <row r="846" spans="1:13" ht="71.25" x14ac:dyDescent="0.25">
      <c r="A846" s="261">
        <v>17.100000000000016</v>
      </c>
      <c r="B846" s="181" t="s">
        <v>255</v>
      </c>
      <c r="C846" s="182">
        <v>884</v>
      </c>
      <c r="D846" s="166" t="s">
        <v>10</v>
      </c>
      <c r="E846" s="413">
        <v>48</v>
      </c>
      <c r="F846" s="593">
        <f>ROUND($C846*E846,0)</f>
        <v>42432</v>
      </c>
      <c r="G846" s="196">
        <f t="shared" ref="G846:G904" si="68">IFERROR((ROUND(E846/1.25*10%,2)),0)</f>
        <v>3.84</v>
      </c>
      <c r="H846" s="197">
        <f t="shared" ref="H846:H904" si="69">IFERROR((ROUND(E846/1.25*5%,2)),0)</f>
        <v>1.92</v>
      </c>
      <c r="I846" s="169">
        <f t="shared" ref="I846:I904" si="70">IFERROR((ROUND(E846/1.25*85%,2)),0)</f>
        <v>32.64</v>
      </c>
      <c r="J846" s="198">
        <f t="shared" ref="J846:J904" si="71">IFERROR((ROUND(E846-(E846/1.25),2)),0)</f>
        <v>9.6</v>
      </c>
      <c r="K846" s="173">
        <f t="shared" ref="K846:K904" si="72">SUM(G846:J846)</f>
        <v>48</v>
      </c>
      <c r="L846" s="232">
        <f>ROUND((C846*0.17)*1.54/7/1.25,2)</f>
        <v>26.45</v>
      </c>
      <c r="M846" s="595"/>
    </row>
    <row r="847" spans="1:13" ht="9.75" customHeight="1" x14ac:dyDescent="0.25">
      <c r="A847" s="255"/>
      <c r="B847" s="597"/>
      <c r="C847" s="236"/>
      <c r="D847" s="589"/>
      <c r="E847" s="189"/>
      <c r="F847" s="596"/>
      <c r="G847" s="196">
        <f t="shared" si="68"/>
        <v>0</v>
      </c>
      <c r="H847" s="197">
        <f t="shared" si="69"/>
        <v>0</v>
      </c>
      <c r="I847" s="169">
        <f t="shared" si="70"/>
        <v>0</v>
      </c>
      <c r="J847" s="198">
        <f t="shared" si="71"/>
        <v>0</v>
      </c>
      <c r="K847" s="173">
        <f t="shared" si="72"/>
        <v>0</v>
      </c>
      <c r="L847" s="212"/>
      <c r="M847" s="188"/>
    </row>
    <row r="848" spans="1:13" ht="88.5" customHeight="1" x14ac:dyDescent="0.25">
      <c r="A848" s="255">
        <v>17.110000000000017</v>
      </c>
      <c r="B848" s="136" t="s">
        <v>254</v>
      </c>
      <c r="C848" s="163">
        <v>16726</v>
      </c>
      <c r="D848" s="169" t="s">
        <v>279</v>
      </c>
      <c r="E848" s="401">
        <v>116.65</v>
      </c>
      <c r="F848" s="404">
        <f>ROUND($C848*E848,0)</f>
        <v>1951088</v>
      </c>
      <c r="G848" s="196">
        <f t="shared" si="68"/>
        <v>9.33</v>
      </c>
      <c r="H848" s="197">
        <f t="shared" si="69"/>
        <v>4.67</v>
      </c>
      <c r="I848" s="169">
        <f t="shared" si="70"/>
        <v>79.319999999999993</v>
      </c>
      <c r="J848" s="198">
        <f t="shared" si="71"/>
        <v>23.33</v>
      </c>
      <c r="K848" s="173">
        <f t="shared" si="72"/>
        <v>116.64999999999999</v>
      </c>
      <c r="L848" s="586"/>
      <c r="M848" s="587">
        <f>C848*1.03</f>
        <v>17227.78</v>
      </c>
    </row>
    <row r="849" spans="1:13" ht="9.75" customHeight="1" x14ac:dyDescent="0.25">
      <c r="A849" s="255"/>
      <c r="B849" s="597"/>
      <c r="C849" s="236"/>
      <c r="D849" s="589"/>
      <c r="E849" s="189"/>
      <c r="F849" s="596"/>
      <c r="G849" s="196">
        <f t="shared" si="68"/>
        <v>0</v>
      </c>
      <c r="H849" s="197">
        <f t="shared" si="69"/>
        <v>0</v>
      </c>
      <c r="I849" s="169">
        <f t="shared" si="70"/>
        <v>0</v>
      </c>
      <c r="J849" s="198">
        <f t="shared" si="71"/>
        <v>0</v>
      </c>
      <c r="K849" s="173">
        <f t="shared" si="72"/>
        <v>0</v>
      </c>
      <c r="L849" s="212"/>
      <c r="M849" s="188"/>
    </row>
    <row r="850" spans="1:13" ht="62.25" customHeight="1" x14ac:dyDescent="0.25">
      <c r="A850" s="255">
        <v>17.120000000000019</v>
      </c>
      <c r="B850" s="136" t="s">
        <v>257</v>
      </c>
      <c r="C850" s="163">
        <v>22847</v>
      </c>
      <c r="D850" s="169" t="s">
        <v>10</v>
      </c>
      <c r="E850" s="401">
        <v>20</v>
      </c>
      <c r="F850" s="404">
        <f>ROUND($C850*E850,0)</f>
        <v>456940</v>
      </c>
      <c r="G850" s="196">
        <f t="shared" si="68"/>
        <v>1.6</v>
      </c>
      <c r="H850" s="197">
        <f t="shared" si="69"/>
        <v>0.8</v>
      </c>
      <c r="I850" s="169">
        <f t="shared" si="70"/>
        <v>13.6</v>
      </c>
      <c r="J850" s="198">
        <f t="shared" si="71"/>
        <v>4</v>
      </c>
      <c r="K850" s="173">
        <f t="shared" si="72"/>
        <v>20</v>
      </c>
      <c r="L850" s="586"/>
      <c r="M850" s="587"/>
    </row>
    <row r="851" spans="1:13" ht="9.75" customHeight="1" x14ac:dyDescent="0.25">
      <c r="A851" s="255"/>
      <c r="B851" s="597"/>
      <c r="C851" s="236"/>
      <c r="D851" s="589"/>
      <c r="E851" s="590"/>
      <c r="F851" s="598"/>
      <c r="G851" s="196">
        <f t="shared" si="68"/>
        <v>0</v>
      </c>
      <c r="H851" s="197">
        <f t="shared" si="69"/>
        <v>0</v>
      </c>
      <c r="I851" s="169">
        <f t="shared" si="70"/>
        <v>0</v>
      </c>
      <c r="J851" s="198">
        <f t="shared" si="71"/>
        <v>0</v>
      </c>
      <c r="K851" s="173">
        <f t="shared" si="72"/>
        <v>0</v>
      </c>
      <c r="L851" s="591"/>
      <c r="M851" s="592"/>
    </row>
    <row r="852" spans="1:13" ht="57" x14ac:dyDescent="0.25">
      <c r="A852" s="255">
        <v>17.13000000000002</v>
      </c>
      <c r="B852" s="136" t="s">
        <v>256</v>
      </c>
      <c r="C852" s="163">
        <v>22847</v>
      </c>
      <c r="D852" s="169" t="s">
        <v>10</v>
      </c>
      <c r="E852" s="401">
        <v>11</v>
      </c>
      <c r="F852" s="404">
        <f>ROUND($C852*E852,0)</f>
        <v>251317</v>
      </c>
      <c r="G852" s="196">
        <f t="shared" si="68"/>
        <v>0.88</v>
      </c>
      <c r="H852" s="197">
        <f t="shared" si="69"/>
        <v>0.44</v>
      </c>
      <c r="I852" s="169">
        <f t="shared" si="70"/>
        <v>7.48</v>
      </c>
      <c r="J852" s="198">
        <f t="shared" si="71"/>
        <v>2.2000000000000002</v>
      </c>
      <c r="K852" s="173">
        <f t="shared" si="72"/>
        <v>11</v>
      </c>
      <c r="L852" s="586"/>
      <c r="M852" s="587"/>
    </row>
    <row r="853" spans="1:13" ht="9.75" customHeight="1" x14ac:dyDescent="0.25">
      <c r="A853" s="255"/>
      <c r="B853" s="597"/>
      <c r="C853" s="236"/>
      <c r="D853" s="589"/>
      <c r="E853" s="189"/>
      <c r="F853" s="596"/>
      <c r="G853" s="196">
        <f t="shared" si="68"/>
        <v>0</v>
      </c>
      <c r="H853" s="197">
        <f t="shared" si="69"/>
        <v>0</v>
      </c>
      <c r="I853" s="169">
        <f t="shared" si="70"/>
        <v>0</v>
      </c>
      <c r="J853" s="198">
        <f t="shared" si="71"/>
        <v>0</v>
      </c>
      <c r="K853" s="173">
        <f t="shared" si="72"/>
        <v>0</v>
      </c>
      <c r="L853" s="212"/>
      <c r="M853" s="188"/>
    </row>
    <row r="854" spans="1:13" ht="104.25" customHeight="1" x14ac:dyDescent="0.25">
      <c r="A854" s="255">
        <v>17.140000000000022</v>
      </c>
      <c r="B854" s="136" t="s">
        <v>748</v>
      </c>
      <c r="C854" s="163">
        <v>4039</v>
      </c>
      <c r="D854" s="169" t="s">
        <v>11</v>
      </c>
      <c r="E854" s="401">
        <v>208</v>
      </c>
      <c r="F854" s="404">
        <f>ROUND($C854*E854,0)</f>
        <v>840112</v>
      </c>
      <c r="G854" s="196">
        <f t="shared" si="68"/>
        <v>16.64</v>
      </c>
      <c r="H854" s="197">
        <f t="shared" si="69"/>
        <v>8.32</v>
      </c>
      <c r="I854" s="169">
        <f t="shared" si="70"/>
        <v>141.44</v>
      </c>
      <c r="J854" s="198">
        <f t="shared" si="71"/>
        <v>41.6</v>
      </c>
      <c r="K854" s="173">
        <f t="shared" si="72"/>
        <v>208</v>
      </c>
      <c r="L854" s="232">
        <f>ROUND((C854*1)*1.54/10/1.25,2)</f>
        <v>497.6</v>
      </c>
      <c r="M854" s="587"/>
    </row>
    <row r="855" spans="1:13" ht="9.75" customHeight="1" x14ac:dyDescent="0.25">
      <c r="A855" s="255"/>
      <c r="B855" s="597"/>
      <c r="C855" s="236"/>
      <c r="D855" s="589"/>
      <c r="E855" s="189"/>
      <c r="F855" s="596"/>
      <c r="G855" s="196">
        <f t="shared" si="68"/>
        <v>0</v>
      </c>
      <c r="H855" s="197">
        <f t="shared" si="69"/>
        <v>0</v>
      </c>
      <c r="I855" s="169">
        <f t="shared" si="70"/>
        <v>0</v>
      </c>
      <c r="J855" s="198">
        <f t="shared" si="71"/>
        <v>0</v>
      </c>
      <c r="K855" s="173">
        <f t="shared" si="72"/>
        <v>0</v>
      </c>
      <c r="L855" s="212"/>
      <c r="M855" s="188"/>
    </row>
    <row r="856" spans="1:13" ht="142.5" x14ac:dyDescent="0.25">
      <c r="A856" s="255">
        <v>17.150000000000023</v>
      </c>
      <c r="B856" s="136" t="s">
        <v>749</v>
      </c>
      <c r="C856" s="163">
        <v>26981</v>
      </c>
      <c r="D856" s="169" t="s">
        <v>10</v>
      </c>
      <c r="E856" s="401">
        <v>32</v>
      </c>
      <c r="F856" s="404">
        <f>ROUND($C856*E856,0)</f>
        <v>863392</v>
      </c>
      <c r="G856" s="196">
        <f t="shared" si="68"/>
        <v>2.56</v>
      </c>
      <c r="H856" s="197">
        <f t="shared" si="69"/>
        <v>1.28</v>
      </c>
      <c r="I856" s="169">
        <f t="shared" si="70"/>
        <v>21.76</v>
      </c>
      <c r="J856" s="198">
        <f t="shared" si="71"/>
        <v>6.4</v>
      </c>
      <c r="K856" s="173">
        <f t="shared" si="72"/>
        <v>32</v>
      </c>
      <c r="L856" s="586">
        <f>ROUND(C856*1.34/100,2)</f>
        <v>361.55</v>
      </c>
      <c r="M856" s="587"/>
    </row>
    <row r="857" spans="1:13" ht="9.75" customHeight="1" x14ac:dyDescent="0.25">
      <c r="A857" s="260"/>
      <c r="B857" s="599"/>
      <c r="C857" s="600"/>
      <c r="D857" s="601"/>
      <c r="E857" s="602"/>
      <c r="F857" s="603"/>
      <c r="G857" s="196">
        <f t="shared" si="68"/>
        <v>0</v>
      </c>
      <c r="H857" s="197">
        <f t="shared" si="69"/>
        <v>0</v>
      </c>
      <c r="I857" s="169">
        <f t="shared" si="70"/>
        <v>0</v>
      </c>
      <c r="J857" s="198">
        <f t="shared" si="71"/>
        <v>0</v>
      </c>
      <c r="K857" s="173">
        <f t="shared" si="72"/>
        <v>0</v>
      </c>
      <c r="L857" s="604"/>
      <c r="M857" s="605"/>
    </row>
    <row r="858" spans="1:13" ht="117" customHeight="1" x14ac:dyDescent="0.25">
      <c r="A858" s="261">
        <v>17.160000000000025</v>
      </c>
      <c r="B858" s="181" t="s">
        <v>750</v>
      </c>
      <c r="C858" s="182">
        <v>26981</v>
      </c>
      <c r="D858" s="166" t="s">
        <v>10</v>
      </c>
      <c r="E858" s="413">
        <v>38</v>
      </c>
      <c r="F858" s="593">
        <f>ROUND($C858*E858,0)</f>
        <v>1025278</v>
      </c>
      <c r="G858" s="196">
        <f t="shared" si="68"/>
        <v>3.04</v>
      </c>
      <c r="H858" s="197">
        <f t="shared" si="69"/>
        <v>1.52</v>
      </c>
      <c r="I858" s="169">
        <f t="shared" si="70"/>
        <v>25.84</v>
      </c>
      <c r="J858" s="198">
        <f t="shared" si="71"/>
        <v>7.6</v>
      </c>
      <c r="K858" s="173">
        <f t="shared" si="72"/>
        <v>38</v>
      </c>
      <c r="L858" s="586">
        <f>ROUND(C858*2.02/100,2)</f>
        <v>545.02</v>
      </c>
      <c r="M858" s="595"/>
    </row>
    <row r="859" spans="1:13" ht="9.75" customHeight="1" x14ac:dyDescent="0.25">
      <c r="A859" s="255"/>
      <c r="B859" s="597"/>
      <c r="C859" s="236"/>
      <c r="D859" s="589"/>
      <c r="E859" s="189"/>
      <c r="F859" s="596"/>
      <c r="G859" s="196">
        <f t="shared" si="68"/>
        <v>0</v>
      </c>
      <c r="H859" s="197">
        <f t="shared" si="69"/>
        <v>0</v>
      </c>
      <c r="I859" s="169">
        <f t="shared" si="70"/>
        <v>0</v>
      </c>
      <c r="J859" s="198">
        <f t="shared" si="71"/>
        <v>0</v>
      </c>
      <c r="K859" s="173">
        <f t="shared" si="72"/>
        <v>0</v>
      </c>
      <c r="L859" s="212"/>
      <c r="M859" s="188"/>
    </row>
    <row r="860" spans="1:13" ht="159.75" customHeight="1" x14ac:dyDescent="0.25">
      <c r="A860" s="255">
        <v>17.170000000000027</v>
      </c>
      <c r="B860" s="136" t="s">
        <v>751</v>
      </c>
      <c r="C860" s="163">
        <v>3775</v>
      </c>
      <c r="D860" s="169" t="s">
        <v>122</v>
      </c>
      <c r="E860" s="401">
        <v>186.31</v>
      </c>
      <c r="F860" s="404">
        <f>ROUND($C860*E860,0)</f>
        <v>703320</v>
      </c>
      <c r="G860" s="196">
        <f t="shared" si="68"/>
        <v>14.9</v>
      </c>
      <c r="H860" s="197">
        <f t="shared" si="69"/>
        <v>7.45</v>
      </c>
      <c r="I860" s="169">
        <f t="shared" si="70"/>
        <v>126.69</v>
      </c>
      <c r="J860" s="198">
        <f t="shared" si="71"/>
        <v>37.26</v>
      </c>
      <c r="K860" s="173">
        <f t="shared" si="72"/>
        <v>186.29999999999998</v>
      </c>
      <c r="L860" s="586"/>
      <c r="M860" s="587">
        <f>C860*1.03</f>
        <v>3888.25</v>
      </c>
    </row>
    <row r="861" spans="1:13" ht="9.9499999999999993" customHeight="1" x14ac:dyDescent="0.25">
      <c r="A861" s="255"/>
      <c r="B861" s="597"/>
      <c r="C861" s="236"/>
      <c r="D861" s="589"/>
      <c r="E861" s="189"/>
      <c r="F861" s="596"/>
      <c r="G861" s="196">
        <f t="shared" si="68"/>
        <v>0</v>
      </c>
      <c r="H861" s="197">
        <f t="shared" si="69"/>
        <v>0</v>
      </c>
      <c r="I861" s="169">
        <f t="shared" si="70"/>
        <v>0</v>
      </c>
      <c r="J861" s="198">
        <f t="shared" si="71"/>
        <v>0</v>
      </c>
      <c r="K861" s="173">
        <f t="shared" si="72"/>
        <v>0</v>
      </c>
      <c r="L861" s="212"/>
      <c r="M861" s="188"/>
    </row>
    <row r="862" spans="1:13" ht="146.25" customHeight="1" x14ac:dyDescent="0.25">
      <c r="A862" s="255">
        <v>17.180000000000028</v>
      </c>
      <c r="B862" s="136" t="s">
        <v>752</v>
      </c>
      <c r="C862" s="163">
        <v>1971</v>
      </c>
      <c r="D862" s="169" t="s">
        <v>122</v>
      </c>
      <c r="E862" s="401">
        <v>186.31</v>
      </c>
      <c r="F862" s="404">
        <f>ROUND($C862*E862,0)</f>
        <v>367217</v>
      </c>
      <c r="G862" s="196">
        <f t="shared" si="68"/>
        <v>14.9</v>
      </c>
      <c r="H862" s="197">
        <f t="shared" si="69"/>
        <v>7.45</v>
      </c>
      <c r="I862" s="169">
        <f t="shared" si="70"/>
        <v>126.69</v>
      </c>
      <c r="J862" s="198">
        <f t="shared" si="71"/>
        <v>37.26</v>
      </c>
      <c r="K862" s="173">
        <f t="shared" si="72"/>
        <v>186.29999999999998</v>
      </c>
      <c r="L862" s="586"/>
      <c r="M862" s="587">
        <f>C862*1.03</f>
        <v>2030.13</v>
      </c>
    </row>
    <row r="863" spans="1:13" ht="9.9499999999999993" customHeight="1" x14ac:dyDescent="0.25">
      <c r="A863" s="260"/>
      <c r="B863" s="599"/>
      <c r="C863" s="600"/>
      <c r="D863" s="601"/>
      <c r="E863" s="222"/>
      <c r="F863" s="606"/>
      <c r="G863" s="196">
        <f t="shared" si="68"/>
        <v>0</v>
      </c>
      <c r="H863" s="197">
        <f t="shared" si="69"/>
        <v>0</v>
      </c>
      <c r="I863" s="169">
        <f t="shared" si="70"/>
        <v>0</v>
      </c>
      <c r="J863" s="198">
        <f t="shared" si="71"/>
        <v>0</v>
      </c>
      <c r="K863" s="173">
        <f t="shared" si="72"/>
        <v>0</v>
      </c>
      <c r="L863" s="224"/>
      <c r="M863" s="221"/>
    </row>
    <row r="864" spans="1:13" ht="218.25" customHeight="1" x14ac:dyDescent="0.25">
      <c r="A864" s="261">
        <v>17.19000000000003</v>
      </c>
      <c r="B864" s="181" t="s">
        <v>753</v>
      </c>
      <c r="C864" s="182"/>
      <c r="D864" s="166"/>
      <c r="E864" s="182"/>
      <c r="F864" s="231"/>
      <c r="G864" s="196">
        <f t="shared" si="68"/>
        <v>0</v>
      </c>
      <c r="H864" s="197">
        <f t="shared" si="69"/>
        <v>0</v>
      </c>
      <c r="I864" s="169">
        <f t="shared" si="70"/>
        <v>0</v>
      </c>
      <c r="J864" s="198">
        <f t="shared" si="71"/>
        <v>0</v>
      </c>
      <c r="K864" s="173">
        <f t="shared" si="72"/>
        <v>0</v>
      </c>
      <c r="L864" s="251"/>
      <c r="M864" s="182"/>
    </row>
    <row r="865" spans="1:18" x14ac:dyDescent="0.25">
      <c r="A865" s="255" t="s">
        <v>4</v>
      </c>
      <c r="B865" s="588" t="s">
        <v>142</v>
      </c>
      <c r="C865" s="236">
        <v>5937</v>
      </c>
      <c r="D865" s="589" t="s">
        <v>10</v>
      </c>
      <c r="E865" s="590">
        <v>120</v>
      </c>
      <c r="F865" s="404">
        <f>ROUND($C865*E865,0)</f>
        <v>712440</v>
      </c>
      <c r="G865" s="196">
        <f t="shared" si="68"/>
        <v>9.6</v>
      </c>
      <c r="H865" s="197">
        <f t="shared" si="69"/>
        <v>4.8</v>
      </c>
      <c r="I865" s="169">
        <f t="shared" si="70"/>
        <v>81.599999999999994</v>
      </c>
      <c r="J865" s="198">
        <f t="shared" si="71"/>
        <v>24</v>
      </c>
      <c r="K865" s="173">
        <f t="shared" si="72"/>
        <v>120</v>
      </c>
      <c r="L865" s="586">
        <f>ROUND((C865*0.26)*1.54/4/1.25,2)</f>
        <v>475.43</v>
      </c>
      <c r="M865" s="592"/>
      <c r="N865" s="153">
        <f>80/1000</f>
        <v>0.08</v>
      </c>
      <c r="O865" s="153">
        <f>N865*3.281</f>
        <v>0.26247999999999999</v>
      </c>
    </row>
    <row r="866" spans="1:18" x14ac:dyDescent="0.25">
      <c r="A866" s="255" t="s">
        <v>48</v>
      </c>
      <c r="B866" s="588" t="s">
        <v>143</v>
      </c>
      <c r="C866" s="236">
        <v>3958</v>
      </c>
      <c r="D866" s="589" t="s">
        <v>10</v>
      </c>
      <c r="E866" s="590">
        <v>105</v>
      </c>
      <c r="F866" s="404">
        <f>ROUND($C866*E866,0)</f>
        <v>415590</v>
      </c>
      <c r="G866" s="196">
        <f t="shared" si="68"/>
        <v>8.4</v>
      </c>
      <c r="H866" s="197">
        <f t="shared" si="69"/>
        <v>4.2</v>
      </c>
      <c r="I866" s="169">
        <f t="shared" si="70"/>
        <v>71.400000000000006</v>
      </c>
      <c r="J866" s="198">
        <f t="shared" si="71"/>
        <v>21</v>
      </c>
      <c r="K866" s="173">
        <f t="shared" si="72"/>
        <v>105</v>
      </c>
      <c r="L866" s="586">
        <f>ROUND((C866*0.2)*1.54/4/1.25,2)</f>
        <v>243.81</v>
      </c>
      <c r="M866" s="592"/>
      <c r="N866" s="153">
        <f>60/1000</f>
        <v>0.06</v>
      </c>
      <c r="O866" s="153">
        <f>N866*3.281</f>
        <v>0.19686000000000001</v>
      </c>
    </row>
    <row r="867" spans="1:18" ht="9.9499999999999993" customHeight="1" x14ac:dyDescent="0.25">
      <c r="A867" s="255"/>
      <c r="B867" s="597"/>
      <c r="C867" s="236"/>
      <c r="D867" s="589"/>
      <c r="E867" s="189"/>
      <c r="F867" s="596"/>
      <c r="G867" s="196">
        <f t="shared" si="68"/>
        <v>0</v>
      </c>
      <c r="H867" s="197">
        <f t="shared" si="69"/>
        <v>0</v>
      </c>
      <c r="I867" s="169">
        <f t="shared" si="70"/>
        <v>0</v>
      </c>
      <c r="J867" s="198">
        <f t="shared" si="71"/>
        <v>0</v>
      </c>
      <c r="K867" s="173">
        <f t="shared" si="72"/>
        <v>0</v>
      </c>
      <c r="L867" s="212"/>
      <c r="M867" s="188"/>
    </row>
    <row r="868" spans="1:18" ht="57" x14ac:dyDescent="0.25">
      <c r="A868" s="255">
        <v>17.200000000000031</v>
      </c>
      <c r="B868" s="136" t="s">
        <v>754</v>
      </c>
      <c r="C868" s="163">
        <v>2200</v>
      </c>
      <c r="D868" s="169" t="s">
        <v>287</v>
      </c>
      <c r="E868" s="401">
        <v>180</v>
      </c>
      <c r="F868" s="404">
        <f>ROUND($C868*E868,0)</f>
        <v>396000</v>
      </c>
      <c r="G868" s="196">
        <f t="shared" si="68"/>
        <v>14.4</v>
      </c>
      <c r="H868" s="197">
        <f t="shared" si="69"/>
        <v>7.2</v>
      </c>
      <c r="I868" s="169">
        <f t="shared" si="70"/>
        <v>122.4</v>
      </c>
      <c r="J868" s="198">
        <f t="shared" si="71"/>
        <v>36</v>
      </c>
      <c r="K868" s="173">
        <f t="shared" si="72"/>
        <v>180</v>
      </c>
      <c r="L868" s="586">
        <f>ROUND((C868*0.46)*1.54/7/1.25,2)</f>
        <v>178.11</v>
      </c>
      <c r="M868" s="587"/>
      <c r="Q868" s="153">
        <f>0.5*0.5</f>
        <v>0.25</v>
      </c>
      <c r="R868" s="153">
        <f>0.5*0.415</f>
        <v>0.20749999999999999</v>
      </c>
    </row>
    <row r="869" spans="1:18" ht="15" x14ac:dyDescent="0.25">
      <c r="A869" s="255"/>
      <c r="B869" s="597"/>
      <c r="C869" s="236"/>
      <c r="D869" s="589"/>
      <c r="E869" s="189"/>
      <c r="F869" s="596"/>
      <c r="G869" s="196">
        <f t="shared" si="68"/>
        <v>0</v>
      </c>
      <c r="H869" s="197">
        <f t="shared" si="69"/>
        <v>0</v>
      </c>
      <c r="I869" s="169">
        <f t="shared" si="70"/>
        <v>0</v>
      </c>
      <c r="J869" s="198">
        <f t="shared" si="71"/>
        <v>0</v>
      </c>
      <c r="K869" s="173">
        <f t="shared" si="72"/>
        <v>0</v>
      </c>
      <c r="L869" s="212"/>
      <c r="M869" s="188"/>
    </row>
    <row r="870" spans="1:18" ht="42.75" x14ac:dyDescent="0.25">
      <c r="A870" s="255">
        <v>17.210000000000033</v>
      </c>
      <c r="B870" s="136" t="s">
        <v>755</v>
      </c>
      <c r="C870" s="163">
        <v>2200</v>
      </c>
      <c r="D870" s="169" t="s">
        <v>287</v>
      </c>
      <c r="E870" s="401">
        <v>180</v>
      </c>
      <c r="F870" s="404">
        <f>ROUND($C870*E870,0)</f>
        <v>396000</v>
      </c>
      <c r="G870" s="196">
        <f t="shared" si="68"/>
        <v>14.4</v>
      </c>
      <c r="H870" s="197">
        <f t="shared" si="69"/>
        <v>7.2</v>
      </c>
      <c r="I870" s="169">
        <f t="shared" si="70"/>
        <v>122.4</v>
      </c>
      <c r="J870" s="198">
        <f t="shared" si="71"/>
        <v>36</v>
      </c>
      <c r="K870" s="173">
        <f t="shared" si="72"/>
        <v>180</v>
      </c>
      <c r="L870" s="586">
        <f>ROUND((C870*0.67*0.33)*1.54/7/1.25,2)</f>
        <v>85.61</v>
      </c>
      <c r="M870" s="587"/>
    </row>
    <row r="871" spans="1:18" ht="15" x14ac:dyDescent="0.25">
      <c r="A871" s="255"/>
      <c r="B871" s="597"/>
      <c r="C871" s="236"/>
      <c r="D871" s="589"/>
      <c r="E871" s="189"/>
      <c r="F871" s="596"/>
      <c r="G871" s="196">
        <f t="shared" si="68"/>
        <v>0</v>
      </c>
      <c r="H871" s="197">
        <f t="shared" si="69"/>
        <v>0</v>
      </c>
      <c r="I871" s="169">
        <f t="shared" si="70"/>
        <v>0</v>
      </c>
      <c r="J871" s="198">
        <f t="shared" si="71"/>
        <v>0</v>
      </c>
      <c r="K871" s="173">
        <f t="shared" si="72"/>
        <v>0</v>
      </c>
      <c r="L871" s="212"/>
      <c r="M871" s="188"/>
    </row>
    <row r="872" spans="1:18" ht="75.75" customHeight="1" x14ac:dyDescent="0.25">
      <c r="A872" s="255">
        <v>17.220000000000034</v>
      </c>
      <c r="B872" s="136" t="s">
        <v>756</v>
      </c>
      <c r="C872" s="163">
        <v>23</v>
      </c>
      <c r="D872" s="169" t="s">
        <v>10</v>
      </c>
      <c r="E872" s="401">
        <v>220</v>
      </c>
      <c r="F872" s="404">
        <f>ROUND($C872*E872,0)</f>
        <v>5060</v>
      </c>
      <c r="G872" s="196">
        <f t="shared" si="68"/>
        <v>17.600000000000001</v>
      </c>
      <c r="H872" s="197">
        <f t="shared" si="69"/>
        <v>8.8000000000000007</v>
      </c>
      <c r="I872" s="169">
        <f t="shared" si="70"/>
        <v>149.6</v>
      </c>
      <c r="J872" s="198">
        <f t="shared" si="71"/>
        <v>44</v>
      </c>
      <c r="K872" s="173">
        <f t="shared" si="72"/>
        <v>220</v>
      </c>
      <c r="L872" s="586"/>
      <c r="M872" s="587"/>
    </row>
    <row r="873" spans="1:18" x14ac:dyDescent="0.25">
      <c r="A873" s="255"/>
      <c r="B873" s="136"/>
      <c r="C873" s="163"/>
      <c r="D873" s="169"/>
      <c r="E873" s="163"/>
      <c r="F873" s="210"/>
      <c r="G873" s="196">
        <f t="shared" si="68"/>
        <v>0</v>
      </c>
      <c r="H873" s="197">
        <f t="shared" si="69"/>
        <v>0</v>
      </c>
      <c r="I873" s="169">
        <f t="shared" si="70"/>
        <v>0</v>
      </c>
      <c r="J873" s="198">
        <f t="shared" si="71"/>
        <v>0</v>
      </c>
      <c r="K873" s="173">
        <f t="shared" si="72"/>
        <v>0</v>
      </c>
      <c r="L873" s="174"/>
      <c r="M873" s="163"/>
    </row>
    <row r="874" spans="1:18" ht="132" customHeight="1" x14ac:dyDescent="0.25">
      <c r="A874" s="255">
        <v>17.230000000000036</v>
      </c>
      <c r="B874" s="136" t="s">
        <v>757</v>
      </c>
      <c r="C874" s="163">
        <v>22</v>
      </c>
      <c r="D874" s="169" t="s">
        <v>326</v>
      </c>
      <c r="E874" s="607">
        <v>600</v>
      </c>
      <c r="F874" s="404">
        <f>ROUND($C874*E874,0)</f>
        <v>13200</v>
      </c>
      <c r="G874" s="196">
        <f t="shared" si="68"/>
        <v>48</v>
      </c>
      <c r="H874" s="197">
        <f t="shared" si="69"/>
        <v>24</v>
      </c>
      <c r="I874" s="169">
        <f t="shared" si="70"/>
        <v>408</v>
      </c>
      <c r="J874" s="198">
        <f t="shared" si="71"/>
        <v>120</v>
      </c>
      <c r="K874" s="173">
        <f t="shared" si="72"/>
        <v>600</v>
      </c>
      <c r="L874" s="608"/>
      <c r="M874" s="609"/>
    </row>
    <row r="875" spans="1:18" x14ac:dyDescent="0.25">
      <c r="A875" s="260"/>
      <c r="B875" s="176"/>
      <c r="C875" s="177"/>
      <c r="D875" s="186"/>
      <c r="E875" s="267"/>
      <c r="F875" s="239"/>
      <c r="G875" s="196">
        <f t="shared" si="68"/>
        <v>0</v>
      </c>
      <c r="H875" s="197">
        <f t="shared" si="69"/>
        <v>0</v>
      </c>
      <c r="I875" s="169">
        <f t="shared" si="70"/>
        <v>0</v>
      </c>
      <c r="J875" s="198">
        <f t="shared" si="71"/>
        <v>0</v>
      </c>
      <c r="K875" s="173">
        <f t="shared" si="72"/>
        <v>0</v>
      </c>
      <c r="L875" s="610"/>
      <c r="M875" s="611"/>
    </row>
    <row r="876" spans="1:18" ht="63" customHeight="1" x14ac:dyDescent="0.25">
      <c r="A876" s="261">
        <v>17.240000000000038</v>
      </c>
      <c r="B876" s="181" t="s">
        <v>758</v>
      </c>
      <c r="C876" s="182">
        <v>9</v>
      </c>
      <c r="D876" s="166" t="s">
        <v>326</v>
      </c>
      <c r="E876" s="612">
        <v>2000</v>
      </c>
      <c r="F876" s="593">
        <f>ROUND($C876*E876,0)</f>
        <v>18000</v>
      </c>
      <c r="G876" s="196">
        <f t="shared" si="68"/>
        <v>160</v>
      </c>
      <c r="H876" s="197">
        <f t="shared" si="69"/>
        <v>80</v>
      </c>
      <c r="I876" s="169">
        <f t="shared" si="70"/>
        <v>1360</v>
      </c>
      <c r="J876" s="198">
        <f t="shared" si="71"/>
        <v>400</v>
      </c>
      <c r="K876" s="173">
        <f t="shared" si="72"/>
        <v>2000</v>
      </c>
      <c r="L876" s="613"/>
      <c r="M876" s="614"/>
    </row>
    <row r="877" spans="1:18" x14ac:dyDescent="0.25">
      <c r="A877" s="255"/>
      <c r="B877" s="136"/>
      <c r="C877" s="163"/>
      <c r="D877" s="169"/>
      <c r="E877" s="163"/>
      <c r="F877" s="210"/>
      <c r="G877" s="196">
        <f t="shared" si="68"/>
        <v>0</v>
      </c>
      <c r="H877" s="197">
        <f t="shared" si="69"/>
        <v>0</v>
      </c>
      <c r="I877" s="169">
        <f t="shared" si="70"/>
        <v>0</v>
      </c>
      <c r="J877" s="198">
        <f t="shared" si="71"/>
        <v>0</v>
      </c>
      <c r="K877" s="173">
        <f t="shared" si="72"/>
        <v>0</v>
      </c>
      <c r="L877" s="174"/>
      <c r="M877" s="163"/>
    </row>
    <row r="878" spans="1:18" ht="71.25" x14ac:dyDescent="0.25">
      <c r="A878" s="255">
        <v>17.250000000000039</v>
      </c>
      <c r="B878" s="136" t="s">
        <v>99</v>
      </c>
      <c r="C878" s="163">
        <v>825</v>
      </c>
      <c r="D878" s="169" t="s">
        <v>11</v>
      </c>
      <c r="E878" s="401">
        <v>27.49</v>
      </c>
      <c r="F878" s="404">
        <f>ROUND($C878*E878,0)</f>
        <v>22679</v>
      </c>
      <c r="G878" s="196">
        <f t="shared" si="68"/>
        <v>2.2000000000000002</v>
      </c>
      <c r="H878" s="197">
        <f t="shared" si="69"/>
        <v>1.1000000000000001</v>
      </c>
      <c r="I878" s="169">
        <f t="shared" si="70"/>
        <v>18.690000000000001</v>
      </c>
      <c r="J878" s="198">
        <f t="shared" si="71"/>
        <v>5.5</v>
      </c>
      <c r="K878" s="173">
        <f t="shared" si="72"/>
        <v>27.490000000000002</v>
      </c>
      <c r="L878" s="586"/>
      <c r="M878" s="587"/>
    </row>
    <row r="879" spans="1:18" ht="7.5" customHeight="1" x14ac:dyDescent="0.25">
      <c r="A879" s="255"/>
      <c r="B879" s="136"/>
      <c r="C879" s="163"/>
      <c r="D879" s="169"/>
      <c r="E879" s="163"/>
      <c r="F879" s="210"/>
      <c r="G879" s="196">
        <f t="shared" si="68"/>
        <v>0</v>
      </c>
      <c r="H879" s="197">
        <f t="shared" si="69"/>
        <v>0</v>
      </c>
      <c r="I879" s="169">
        <f t="shared" si="70"/>
        <v>0</v>
      </c>
      <c r="J879" s="198">
        <f t="shared" si="71"/>
        <v>0</v>
      </c>
      <c r="K879" s="173">
        <f t="shared" si="72"/>
        <v>0</v>
      </c>
      <c r="L879" s="174"/>
      <c r="M879" s="163"/>
    </row>
    <row r="880" spans="1:18" ht="76.5" customHeight="1" x14ac:dyDescent="0.25">
      <c r="A880" s="255">
        <v>17.260000000000041</v>
      </c>
      <c r="B880" s="597" t="s">
        <v>100</v>
      </c>
      <c r="C880" s="236">
        <v>413</v>
      </c>
      <c r="D880" s="589" t="s">
        <v>11</v>
      </c>
      <c r="E880" s="590">
        <v>27.49</v>
      </c>
      <c r="F880" s="404">
        <f>ROUND($C880*E880,0)</f>
        <v>11353</v>
      </c>
      <c r="G880" s="196">
        <f t="shared" si="68"/>
        <v>2.2000000000000002</v>
      </c>
      <c r="H880" s="197">
        <f t="shared" si="69"/>
        <v>1.1000000000000001</v>
      </c>
      <c r="I880" s="169">
        <f t="shared" si="70"/>
        <v>18.690000000000001</v>
      </c>
      <c r="J880" s="198">
        <f t="shared" si="71"/>
        <v>5.5</v>
      </c>
      <c r="K880" s="173">
        <f t="shared" si="72"/>
        <v>27.490000000000002</v>
      </c>
      <c r="L880" s="591"/>
      <c r="M880" s="592"/>
    </row>
    <row r="881" spans="1:13" x14ac:dyDescent="0.25">
      <c r="A881" s="255"/>
      <c r="B881" s="136"/>
      <c r="C881" s="163"/>
      <c r="D881" s="169"/>
      <c r="E881" s="401"/>
      <c r="F881" s="404"/>
      <c r="G881" s="196">
        <f t="shared" si="68"/>
        <v>0</v>
      </c>
      <c r="H881" s="197">
        <f t="shared" si="69"/>
        <v>0</v>
      </c>
      <c r="I881" s="169">
        <f t="shared" si="70"/>
        <v>0</v>
      </c>
      <c r="J881" s="198">
        <f t="shared" si="71"/>
        <v>0</v>
      </c>
      <c r="K881" s="173">
        <f t="shared" si="72"/>
        <v>0</v>
      </c>
      <c r="L881" s="586"/>
      <c r="M881" s="587"/>
    </row>
    <row r="882" spans="1:13" ht="57" x14ac:dyDescent="0.25">
      <c r="A882" s="255">
        <v>17.270000000000042</v>
      </c>
      <c r="B882" s="597" t="s">
        <v>101</v>
      </c>
      <c r="C882" s="236">
        <v>1650</v>
      </c>
      <c r="D882" s="589" t="s">
        <v>10</v>
      </c>
      <c r="E882" s="590">
        <v>8.18</v>
      </c>
      <c r="F882" s="404">
        <f>ROUND($C882*E882,0)</f>
        <v>13497</v>
      </c>
      <c r="G882" s="196">
        <f t="shared" si="68"/>
        <v>0.65</v>
      </c>
      <c r="H882" s="197">
        <f t="shared" si="69"/>
        <v>0.33</v>
      </c>
      <c r="I882" s="169">
        <f t="shared" si="70"/>
        <v>5.56</v>
      </c>
      <c r="J882" s="198">
        <f t="shared" si="71"/>
        <v>1.64</v>
      </c>
      <c r="K882" s="173">
        <f t="shared" si="72"/>
        <v>8.18</v>
      </c>
      <c r="L882" s="591"/>
      <c r="M882" s="592"/>
    </row>
    <row r="883" spans="1:13" x14ac:dyDescent="0.25">
      <c r="A883" s="255"/>
      <c r="B883" s="136"/>
      <c r="C883" s="163"/>
      <c r="D883" s="169"/>
      <c r="E883" s="163"/>
      <c r="F883" s="210"/>
      <c r="G883" s="196">
        <f t="shared" si="68"/>
        <v>0</v>
      </c>
      <c r="H883" s="197">
        <f t="shared" si="69"/>
        <v>0</v>
      </c>
      <c r="I883" s="169">
        <f t="shared" si="70"/>
        <v>0</v>
      </c>
      <c r="J883" s="198">
        <f t="shared" si="71"/>
        <v>0</v>
      </c>
      <c r="K883" s="173">
        <f t="shared" si="72"/>
        <v>0</v>
      </c>
      <c r="L883" s="174"/>
      <c r="M883" s="163"/>
    </row>
    <row r="884" spans="1:13" x14ac:dyDescent="0.25">
      <c r="A884" s="255">
        <v>17.280000000000044</v>
      </c>
      <c r="B884" s="597" t="s">
        <v>102</v>
      </c>
      <c r="C884" s="236">
        <v>330</v>
      </c>
      <c r="D884" s="589" t="s">
        <v>10</v>
      </c>
      <c r="E884" s="590">
        <v>25.57</v>
      </c>
      <c r="F884" s="404">
        <f>ROUND($C884*E884,0)</f>
        <v>8438</v>
      </c>
      <c r="G884" s="196">
        <f t="shared" si="68"/>
        <v>2.0499999999999998</v>
      </c>
      <c r="H884" s="197">
        <f t="shared" si="69"/>
        <v>1.02</v>
      </c>
      <c r="I884" s="169">
        <f t="shared" si="70"/>
        <v>17.39</v>
      </c>
      <c r="J884" s="198">
        <f t="shared" si="71"/>
        <v>5.1100000000000003</v>
      </c>
      <c r="K884" s="173">
        <f t="shared" si="72"/>
        <v>25.57</v>
      </c>
      <c r="L884" s="591"/>
      <c r="M884" s="592"/>
    </row>
    <row r="885" spans="1:13" ht="11.25" customHeight="1" x14ac:dyDescent="0.25">
      <c r="A885" s="255"/>
      <c r="B885" s="597"/>
      <c r="C885" s="236"/>
      <c r="D885" s="589"/>
      <c r="E885" s="590"/>
      <c r="F885" s="404"/>
      <c r="G885" s="196">
        <f t="shared" si="68"/>
        <v>0</v>
      </c>
      <c r="H885" s="197">
        <f t="shared" si="69"/>
        <v>0</v>
      </c>
      <c r="I885" s="169">
        <f t="shared" si="70"/>
        <v>0</v>
      </c>
      <c r="J885" s="198">
        <f t="shared" si="71"/>
        <v>0</v>
      </c>
      <c r="K885" s="173">
        <f t="shared" si="72"/>
        <v>0</v>
      </c>
      <c r="L885" s="591"/>
      <c r="M885" s="592"/>
    </row>
    <row r="886" spans="1:13" ht="58.5" customHeight="1" x14ac:dyDescent="0.25">
      <c r="A886" s="255">
        <v>17.290000000000045</v>
      </c>
      <c r="B886" s="597" t="s">
        <v>759</v>
      </c>
      <c r="C886" s="236"/>
      <c r="D886" s="589"/>
      <c r="E886" s="590"/>
      <c r="F886" s="404"/>
      <c r="G886" s="196">
        <f t="shared" si="68"/>
        <v>0</v>
      </c>
      <c r="H886" s="197">
        <f t="shared" si="69"/>
        <v>0</v>
      </c>
      <c r="I886" s="169">
        <f t="shared" si="70"/>
        <v>0</v>
      </c>
      <c r="J886" s="198">
        <f t="shared" si="71"/>
        <v>0</v>
      </c>
      <c r="K886" s="173">
        <f t="shared" si="72"/>
        <v>0</v>
      </c>
      <c r="L886" s="591"/>
      <c r="M886" s="592"/>
    </row>
    <row r="887" spans="1:13" x14ac:dyDescent="0.25">
      <c r="A887" s="255" t="s">
        <v>4</v>
      </c>
      <c r="B887" s="597" t="s">
        <v>760</v>
      </c>
      <c r="C887" s="236">
        <v>23</v>
      </c>
      <c r="D887" s="589" t="s">
        <v>326</v>
      </c>
      <c r="E887" s="590">
        <v>1000</v>
      </c>
      <c r="F887" s="404">
        <f>ROUND($C887*E887,0)</f>
        <v>23000</v>
      </c>
      <c r="G887" s="196">
        <f t="shared" si="68"/>
        <v>80</v>
      </c>
      <c r="H887" s="197">
        <f t="shared" si="69"/>
        <v>40</v>
      </c>
      <c r="I887" s="169">
        <f t="shared" si="70"/>
        <v>680</v>
      </c>
      <c r="J887" s="198">
        <f t="shared" si="71"/>
        <v>200</v>
      </c>
      <c r="K887" s="173">
        <f t="shared" si="72"/>
        <v>1000</v>
      </c>
      <c r="L887" s="591"/>
      <c r="M887" s="592"/>
    </row>
    <row r="888" spans="1:13" x14ac:dyDescent="0.25">
      <c r="A888" s="255" t="s">
        <v>48</v>
      </c>
      <c r="B888" s="597" t="s">
        <v>761</v>
      </c>
      <c r="C888" s="236">
        <v>46</v>
      </c>
      <c r="D888" s="589" t="s">
        <v>326</v>
      </c>
      <c r="E888" s="590">
        <v>1000</v>
      </c>
      <c r="F888" s="404">
        <f>ROUND($C888*E888,0)</f>
        <v>46000</v>
      </c>
      <c r="G888" s="196">
        <f t="shared" si="68"/>
        <v>80</v>
      </c>
      <c r="H888" s="197">
        <f t="shared" si="69"/>
        <v>40</v>
      </c>
      <c r="I888" s="169">
        <f t="shared" si="70"/>
        <v>680</v>
      </c>
      <c r="J888" s="198">
        <f t="shared" si="71"/>
        <v>200</v>
      </c>
      <c r="K888" s="173">
        <f t="shared" si="72"/>
        <v>1000</v>
      </c>
      <c r="L888" s="591"/>
      <c r="M888" s="592"/>
    </row>
    <row r="889" spans="1:13" x14ac:dyDescent="0.25">
      <c r="A889" s="260"/>
      <c r="B889" s="599"/>
      <c r="C889" s="601"/>
      <c r="D889" s="601"/>
      <c r="E889" s="602"/>
      <c r="F889" s="409"/>
      <c r="G889" s="196">
        <f t="shared" si="68"/>
        <v>0</v>
      </c>
      <c r="H889" s="197">
        <f t="shared" si="69"/>
        <v>0</v>
      </c>
      <c r="I889" s="169">
        <f t="shared" si="70"/>
        <v>0</v>
      </c>
      <c r="J889" s="198">
        <f t="shared" si="71"/>
        <v>0</v>
      </c>
      <c r="K889" s="173">
        <f t="shared" si="72"/>
        <v>0</v>
      </c>
      <c r="L889" s="604"/>
      <c r="M889" s="605"/>
    </row>
    <row r="890" spans="1:13" s="585" customFormat="1" ht="15" customHeight="1" x14ac:dyDescent="0.25">
      <c r="A890" s="578" t="s">
        <v>762</v>
      </c>
      <c r="B890" s="579"/>
      <c r="C890" s="580"/>
      <c r="D890" s="581"/>
      <c r="E890" s="582"/>
      <c r="F890" s="583"/>
      <c r="G890" s="196">
        <f t="shared" si="68"/>
        <v>0</v>
      </c>
      <c r="H890" s="197">
        <f t="shared" si="69"/>
        <v>0</v>
      </c>
      <c r="I890" s="169">
        <f t="shared" si="70"/>
        <v>0</v>
      </c>
      <c r="J890" s="198">
        <f t="shared" si="71"/>
        <v>0</v>
      </c>
      <c r="K890" s="173">
        <f t="shared" si="72"/>
        <v>0</v>
      </c>
      <c r="L890" s="584"/>
      <c r="M890" s="584"/>
    </row>
    <row r="891" spans="1:13" s="585" customFormat="1" ht="6.95" customHeight="1" x14ac:dyDescent="0.25">
      <c r="A891" s="615"/>
      <c r="B891" s="616"/>
      <c r="C891" s="617"/>
      <c r="D891" s="618"/>
      <c r="E891" s="619"/>
      <c r="F891" s="619"/>
      <c r="G891" s="196">
        <f t="shared" si="68"/>
        <v>0</v>
      </c>
      <c r="H891" s="197">
        <f t="shared" si="69"/>
        <v>0</v>
      </c>
      <c r="I891" s="169">
        <f t="shared" si="70"/>
        <v>0</v>
      </c>
      <c r="J891" s="198">
        <f t="shared" si="71"/>
        <v>0</v>
      </c>
      <c r="K891" s="173">
        <f t="shared" si="72"/>
        <v>0</v>
      </c>
      <c r="L891" s="620"/>
      <c r="M891" s="620"/>
    </row>
    <row r="892" spans="1:13" s="585" customFormat="1" ht="15" customHeight="1" x14ac:dyDescent="0.25">
      <c r="A892" s="578" t="s">
        <v>763</v>
      </c>
      <c r="B892" s="579"/>
      <c r="C892" s="580"/>
      <c r="D892" s="581"/>
      <c r="E892" s="582"/>
      <c r="F892" s="583"/>
      <c r="G892" s="196">
        <f t="shared" si="68"/>
        <v>0</v>
      </c>
      <c r="H892" s="197">
        <f t="shared" si="69"/>
        <v>0</v>
      </c>
      <c r="I892" s="169">
        <f t="shared" si="70"/>
        <v>0</v>
      </c>
      <c r="J892" s="198">
        <f t="shared" si="71"/>
        <v>0</v>
      </c>
      <c r="K892" s="173">
        <f t="shared" si="72"/>
        <v>0</v>
      </c>
      <c r="L892" s="584"/>
      <c r="M892" s="584"/>
    </row>
    <row r="893" spans="1:13" s="585" customFormat="1" ht="60.75" customHeight="1" x14ac:dyDescent="0.25">
      <c r="A893" s="255">
        <v>17.300000000000047</v>
      </c>
      <c r="B893" s="621" t="s">
        <v>764</v>
      </c>
      <c r="C893" s="622">
        <v>1</v>
      </c>
      <c r="D893" s="622" t="s">
        <v>86</v>
      </c>
      <c r="E893" s="623">
        <v>3121250</v>
      </c>
      <c r="F893" s="624"/>
      <c r="G893" s="196">
        <f t="shared" si="68"/>
        <v>249700</v>
      </c>
      <c r="H893" s="197">
        <f t="shared" si="69"/>
        <v>124850</v>
      </c>
      <c r="I893" s="169">
        <f t="shared" si="70"/>
        <v>2122450</v>
      </c>
      <c r="J893" s="198">
        <f t="shared" si="71"/>
        <v>624250</v>
      </c>
      <c r="K893" s="173">
        <f t="shared" si="72"/>
        <v>3121250</v>
      </c>
      <c r="L893" s="625"/>
      <c r="M893" s="623"/>
    </row>
    <row r="894" spans="1:13" s="585" customFormat="1" ht="6.95" customHeight="1" x14ac:dyDescent="0.25">
      <c r="A894" s="626"/>
      <c r="B894" s="621"/>
      <c r="C894" s="627"/>
      <c r="D894" s="622"/>
      <c r="E894" s="623"/>
      <c r="F894" s="624"/>
      <c r="G894" s="196">
        <f t="shared" si="68"/>
        <v>0</v>
      </c>
      <c r="H894" s="197">
        <f t="shared" si="69"/>
        <v>0</v>
      </c>
      <c r="I894" s="169">
        <f t="shared" si="70"/>
        <v>0</v>
      </c>
      <c r="J894" s="198">
        <f t="shared" si="71"/>
        <v>0</v>
      </c>
      <c r="K894" s="173">
        <f t="shared" si="72"/>
        <v>0</v>
      </c>
      <c r="L894" s="628"/>
      <c r="M894" s="629"/>
    </row>
    <row r="895" spans="1:13" s="585" customFormat="1" ht="15" customHeight="1" x14ac:dyDescent="0.25">
      <c r="A895" s="578" t="s">
        <v>765</v>
      </c>
      <c r="B895" s="579"/>
      <c r="C895" s="580"/>
      <c r="D895" s="581"/>
      <c r="E895" s="582"/>
      <c r="F895" s="583"/>
      <c r="G895" s="196">
        <f t="shared" si="68"/>
        <v>0</v>
      </c>
      <c r="H895" s="197">
        <f t="shared" si="69"/>
        <v>0</v>
      </c>
      <c r="I895" s="169">
        <f t="shared" si="70"/>
        <v>0</v>
      </c>
      <c r="J895" s="198">
        <f t="shared" si="71"/>
        <v>0</v>
      </c>
      <c r="K895" s="173">
        <f t="shared" si="72"/>
        <v>0</v>
      </c>
      <c r="L895" s="584"/>
      <c r="M895" s="584"/>
    </row>
    <row r="896" spans="1:13" s="585" customFormat="1" ht="15" customHeight="1" x14ac:dyDescent="0.25">
      <c r="A896" s="630"/>
      <c r="B896" s="616"/>
      <c r="C896" s="617"/>
      <c r="D896" s="618"/>
      <c r="E896" s="619"/>
      <c r="F896" s="631"/>
      <c r="G896" s="196">
        <f t="shared" si="68"/>
        <v>0</v>
      </c>
      <c r="H896" s="197">
        <f t="shared" si="69"/>
        <v>0</v>
      </c>
      <c r="I896" s="169">
        <f t="shared" si="70"/>
        <v>0</v>
      </c>
      <c r="J896" s="198">
        <f t="shared" si="71"/>
        <v>0</v>
      </c>
      <c r="K896" s="173">
        <f t="shared" si="72"/>
        <v>0</v>
      </c>
      <c r="L896" s="620"/>
      <c r="M896" s="620"/>
    </row>
    <row r="897" spans="1:13" s="585" customFormat="1" ht="15" customHeight="1" x14ac:dyDescent="0.25">
      <c r="A897" s="578" t="s">
        <v>766</v>
      </c>
      <c r="B897" s="579"/>
      <c r="C897" s="580"/>
      <c r="D897" s="581"/>
      <c r="E897" s="582"/>
      <c r="F897" s="583"/>
      <c r="G897" s="196">
        <f t="shared" si="68"/>
        <v>0</v>
      </c>
      <c r="H897" s="197">
        <f t="shared" si="69"/>
        <v>0</v>
      </c>
      <c r="I897" s="169">
        <f t="shared" si="70"/>
        <v>0</v>
      </c>
      <c r="J897" s="198">
        <f t="shared" si="71"/>
        <v>0</v>
      </c>
      <c r="K897" s="173">
        <f t="shared" si="72"/>
        <v>0</v>
      </c>
      <c r="L897" s="584"/>
      <c r="M897" s="584"/>
    </row>
    <row r="898" spans="1:13" s="585" customFormat="1" ht="29.25" customHeight="1" x14ac:dyDescent="0.25">
      <c r="A898" s="255">
        <v>17.310000000000048</v>
      </c>
      <c r="B898" s="632" t="s">
        <v>767</v>
      </c>
      <c r="C898" s="633">
        <v>24000</v>
      </c>
      <c r="D898" s="634" t="s">
        <v>768</v>
      </c>
      <c r="E898" s="635">
        <v>93.125</v>
      </c>
      <c r="F898" s="636"/>
      <c r="G898" s="196">
        <f t="shared" si="68"/>
        <v>7.45</v>
      </c>
      <c r="H898" s="197">
        <f t="shared" si="69"/>
        <v>3.73</v>
      </c>
      <c r="I898" s="169">
        <f t="shared" si="70"/>
        <v>63.33</v>
      </c>
      <c r="J898" s="198">
        <f t="shared" si="71"/>
        <v>18.63</v>
      </c>
      <c r="K898" s="173">
        <f t="shared" si="72"/>
        <v>93.139999999999986</v>
      </c>
      <c r="L898" s="637"/>
      <c r="M898" s="635"/>
    </row>
    <row r="899" spans="1:13" s="585" customFormat="1" ht="15" customHeight="1" x14ac:dyDescent="0.25">
      <c r="A899" s="626"/>
      <c r="B899" s="621"/>
      <c r="C899" s="627"/>
      <c r="D899" s="638"/>
      <c r="E899" s="623"/>
      <c r="F899" s="624"/>
      <c r="G899" s="196">
        <f t="shared" si="68"/>
        <v>0</v>
      </c>
      <c r="H899" s="197">
        <f t="shared" si="69"/>
        <v>0</v>
      </c>
      <c r="I899" s="169">
        <f t="shared" si="70"/>
        <v>0</v>
      </c>
      <c r="J899" s="198">
        <f t="shared" si="71"/>
        <v>0</v>
      </c>
      <c r="K899" s="173">
        <f t="shared" si="72"/>
        <v>0</v>
      </c>
      <c r="L899" s="625"/>
      <c r="M899" s="623"/>
    </row>
    <row r="900" spans="1:13" s="585" customFormat="1" ht="15" x14ac:dyDescent="0.25">
      <c r="A900" s="578" t="s">
        <v>769</v>
      </c>
      <c r="B900" s="579"/>
      <c r="C900" s="580"/>
      <c r="D900" s="581"/>
      <c r="E900" s="582"/>
      <c r="F900" s="583"/>
      <c r="G900" s="196">
        <f t="shared" si="68"/>
        <v>0</v>
      </c>
      <c r="H900" s="197">
        <f t="shared" si="69"/>
        <v>0</v>
      </c>
      <c r="I900" s="169">
        <f t="shared" si="70"/>
        <v>0</v>
      </c>
      <c r="J900" s="198">
        <f t="shared" si="71"/>
        <v>0</v>
      </c>
      <c r="K900" s="173">
        <f t="shared" si="72"/>
        <v>0</v>
      </c>
      <c r="L900" s="584"/>
      <c r="M900" s="584"/>
    </row>
    <row r="901" spans="1:13" s="643" customFormat="1" ht="28.5" x14ac:dyDescent="0.25">
      <c r="A901" s="255">
        <v>17.32000000000005</v>
      </c>
      <c r="B901" s="639" t="s">
        <v>770</v>
      </c>
      <c r="C901" s="640">
        <v>24</v>
      </c>
      <c r="D901" s="641" t="s">
        <v>771</v>
      </c>
      <c r="E901" s="640">
        <v>5000</v>
      </c>
      <c r="F901" s="636"/>
      <c r="G901" s="196">
        <f t="shared" si="68"/>
        <v>400</v>
      </c>
      <c r="H901" s="197">
        <f t="shared" si="69"/>
        <v>200</v>
      </c>
      <c r="I901" s="169">
        <f t="shared" si="70"/>
        <v>3400</v>
      </c>
      <c r="J901" s="198">
        <f t="shared" si="71"/>
        <v>1000</v>
      </c>
      <c r="K901" s="173">
        <f t="shared" si="72"/>
        <v>5000</v>
      </c>
      <c r="L901" s="642"/>
      <c r="M901" s="640"/>
    </row>
    <row r="902" spans="1:13" s="585" customFormat="1" ht="15" x14ac:dyDescent="0.25">
      <c r="A902" s="255"/>
      <c r="B902" s="621"/>
      <c r="C902" s="622"/>
      <c r="D902" s="622"/>
      <c r="E902" s="623"/>
      <c r="F902" s="624"/>
      <c r="G902" s="196">
        <f t="shared" si="68"/>
        <v>0</v>
      </c>
      <c r="H902" s="197">
        <f t="shared" si="69"/>
        <v>0</v>
      </c>
      <c r="I902" s="169">
        <f t="shared" si="70"/>
        <v>0</v>
      </c>
      <c r="J902" s="198">
        <f t="shared" si="71"/>
        <v>0</v>
      </c>
      <c r="K902" s="173">
        <f t="shared" si="72"/>
        <v>0</v>
      </c>
      <c r="L902" s="625"/>
      <c r="M902" s="623"/>
    </row>
    <row r="903" spans="1:13" s="585" customFormat="1" ht="15" x14ac:dyDescent="0.25">
      <c r="A903" s="578" t="s">
        <v>772</v>
      </c>
      <c r="B903" s="579"/>
      <c r="C903" s="580"/>
      <c r="D903" s="581"/>
      <c r="E903" s="582"/>
      <c r="F903" s="583"/>
      <c r="G903" s="196">
        <f t="shared" si="68"/>
        <v>0</v>
      </c>
      <c r="H903" s="197">
        <f t="shared" si="69"/>
        <v>0</v>
      </c>
      <c r="I903" s="169">
        <f t="shared" si="70"/>
        <v>0</v>
      </c>
      <c r="J903" s="198">
        <f t="shared" si="71"/>
        <v>0</v>
      </c>
      <c r="K903" s="173">
        <f t="shared" si="72"/>
        <v>0</v>
      </c>
      <c r="L903" s="584"/>
      <c r="M903" s="584"/>
    </row>
    <row r="904" spans="1:13" s="585" customFormat="1" ht="15" x14ac:dyDescent="0.25">
      <c r="A904" s="255">
        <v>17.330000000000052</v>
      </c>
      <c r="B904" s="621" t="s">
        <v>773</v>
      </c>
      <c r="C904" s="622">
        <v>24</v>
      </c>
      <c r="D904" s="638" t="s">
        <v>771</v>
      </c>
      <c r="E904" s="623">
        <v>15000</v>
      </c>
      <c r="F904" s="624"/>
      <c r="G904" s="644">
        <f t="shared" si="68"/>
        <v>1200</v>
      </c>
      <c r="H904" s="645">
        <f t="shared" si="69"/>
        <v>600</v>
      </c>
      <c r="I904" s="186">
        <f t="shared" si="70"/>
        <v>10200</v>
      </c>
      <c r="J904" s="611">
        <f t="shared" si="71"/>
        <v>3000</v>
      </c>
      <c r="K904" s="646">
        <f t="shared" si="72"/>
        <v>15000</v>
      </c>
      <c r="L904" s="625"/>
      <c r="M904" s="623"/>
    </row>
    <row r="905" spans="1:13" ht="20.100000000000001" customHeight="1" x14ac:dyDescent="0.25">
      <c r="A905" s="751">
        <v>1</v>
      </c>
      <c r="B905" s="751"/>
      <c r="C905" s="751"/>
      <c r="D905" s="751"/>
      <c r="E905" s="751"/>
      <c r="F905" s="647">
        <f>SUM(F5:F904)</f>
        <v>295086420</v>
      </c>
      <c r="G905" s="648"/>
      <c r="H905" s="648"/>
      <c r="I905" s="648"/>
      <c r="J905" s="648"/>
      <c r="K905" s="648"/>
      <c r="L905" s="647">
        <f>SUM(L5:L904)</f>
        <v>40577.539999999979</v>
      </c>
      <c r="M905" s="647">
        <f>SUM(M5:M904)</f>
        <v>393639.65</v>
      </c>
    </row>
    <row r="906" spans="1:13" x14ac:dyDescent="0.25">
      <c r="L906" s="653">
        <f>L905*510</f>
        <v>20694545.399999991</v>
      </c>
      <c r="M906" s="653">
        <f>ROUND(M905*81,)</f>
        <v>31884812</v>
      </c>
    </row>
    <row r="907" spans="1:13" x14ac:dyDescent="0.25">
      <c r="L907" s="653">
        <f>L906/F905</f>
        <v>7.0130456698075064E-2</v>
      </c>
      <c r="M907" s="653">
        <f>M906/F905</f>
        <v>0.1080524545995712</v>
      </c>
    </row>
  </sheetData>
  <mergeCells count="10">
    <mergeCell ref="A905:E905"/>
    <mergeCell ref="A1:F1"/>
    <mergeCell ref="G2:K2"/>
    <mergeCell ref="L2:M2"/>
    <mergeCell ref="A3:A4"/>
    <mergeCell ref="B3:B4"/>
    <mergeCell ref="C3:C4"/>
    <mergeCell ref="D3:D4"/>
    <mergeCell ref="E3:F3"/>
    <mergeCell ref="L3:M3"/>
  </mergeCells>
  <printOptions horizontalCentered="1"/>
  <pageMargins left="0.6" right="0.31" top="0.68" bottom="0.49" header="0.31" footer="0.5"/>
  <pageSetup paperSize="9" fitToHeight="0" orientation="landscape" r:id="rId1"/>
  <headerFooter alignWithMargins="0">
    <oddHeader>&amp;R&amp;A
 Page &amp;P of &amp;N</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N92"/>
  <sheetViews>
    <sheetView tabSelected="1" view="pageBreakPreview" zoomScale="130" zoomScaleNormal="100" zoomScaleSheetLayoutView="130" workbookViewId="0">
      <selection activeCell="C8" sqref="C8"/>
    </sheetView>
  </sheetViews>
  <sheetFormatPr defaultColWidth="11" defaultRowHeight="15" x14ac:dyDescent="0.25"/>
  <cols>
    <col min="1" max="1" width="6.42578125" style="739" customWidth="1"/>
    <col min="2" max="2" width="12.140625" style="740" customWidth="1"/>
    <col min="3" max="3" width="51" style="741" customWidth="1"/>
    <col min="4" max="4" width="12.140625" style="740" customWidth="1"/>
    <col min="5" max="5" width="6.42578125" style="742" customWidth="1"/>
    <col min="6" max="6" width="14.42578125" style="743" customWidth="1"/>
    <col min="7" max="7" width="16.140625" style="744" customWidth="1"/>
    <col min="8" max="8" width="13.7109375" style="745" bestFit="1" customWidth="1"/>
    <col min="9" max="256" width="11" style="745"/>
    <col min="257" max="257" width="6.42578125" style="745" customWidth="1"/>
    <col min="258" max="258" width="12.140625" style="745" customWidth="1"/>
    <col min="259" max="259" width="51" style="745" customWidth="1"/>
    <col min="260" max="260" width="12.140625" style="745" customWidth="1"/>
    <col min="261" max="261" width="6.42578125" style="745" customWidth="1"/>
    <col min="262" max="262" width="14.42578125" style="745" customWidth="1"/>
    <col min="263" max="263" width="16.140625" style="745" customWidth="1"/>
    <col min="264" max="264" width="13.7109375" style="745" bestFit="1" customWidth="1"/>
    <col min="265" max="512" width="11" style="745"/>
    <col min="513" max="513" width="6.42578125" style="745" customWidth="1"/>
    <col min="514" max="514" width="12.140625" style="745" customWidth="1"/>
    <col min="515" max="515" width="51" style="745" customWidth="1"/>
    <col min="516" max="516" width="12.140625" style="745" customWidth="1"/>
    <col min="517" max="517" width="6.42578125" style="745" customWidth="1"/>
    <col min="518" max="518" width="14.42578125" style="745" customWidth="1"/>
    <col min="519" max="519" width="16.140625" style="745" customWidth="1"/>
    <col min="520" max="520" width="13.7109375" style="745" bestFit="1" customWidth="1"/>
    <col min="521" max="768" width="11" style="745"/>
    <col min="769" max="769" width="6.42578125" style="745" customWidth="1"/>
    <col min="770" max="770" width="12.140625" style="745" customWidth="1"/>
    <col min="771" max="771" width="51" style="745" customWidth="1"/>
    <col min="772" max="772" width="12.140625" style="745" customWidth="1"/>
    <col min="773" max="773" width="6.42578125" style="745" customWidth="1"/>
    <col min="774" max="774" width="14.42578125" style="745" customWidth="1"/>
    <col min="775" max="775" width="16.140625" style="745" customWidth="1"/>
    <col min="776" max="776" width="13.7109375" style="745" bestFit="1" customWidth="1"/>
    <col min="777" max="1024" width="11" style="745"/>
    <col min="1025" max="1025" width="6.42578125" style="745" customWidth="1"/>
    <col min="1026" max="1026" width="12.140625" style="745" customWidth="1"/>
    <col min="1027" max="1027" width="51" style="745" customWidth="1"/>
    <col min="1028" max="1028" width="12.140625" style="745" customWidth="1"/>
    <col min="1029" max="1029" width="6.42578125" style="745" customWidth="1"/>
    <col min="1030" max="1030" width="14.42578125" style="745" customWidth="1"/>
    <col min="1031" max="1031" width="16.140625" style="745" customWidth="1"/>
    <col min="1032" max="1032" width="13.7109375" style="745" bestFit="1" customWidth="1"/>
    <col min="1033" max="1280" width="11" style="745"/>
    <col min="1281" max="1281" width="6.42578125" style="745" customWidth="1"/>
    <col min="1282" max="1282" width="12.140625" style="745" customWidth="1"/>
    <col min="1283" max="1283" width="51" style="745" customWidth="1"/>
    <col min="1284" max="1284" width="12.140625" style="745" customWidth="1"/>
    <col min="1285" max="1285" width="6.42578125" style="745" customWidth="1"/>
    <col min="1286" max="1286" width="14.42578125" style="745" customWidth="1"/>
    <col min="1287" max="1287" width="16.140625" style="745" customWidth="1"/>
    <col min="1288" max="1288" width="13.7109375" style="745" bestFit="1" customWidth="1"/>
    <col min="1289" max="1536" width="11" style="745"/>
    <col min="1537" max="1537" width="6.42578125" style="745" customWidth="1"/>
    <col min="1538" max="1538" width="12.140625" style="745" customWidth="1"/>
    <col min="1539" max="1539" width="51" style="745" customWidth="1"/>
    <col min="1540" max="1540" width="12.140625" style="745" customWidth="1"/>
    <col min="1541" max="1541" width="6.42578125" style="745" customWidth="1"/>
    <col min="1542" max="1542" width="14.42578125" style="745" customWidth="1"/>
    <col min="1543" max="1543" width="16.140625" style="745" customWidth="1"/>
    <col min="1544" max="1544" width="13.7109375" style="745" bestFit="1" customWidth="1"/>
    <col min="1545" max="1792" width="11" style="745"/>
    <col min="1793" max="1793" width="6.42578125" style="745" customWidth="1"/>
    <col min="1794" max="1794" width="12.140625" style="745" customWidth="1"/>
    <col min="1795" max="1795" width="51" style="745" customWidth="1"/>
    <col min="1796" max="1796" width="12.140625" style="745" customWidth="1"/>
    <col min="1797" max="1797" width="6.42578125" style="745" customWidth="1"/>
    <col min="1798" max="1798" width="14.42578125" style="745" customWidth="1"/>
    <col min="1799" max="1799" width="16.140625" style="745" customWidth="1"/>
    <col min="1800" max="1800" width="13.7109375" style="745" bestFit="1" customWidth="1"/>
    <col min="1801" max="2048" width="11" style="745"/>
    <col min="2049" max="2049" width="6.42578125" style="745" customWidth="1"/>
    <col min="2050" max="2050" width="12.140625" style="745" customWidth="1"/>
    <col min="2051" max="2051" width="51" style="745" customWidth="1"/>
    <col min="2052" max="2052" width="12.140625" style="745" customWidth="1"/>
    <col min="2053" max="2053" width="6.42578125" style="745" customWidth="1"/>
    <col min="2054" max="2054" width="14.42578125" style="745" customWidth="1"/>
    <col min="2055" max="2055" width="16.140625" style="745" customWidth="1"/>
    <col min="2056" max="2056" width="13.7109375" style="745" bestFit="1" customWidth="1"/>
    <col min="2057" max="2304" width="11" style="745"/>
    <col min="2305" max="2305" width="6.42578125" style="745" customWidth="1"/>
    <col min="2306" max="2306" width="12.140625" style="745" customWidth="1"/>
    <col min="2307" max="2307" width="51" style="745" customWidth="1"/>
    <col min="2308" max="2308" width="12.140625" style="745" customWidth="1"/>
    <col min="2309" max="2309" width="6.42578125" style="745" customWidth="1"/>
    <col min="2310" max="2310" width="14.42578125" style="745" customWidth="1"/>
    <col min="2311" max="2311" width="16.140625" style="745" customWidth="1"/>
    <col min="2312" max="2312" width="13.7109375" style="745" bestFit="1" customWidth="1"/>
    <col min="2313" max="2560" width="11" style="745"/>
    <col min="2561" max="2561" width="6.42578125" style="745" customWidth="1"/>
    <col min="2562" max="2562" width="12.140625" style="745" customWidth="1"/>
    <col min="2563" max="2563" width="51" style="745" customWidth="1"/>
    <col min="2564" max="2564" width="12.140625" style="745" customWidth="1"/>
    <col min="2565" max="2565" width="6.42578125" style="745" customWidth="1"/>
    <col min="2566" max="2566" width="14.42578125" style="745" customWidth="1"/>
    <col min="2567" max="2567" width="16.140625" style="745" customWidth="1"/>
    <col min="2568" max="2568" width="13.7109375" style="745" bestFit="1" customWidth="1"/>
    <col min="2569" max="2816" width="11" style="745"/>
    <col min="2817" max="2817" width="6.42578125" style="745" customWidth="1"/>
    <col min="2818" max="2818" width="12.140625" style="745" customWidth="1"/>
    <col min="2819" max="2819" width="51" style="745" customWidth="1"/>
    <col min="2820" max="2820" width="12.140625" style="745" customWidth="1"/>
    <col min="2821" max="2821" width="6.42578125" style="745" customWidth="1"/>
    <col min="2822" max="2822" width="14.42578125" style="745" customWidth="1"/>
    <col min="2823" max="2823" width="16.140625" style="745" customWidth="1"/>
    <col min="2824" max="2824" width="13.7109375" style="745" bestFit="1" customWidth="1"/>
    <col min="2825" max="3072" width="11" style="745"/>
    <col min="3073" max="3073" width="6.42578125" style="745" customWidth="1"/>
    <col min="3074" max="3074" width="12.140625" style="745" customWidth="1"/>
    <col min="3075" max="3075" width="51" style="745" customWidth="1"/>
    <col min="3076" max="3076" width="12.140625" style="745" customWidth="1"/>
    <col min="3077" max="3077" width="6.42578125" style="745" customWidth="1"/>
    <col min="3078" max="3078" width="14.42578125" style="745" customWidth="1"/>
    <col min="3079" max="3079" width="16.140625" style="745" customWidth="1"/>
    <col min="3080" max="3080" width="13.7109375" style="745" bestFit="1" customWidth="1"/>
    <col min="3081" max="3328" width="11" style="745"/>
    <col min="3329" max="3329" width="6.42578125" style="745" customWidth="1"/>
    <col min="3330" max="3330" width="12.140625" style="745" customWidth="1"/>
    <col min="3331" max="3331" width="51" style="745" customWidth="1"/>
    <col min="3332" max="3332" width="12.140625" style="745" customWidth="1"/>
    <col min="3333" max="3333" width="6.42578125" style="745" customWidth="1"/>
    <col min="3334" max="3334" width="14.42578125" style="745" customWidth="1"/>
    <col min="3335" max="3335" width="16.140625" style="745" customWidth="1"/>
    <col min="3336" max="3336" width="13.7109375" style="745" bestFit="1" customWidth="1"/>
    <col min="3337" max="3584" width="11" style="745"/>
    <col min="3585" max="3585" width="6.42578125" style="745" customWidth="1"/>
    <col min="3586" max="3586" width="12.140625" style="745" customWidth="1"/>
    <col min="3587" max="3587" width="51" style="745" customWidth="1"/>
    <col min="3588" max="3588" width="12.140625" style="745" customWidth="1"/>
    <col min="3589" max="3589" width="6.42578125" style="745" customWidth="1"/>
    <col min="3590" max="3590" width="14.42578125" style="745" customWidth="1"/>
    <col min="3591" max="3591" width="16.140625" style="745" customWidth="1"/>
    <col min="3592" max="3592" width="13.7109375" style="745" bestFit="1" customWidth="1"/>
    <col min="3593" max="3840" width="11" style="745"/>
    <col min="3841" max="3841" width="6.42578125" style="745" customWidth="1"/>
    <col min="3842" max="3842" width="12.140625" style="745" customWidth="1"/>
    <col min="3843" max="3843" width="51" style="745" customWidth="1"/>
    <col min="3844" max="3844" width="12.140625" style="745" customWidth="1"/>
    <col min="3845" max="3845" width="6.42578125" style="745" customWidth="1"/>
    <col min="3846" max="3846" width="14.42578125" style="745" customWidth="1"/>
    <col min="3847" max="3847" width="16.140625" style="745" customWidth="1"/>
    <col min="3848" max="3848" width="13.7109375" style="745" bestFit="1" customWidth="1"/>
    <col min="3849" max="4096" width="11" style="745"/>
    <col min="4097" max="4097" width="6.42578125" style="745" customWidth="1"/>
    <col min="4098" max="4098" width="12.140625" style="745" customWidth="1"/>
    <col min="4099" max="4099" width="51" style="745" customWidth="1"/>
    <col min="4100" max="4100" width="12.140625" style="745" customWidth="1"/>
    <col min="4101" max="4101" width="6.42578125" style="745" customWidth="1"/>
    <col min="4102" max="4102" width="14.42578125" style="745" customWidth="1"/>
    <col min="4103" max="4103" width="16.140625" style="745" customWidth="1"/>
    <col min="4104" max="4104" width="13.7109375" style="745" bestFit="1" customWidth="1"/>
    <col min="4105" max="4352" width="11" style="745"/>
    <col min="4353" max="4353" width="6.42578125" style="745" customWidth="1"/>
    <col min="4354" max="4354" width="12.140625" style="745" customWidth="1"/>
    <col min="4355" max="4355" width="51" style="745" customWidth="1"/>
    <col min="4356" max="4356" width="12.140625" style="745" customWidth="1"/>
    <col min="4357" max="4357" width="6.42578125" style="745" customWidth="1"/>
    <col min="4358" max="4358" width="14.42578125" style="745" customWidth="1"/>
    <col min="4359" max="4359" width="16.140625" style="745" customWidth="1"/>
    <col min="4360" max="4360" width="13.7109375" style="745" bestFit="1" customWidth="1"/>
    <col min="4361" max="4608" width="11" style="745"/>
    <col min="4609" max="4609" width="6.42578125" style="745" customWidth="1"/>
    <col min="4610" max="4610" width="12.140625" style="745" customWidth="1"/>
    <col min="4611" max="4611" width="51" style="745" customWidth="1"/>
    <col min="4612" max="4612" width="12.140625" style="745" customWidth="1"/>
    <col min="4613" max="4613" width="6.42578125" style="745" customWidth="1"/>
    <col min="4614" max="4614" width="14.42578125" style="745" customWidth="1"/>
    <col min="4615" max="4615" width="16.140625" style="745" customWidth="1"/>
    <col min="4616" max="4616" width="13.7109375" style="745" bestFit="1" customWidth="1"/>
    <col min="4617" max="4864" width="11" style="745"/>
    <col min="4865" max="4865" width="6.42578125" style="745" customWidth="1"/>
    <col min="4866" max="4866" width="12.140625" style="745" customWidth="1"/>
    <col min="4867" max="4867" width="51" style="745" customWidth="1"/>
    <col min="4868" max="4868" width="12.140625" style="745" customWidth="1"/>
    <col min="4869" max="4869" width="6.42578125" style="745" customWidth="1"/>
    <col min="4870" max="4870" width="14.42578125" style="745" customWidth="1"/>
    <col min="4871" max="4871" width="16.140625" style="745" customWidth="1"/>
    <col min="4872" max="4872" width="13.7109375" style="745" bestFit="1" customWidth="1"/>
    <col min="4873" max="5120" width="11" style="745"/>
    <col min="5121" max="5121" width="6.42578125" style="745" customWidth="1"/>
    <col min="5122" max="5122" width="12.140625" style="745" customWidth="1"/>
    <col min="5123" max="5123" width="51" style="745" customWidth="1"/>
    <col min="5124" max="5124" width="12.140625" style="745" customWidth="1"/>
    <col min="5125" max="5125" width="6.42578125" style="745" customWidth="1"/>
    <col min="5126" max="5126" width="14.42578125" style="745" customWidth="1"/>
    <col min="5127" max="5127" width="16.140625" style="745" customWidth="1"/>
    <col min="5128" max="5128" width="13.7109375" style="745" bestFit="1" customWidth="1"/>
    <col min="5129" max="5376" width="11" style="745"/>
    <col min="5377" max="5377" width="6.42578125" style="745" customWidth="1"/>
    <col min="5378" max="5378" width="12.140625" style="745" customWidth="1"/>
    <col min="5379" max="5379" width="51" style="745" customWidth="1"/>
    <col min="5380" max="5380" width="12.140625" style="745" customWidth="1"/>
    <col min="5381" max="5381" width="6.42578125" style="745" customWidth="1"/>
    <col min="5382" max="5382" width="14.42578125" style="745" customWidth="1"/>
    <col min="5383" max="5383" width="16.140625" style="745" customWidth="1"/>
    <col min="5384" max="5384" width="13.7109375" style="745" bestFit="1" customWidth="1"/>
    <col min="5385" max="5632" width="11" style="745"/>
    <col min="5633" max="5633" width="6.42578125" style="745" customWidth="1"/>
    <col min="5634" max="5634" width="12.140625" style="745" customWidth="1"/>
    <col min="5635" max="5635" width="51" style="745" customWidth="1"/>
    <col min="5636" max="5636" width="12.140625" style="745" customWidth="1"/>
    <col min="5637" max="5637" width="6.42578125" style="745" customWidth="1"/>
    <col min="5638" max="5638" width="14.42578125" style="745" customWidth="1"/>
    <col min="5639" max="5639" width="16.140625" style="745" customWidth="1"/>
    <col min="5640" max="5640" width="13.7109375" style="745" bestFit="1" customWidth="1"/>
    <col min="5641" max="5888" width="11" style="745"/>
    <col min="5889" max="5889" width="6.42578125" style="745" customWidth="1"/>
    <col min="5890" max="5890" width="12.140625" style="745" customWidth="1"/>
    <col min="5891" max="5891" width="51" style="745" customWidth="1"/>
    <col min="5892" max="5892" width="12.140625" style="745" customWidth="1"/>
    <col min="5893" max="5893" width="6.42578125" style="745" customWidth="1"/>
    <col min="5894" max="5894" width="14.42578125" style="745" customWidth="1"/>
    <col min="5895" max="5895" width="16.140625" style="745" customWidth="1"/>
    <col min="5896" max="5896" width="13.7109375" style="745" bestFit="1" customWidth="1"/>
    <col min="5897" max="6144" width="11" style="745"/>
    <col min="6145" max="6145" width="6.42578125" style="745" customWidth="1"/>
    <col min="6146" max="6146" width="12.140625" style="745" customWidth="1"/>
    <col min="6147" max="6147" width="51" style="745" customWidth="1"/>
    <col min="6148" max="6148" width="12.140625" style="745" customWidth="1"/>
    <col min="6149" max="6149" width="6.42578125" style="745" customWidth="1"/>
    <col min="6150" max="6150" width="14.42578125" style="745" customWidth="1"/>
    <col min="6151" max="6151" width="16.140625" style="745" customWidth="1"/>
    <col min="6152" max="6152" width="13.7109375" style="745" bestFit="1" customWidth="1"/>
    <col min="6153" max="6400" width="11" style="745"/>
    <col min="6401" max="6401" width="6.42578125" style="745" customWidth="1"/>
    <col min="6402" max="6402" width="12.140625" style="745" customWidth="1"/>
    <col min="6403" max="6403" width="51" style="745" customWidth="1"/>
    <col min="6404" max="6404" width="12.140625" style="745" customWidth="1"/>
    <col min="6405" max="6405" width="6.42578125" style="745" customWidth="1"/>
    <col min="6406" max="6406" width="14.42578125" style="745" customWidth="1"/>
    <col min="6407" max="6407" width="16.140625" style="745" customWidth="1"/>
    <col min="6408" max="6408" width="13.7109375" style="745" bestFit="1" customWidth="1"/>
    <col min="6409" max="6656" width="11" style="745"/>
    <col min="6657" max="6657" width="6.42578125" style="745" customWidth="1"/>
    <col min="6658" max="6658" width="12.140625" style="745" customWidth="1"/>
    <col min="6659" max="6659" width="51" style="745" customWidth="1"/>
    <col min="6660" max="6660" width="12.140625" style="745" customWidth="1"/>
    <col min="6661" max="6661" width="6.42578125" style="745" customWidth="1"/>
    <col min="6662" max="6662" width="14.42578125" style="745" customWidth="1"/>
    <col min="6663" max="6663" width="16.140625" style="745" customWidth="1"/>
    <col min="6664" max="6664" width="13.7109375" style="745" bestFit="1" customWidth="1"/>
    <col min="6665" max="6912" width="11" style="745"/>
    <col min="6913" max="6913" width="6.42578125" style="745" customWidth="1"/>
    <col min="6914" max="6914" width="12.140625" style="745" customWidth="1"/>
    <col min="6915" max="6915" width="51" style="745" customWidth="1"/>
    <col min="6916" max="6916" width="12.140625" style="745" customWidth="1"/>
    <col min="6917" max="6917" width="6.42578125" style="745" customWidth="1"/>
    <col min="6918" max="6918" width="14.42578125" style="745" customWidth="1"/>
    <col min="6919" max="6919" width="16.140625" style="745" customWidth="1"/>
    <col min="6920" max="6920" width="13.7109375" style="745" bestFit="1" customWidth="1"/>
    <col min="6921" max="7168" width="11" style="745"/>
    <col min="7169" max="7169" width="6.42578125" style="745" customWidth="1"/>
    <col min="7170" max="7170" width="12.140625" style="745" customWidth="1"/>
    <col min="7171" max="7171" width="51" style="745" customWidth="1"/>
    <col min="7172" max="7172" width="12.140625" style="745" customWidth="1"/>
    <col min="7173" max="7173" width="6.42578125" style="745" customWidth="1"/>
    <col min="7174" max="7174" width="14.42578125" style="745" customWidth="1"/>
    <col min="7175" max="7175" width="16.140625" style="745" customWidth="1"/>
    <col min="7176" max="7176" width="13.7109375" style="745" bestFit="1" customWidth="1"/>
    <col min="7177" max="7424" width="11" style="745"/>
    <col min="7425" max="7425" width="6.42578125" style="745" customWidth="1"/>
    <col min="7426" max="7426" width="12.140625" style="745" customWidth="1"/>
    <col min="7427" max="7427" width="51" style="745" customWidth="1"/>
    <col min="7428" max="7428" width="12.140625" style="745" customWidth="1"/>
    <col min="7429" max="7429" width="6.42578125" style="745" customWidth="1"/>
    <col min="7430" max="7430" width="14.42578125" style="745" customWidth="1"/>
    <col min="7431" max="7431" width="16.140625" style="745" customWidth="1"/>
    <col min="7432" max="7432" width="13.7109375" style="745" bestFit="1" customWidth="1"/>
    <col min="7433" max="7680" width="11" style="745"/>
    <col min="7681" max="7681" width="6.42578125" style="745" customWidth="1"/>
    <col min="7682" max="7682" width="12.140625" style="745" customWidth="1"/>
    <col min="7683" max="7683" width="51" style="745" customWidth="1"/>
    <col min="7684" max="7684" width="12.140625" style="745" customWidth="1"/>
    <col min="7685" max="7685" width="6.42578125" style="745" customWidth="1"/>
    <col min="7686" max="7686" width="14.42578125" style="745" customWidth="1"/>
    <col min="7687" max="7687" width="16.140625" style="745" customWidth="1"/>
    <col min="7688" max="7688" width="13.7109375" style="745" bestFit="1" customWidth="1"/>
    <col min="7689" max="7936" width="11" style="745"/>
    <col min="7937" max="7937" width="6.42578125" style="745" customWidth="1"/>
    <col min="7938" max="7938" width="12.140625" style="745" customWidth="1"/>
    <col min="7939" max="7939" width="51" style="745" customWidth="1"/>
    <col min="7940" max="7940" width="12.140625" style="745" customWidth="1"/>
    <col min="7941" max="7941" width="6.42578125" style="745" customWidth="1"/>
    <col min="7942" max="7942" width="14.42578125" style="745" customWidth="1"/>
    <col min="7943" max="7943" width="16.140625" style="745" customWidth="1"/>
    <col min="7944" max="7944" width="13.7109375" style="745" bestFit="1" customWidth="1"/>
    <col min="7945" max="8192" width="11" style="745"/>
    <col min="8193" max="8193" width="6.42578125" style="745" customWidth="1"/>
    <col min="8194" max="8194" width="12.140625" style="745" customWidth="1"/>
    <col min="8195" max="8195" width="51" style="745" customWidth="1"/>
    <col min="8196" max="8196" width="12.140625" style="745" customWidth="1"/>
    <col min="8197" max="8197" width="6.42578125" style="745" customWidth="1"/>
    <col min="8198" max="8198" width="14.42578125" style="745" customWidth="1"/>
    <col min="8199" max="8199" width="16.140625" style="745" customWidth="1"/>
    <col min="8200" max="8200" width="13.7109375" style="745" bestFit="1" customWidth="1"/>
    <col min="8201" max="8448" width="11" style="745"/>
    <col min="8449" max="8449" width="6.42578125" style="745" customWidth="1"/>
    <col min="8450" max="8450" width="12.140625" style="745" customWidth="1"/>
    <col min="8451" max="8451" width="51" style="745" customWidth="1"/>
    <col min="8452" max="8452" width="12.140625" style="745" customWidth="1"/>
    <col min="8453" max="8453" width="6.42578125" style="745" customWidth="1"/>
    <col min="8454" max="8454" width="14.42578125" style="745" customWidth="1"/>
    <col min="8455" max="8455" width="16.140625" style="745" customWidth="1"/>
    <col min="8456" max="8456" width="13.7109375" style="745" bestFit="1" customWidth="1"/>
    <col min="8457" max="8704" width="11" style="745"/>
    <col min="8705" max="8705" width="6.42578125" style="745" customWidth="1"/>
    <col min="8706" max="8706" width="12.140625" style="745" customWidth="1"/>
    <col min="8707" max="8707" width="51" style="745" customWidth="1"/>
    <col min="8708" max="8708" width="12.140625" style="745" customWidth="1"/>
    <col min="8709" max="8709" width="6.42578125" style="745" customWidth="1"/>
    <col min="8710" max="8710" width="14.42578125" style="745" customWidth="1"/>
    <col min="8711" max="8711" width="16.140625" style="745" customWidth="1"/>
    <col min="8712" max="8712" width="13.7109375" style="745" bestFit="1" customWidth="1"/>
    <col min="8713" max="8960" width="11" style="745"/>
    <col min="8961" max="8961" width="6.42578125" style="745" customWidth="1"/>
    <col min="8962" max="8962" width="12.140625" style="745" customWidth="1"/>
    <col min="8963" max="8963" width="51" style="745" customWidth="1"/>
    <col min="8964" max="8964" width="12.140625" style="745" customWidth="1"/>
    <col min="8965" max="8965" width="6.42578125" style="745" customWidth="1"/>
    <col min="8966" max="8966" width="14.42578125" style="745" customWidth="1"/>
    <col min="8967" max="8967" width="16.140625" style="745" customWidth="1"/>
    <col min="8968" max="8968" width="13.7109375" style="745" bestFit="1" customWidth="1"/>
    <col min="8969" max="9216" width="11" style="745"/>
    <col min="9217" max="9217" width="6.42578125" style="745" customWidth="1"/>
    <col min="9218" max="9218" width="12.140625" style="745" customWidth="1"/>
    <col min="9219" max="9219" width="51" style="745" customWidth="1"/>
    <col min="9220" max="9220" width="12.140625" style="745" customWidth="1"/>
    <col min="9221" max="9221" width="6.42578125" style="745" customWidth="1"/>
    <col min="9222" max="9222" width="14.42578125" style="745" customWidth="1"/>
    <col min="9223" max="9223" width="16.140625" style="745" customWidth="1"/>
    <col min="9224" max="9224" width="13.7109375" style="745" bestFit="1" customWidth="1"/>
    <col min="9225" max="9472" width="11" style="745"/>
    <col min="9473" max="9473" width="6.42578125" style="745" customWidth="1"/>
    <col min="9474" max="9474" width="12.140625" style="745" customWidth="1"/>
    <col min="9475" max="9475" width="51" style="745" customWidth="1"/>
    <col min="9476" max="9476" width="12.140625" style="745" customWidth="1"/>
    <col min="9477" max="9477" width="6.42578125" style="745" customWidth="1"/>
    <col min="9478" max="9478" width="14.42578125" style="745" customWidth="1"/>
    <col min="9479" max="9479" width="16.140625" style="745" customWidth="1"/>
    <col min="9480" max="9480" width="13.7109375" style="745" bestFit="1" customWidth="1"/>
    <col min="9481" max="9728" width="11" style="745"/>
    <col min="9729" max="9729" width="6.42578125" style="745" customWidth="1"/>
    <col min="9730" max="9730" width="12.140625" style="745" customWidth="1"/>
    <col min="9731" max="9731" width="51" style="745" customWidth="1"/>
    <col min="9732" max="9732" width="12.140625" style="745" customWidth="1"/>
    <col min="9733" max="9733" width="6.42578125" style="745" customWidth="1"/>
    <col min="9734" max="9734" width="14.42578125" style="745" customWidth="1"/>
    <col min="9735" max="9735" width="16.140625" style="745" customWidth="1"/>
    <col min="9736" max="9736" width="13.7109375" style="745" bestFit="1" customWidth="1"/>
    <col min="9737" max="9984" width="11" style="745"/>
    <col min="9985" max="9985" width="6.42578125" style="745" customWidth="1"/>
    <col min="9986" max="9986" width="12.140625" style="745" customWidth="1"/>
    <col min="9987" max="9987" width="51" style="745" customWidth="1"/>
    <col min="9988" max="9988" width="12.140625" style="745" customWidth="1"/>
    <col min="9989" max="9989" width="6.42578125" style="745" customWidth="1"/>
    <col min="9990" max="9990" width="14.42578125" style="745" customWidth="1"/>
    <col min="9991" max="9991" width="16.140625" style="745" customWidth="1"/>
    <col min="9992" max="9992" width="13.7109375" style="745" bestFit="1" customWidth="1"/>
    <col min="9993" max="10240" width="11" style="745"/>
    <col min="10241" max="10241" width="6.42578125" style="745" customWidth="1"/>
    <col min="10242" max="10242" width="12.140625" style="745" customWidth="1"/>
    <col min="10243" max="10243" width="51" style="745" customWidth="1"/>
    <col min="10244" max="10244" width="12.140625" style="745" customWidth="1"/>
    <col min="10245" max="10245" width="6.42578125" style="745" customWidth="1"/>
    <col min="10246" max="10246" width="14.42578125" style="745" customWidth="1"/>
    <col min="10247" max="10247" width="16.140625" style="745" customWidth="1"/>
    <col min="10248" max="10248" width="13.7109375" style="745" bestFit="1" customWidth="1"/>
    <col min="10249" max="10496" width="11" style="745"/>
    <col min="10497" max="10497" width="6.42578125" style="745" customWidth="1"/>
    <col min="10498" max="10498" width="12.140625" style="745" customWidth="1"/>
    <col min="10499" max="10499" width="51" style="745" customWidth="1"/>
    <col min="10500" max="10500" width="12.140625" style="745" customWidth="1"/>
    <col min="10501" max="10501" width="6.42578125" style="745" customWidth="1"/>
    <col min="10502" max="10502" width="14.42578125" style="745" customWidth="1"/>
    <col min="10503" max="10503" width="16.140625" style="745" customWidth="1"/>
    <col min="10504" max="10504" width="13.7109375" style="745" bestFit="1" customWidth="1"/>
    <col min="10505" max="10752" width="11" style="745"/>
    <col min="10753" max="10753" width="6.42578125" style="745" customWidth="1"/>
    <col min="10754" max="10754" width="12.140625" style="745" customWidth="1"/>
    <col min="10755" max="10755" width="51" style="745" customWidth="1"/>
    <col min="10756" max="10756" width="12.140625" style="745" customWidth="1"/>
    <col min="10757" max="10757" width="6.42578125" style="745" customWidth="1"/>
    <col min="10758" max="10758" width="14.42578125" style="745" customWidth="1"/>
    <col min="10759" max="10759" width="16.140625" style="745" customWidth="1"/>
    <col min="10760" max="10760" width="13.7109375" style="745" bestFit="1" customWidth="1"/>
    <col min="10761" max="11008" width="11" style="745"/>
    <col min="11009" max="11009" width="6.42578125" style="745" customWidth="1"/>
    <col min="11010" max="11010" width="12.140625" style="745" customWidth="1"/>
    <col min="11011" max="11011" width="51" style="745" customWidth="1"/>
    <col min="11012" max="11012" width="12.140625" style="745" customWidth="1"/>
    <col min="11013" max="11013" width="6.42578125" style="745" customWidth="1"/>
    <col min="11014" max="11014" width="14.42578125" style="745" customWidth="1"/>
    <col min="11015" max="11015" width="16.140625" style="745" customWidth="1"/>
    <col min="11016" max="11016" width="13.7109375" style="745" bestFit="1" customWidth="1"/>
    <col min="11017" max="11264" width="11" style="745"/>
    <col min="11265" max="11265" width="6.42578125" style="745" customWidth="1"/>
    <col min="11266" max="11266" width="12.140625" style="745" customWidth="1"/>
    <col min="11267" max="11267" width="51" style="745" customWidth="1"/>
    <col min="11268" max="11268" width="12.140625" style="745" customWidth="1"/>
    <col min="11269" max="11269" width="6.42578125" style="745" customWidth="1"/>
    <col min="11270" max="11270" width="14.42578125" style="745" customWidth="1"/>
    <col min="11271" max="11271" width="16.140625" style="745" customWidth="1"/>
    <col min="11272" max="11272" width="13.7109375" style="745" bestFit="1" customWidth="1"/>
    <col min="11273" max="11520" width="11" style="745"/>
    <col min="11521" max="11521" width="6.42578125" style="745" customWidth="1"/>
    <col min="11522" max="11522" width="12.140625" style="745" customWidth="1"/>
    <col min="11523" max="11523" width="51" style="745" customWidth="1"/>
    <col min="11524" max="11524" width="12.140625" style="745" customWidth="1"/>
    <col min="11525" max="11525" width="6.42578125" style="745" customWidth="1"/>
    <col min="11526" max="11526" width="14.42578125" style="745" customWidth="1"/>
    <col min="11527" max="11527" width="16.140625" style="745" customWidth="1"/>
    <col min="11528" max="11528" width="13.7109375" style="745" bestFit="1" customWidth="1"/>
    <col min="11529" max="11776" width="11" style="745"/>
    <col min="11777" max="11777" width="6.42578125" style="745" customWidth="1"/>
    <col min="11778" max="11778" width="12.140625" style="745" customWidth="1"/>
    <col min="11779" max="11779" width="51" style="745" customWidth="1"/>
    <col min="11780" max="11780" width="12.140625" style="745" customWidth="1"/>
    <col min="11781" max="11781" width="6.42578125" style="745" customWidth="1"/>
    <col min="11782" max="11782" width="14.42578125" style="745" customWidth="1"/>
    <col min="11783" max="11783" width="16.140625" style="745" customWidth="1"/>
    <col min="11784" max="11784" width="13.7109375" style="745" bestFit="1" customWidth="1"/>
    <col min="11785" max="12032" width="11" style="745"/>
    <col min="12033" max="12033" width="6.42578125" style="745" customWidth="1"/>
    <col min="12034" max="12034" width="12.140625" style="745" customWidth="1"/>
    <col min="12035" max="12035" width="51" style="745" customWidth="1"/>
    <col min="12036" max="12036" width="12.140625" style="745" customWidth="1"/>
    <col min="12037" max="12037" width="6.42578125" style="745" customWidth="1"/>
    <col min="12038" max="12038" width="14.42578125" style="745" customWidth="1"/>
    <col min="12039" max="12039" width="16.140625" style="745" customWidth="1"/>
    <col min="12040" max="12040" width="13.7109375" style="745" bestFit="1" customWidth="1"/>
    <col min="12041" max="12288" width="11" style="745"/>
    <col min="12289" max="12289" width="6.42578125" style="745" customWidth="1"/>
    <col min="12290" max="12290" width="12.140625" style="745" customWidth="1"/>
    <col min="12291" max="12291" width="51" style="745" customWidth="1"/>
    <col min="12292" max="12292" width="12.140625" style="745" customWidth="1"/>
    <col min="12293" max="12293" width="6.42578125" style="745" customWidth="1"/>
    <col min="12294" max="12294" width="14.42578125" style="745" customWidth="1"/>
    <col min="12295" max="12295" width="16.140625" style="745" customWidth="1"/>
    <col min="12296" max="12296" width="13.7109375" style="745" bestFit="1" customWidth="1"/>
    <col min="12297" max="12544" width="11" style="745"/>
    <col min="12545" max="12545" width="6.42578125" style="745" customWidth="1"/>
    <col min="12546" max="12546" width="12.140625" style="745" customWidth="1"/>
    <col min="12547" max="12547" width="51" style="745" customWidth="1"/>
    <col min="12548" max="12548" width="12.140625" style="745" customWidth="1"/>
    <col min="12549" max="12549" width="6.42578125" style="745" customWidth="1"/>
    <col min="12550" max="12550" width="14.42578125" style="745" customWidth="1"/>
    <col min="12551" max="12551" width="16.140625" style="745" customWidth="1"/>
    <col min="12552" max="12552" width="13.7109375" style="745" bestFit="1" customWidth="1"/>
    <col min="12553" max="12800" width="11" style="745"/>
    <col min="12801" max="12801" width="6.42578125" style="745" customWidth="1"/>
    <col min="12802" max="12802" width="12.140625" style="745" customWidth="1"/>
    <col min="12803" max="12803" width="51" style="745" customWidth="1"/>
    <col min="12804" max="12804" width="12.140625" style="745" customWidth="1"/>
    <col min="12805" max="12805" width="6.42578125" style="745" customWidth="1"/>
    <col min="12806" max="12806" width="14.42578125" style="745" customWidth="1"/>
    <col min="12807" max="12807" width="16.140625" style="745" customWidth="1"/>
    <col min="12808" max="12808" width="13.7109375" style="745" bestFit="1" customWidth="1"/>
    <col min="12809" max="13056" width="11" style="745"/>
    <col min="13057" max="13057" width="6.42578125" style="745" customWidth="1"/>
    <col min="13058" max="13058" width="12.140625" style="745" customWidth="1"/>
    <col min="13059" max="13059" width="51" style="745" customWidth="1"/>
    <col min="13060" max="13060" width="12.140625" style="745" customWidth="1"/>
    <col min="13061" max="13061" width="6.42578125" style="745" customWidth="1"/>
    <col min="13062" max="13062" width="14.42578125" style="745" customWidth="1"/>
    <col min="13063" max="13063" width="16.140625" style="745" customWidth="1"/>
    <col min="13064" max="13064" width="13.7109375" style="745" bestFit="1" customWidth="1"/>
    <col min="13065" max="13312" width="11" style="745"/>
    <col min="13313" max="13313" width="6.42578125" style="745" customWidth="1"/>
    <col min="13314" max="13314" width="12.140625" style="745" customWidth="1"/>
    <col min="13315" max="13315" width="51" style="745" customWidth="1"/>
    <col min="13316" max="13316" width="12.140625" style="745" customWidth="1"/>
    <col min="13317" max="13317" width="6.42578125" style="745" customWidth="1"/>
    <col min="13318" max="13318" width="14.42578125" style="745" customWidth="1"/>
    <col min="13319" max="13319" width="16.140625" style="745" customWidth="1"/>
    <col min="13320" max="13320" width="13.7109375" style="745" bestFit="1" customWidth="1"/>
    <col min="13321" max="13568" width="11" style="745"/>
    <col min="13569" max="13569" width="6.42578125" style="745" customWidth="1"/>
    <col min="13570" max="13570" width="12.140625" style="745" customWidth="1"/>
    <col min="13571" max="13571" width="51" style="745" customWidth="1"/>
    <col min="13572" max="13572" width="12.140625" style="745" customWidth="1"/>
    <col min="13573" max="13573" width="6.42578125" style="745" customWidth="1"/>
    <col min="13574" max="13574" width="14.42578125" style="745" customWidth="1"/>
    <col min="13575" max="13575" width="16.140625" style="745" customWidth="1"/>
    <col min="13576" max="13576" width="13.7109375" style="745" bestFit="1" customWidth="1"/>
    <col min="13577" max="13824" width="11" style="745"/>
    <col min="13825" max="13825" width="6.42578125" style="745" customWidth="1"/>
    <col min="13826" max="13826" width="12.140625" style="745" customWidth="1"/>
    <col min="13827" max="13827" width="51" style="745" customWidth="1"/>
    <col min="13828" max="13828" width="12.140625" style="745" customWidth="1"/>
    <col min="13829" max="13829" width="6.42578125" style="745" customWidth="1"/>
    <col min="13830" max="13830" width="14.42578125" style="745" customWidth="1"/>
    <col min="13831" max="13831" width="16.140625" style="745" customWidth="1"/>
    <col min="13832" max="13832" width="13.7109375" style="745" bestFit="1" customWidth="1"/>
    <col min="13833" max="14080" width="11" style="745"/>
    <col min="14081" max="14081" width="6.42578125" style="745" customWidth="1"/>
    <col min="14082" max="14082" width="12.140625" style="745" customWidth="1"/>
    <col min="14083" max="14083" width="51" style="745" customWidth="1"/>
    <col min="14084" max="14084" width="12.140625" style="745" customWidth="1"/>
    <col min="14085" max="14085" width="6.42578125" style="745" customWidth="1"/>
    <col min="14086" max="14086" width="14.42578125" style="745" customWidth="1"/>
    <col min="14087" max="14087" width="16.140625" style="745" customWidth="1"/>
    <col min="14088" max="14088" width="13.7109375" style="745" bestFit="1" customWidth="1"/>
    <col min="14089" max="14336" width="11" style="745"/>
    <col min="14337" max="14337" width="6.42578125" style="745" customWidth="1"/>
    <col min="14338" max="14338" width="12.140625" style="745" customWidth="1"/>
    <col min="14339" max="14339" width="51" style="745" customWidth="1"/>
    <col min="14340" max="14340" width="12.140625" style="745" customWidth="1"/>
    <col min="14341" max="14341" width="6.42578125" style="745" customWidth="1"/>
    <col min="14342" max="14342" width="14.42578125" style="745" customWidth="1"/>
    <col min="14343" max="14343" width="16.140625" style="745" customWidth="1"/>
    <col min="14344" max="14344" width="13.7109375" style="745" bestFit="1" customWidth="1"/>
    <col min="14345" max="14592" width="11" style="745"/>
    <col min="14593" max="14593" width="6.42578125" style="745" customWidth="1"/>
    <col min="14594" max="14594" width="12.140625" style="745" customWidth="1"/>
    <col min="14595" max="14595" width="51" style="745" customWidth="1"/>
    <col min="14596" max="14596" width="12.140625" style="745" customWidth="1"/>
    <col min="14597" max="14597" width="6.42578125" style="745" customWidth="1"/>
    <col min="14598" max="14598" width="14.42578125" style="745" customWidth="1"/>
    <col min="14599" max="14599" width="16.140625" style="745" customWidth="1"/>
    <col min="14600" max="14600" width="13.7109375" style="745" bestFit="1" customWidth="1"/>
    <col min="14601" max="14848" width="11" style="745"/>
    <col min="14849" max="14849" width="6.42578125" style="745" customWidth="1"/>
    <col min="14850" max="14850" width="12.140625" style="745" customWidth="1"/>
    <col min="14851" max="14851" width="51" style="745" customWidth="1"/>
    <col min="14852" max="14852" width="12.140625" style="745" customWidth="1"/>
    <col min="14853" max="14853" width="6.42578125" style="745" customWidth="1"/>
    <col min="14854" max="14854" width="14.42578125" style="745" customWidth="1"/>
    <col min="14855" max="14855" width="16.140625" style="745" customWidth="1"/>
    <col min="14856" max="14856" width="13.7109375" style="745" bestFit="1" customWidth="1"/>
    <col min="14857" max="15104" width="11" style="745"/>
    <col min="15105" max="15105" width="6.42578125" style="745" customWidth="1"/>
    <col min="15106" max="15106" width="12.140625" style="745" customWidth="1"/>
    <col min="15107" max="15107" width="51" style="745" customWidth="1"/>
    <col min="15108" max="15108" width="12.140625" style="745" customWidth="1"/>
    <col min="15109" max="15109" width="6.42578125" style="745" customWidth="1"/>
    <col min="15110" max="15110" width="14.42578125" style="745" customWidth="1"/>
    <col min="15111" max="15111" width="16.140625" style="745" customWidth="1"/>
    <col min="15112" max="15112" width="13.7109375" style="745" bestFit="1" customWidth="1"/>
    <col min="15113" max="15360" width="11" style="745"/>
    <col min="15361" max="15361" width="6.42578125" style="745" customWidth="1"/>
    <col min="15362" max="15362" width="12.140625" style="745" customWidth="1"/>
    <col min="15363" max="15363" width="51" style="745" customWidth="1"/>
    <col min="15364" max="15364" width="12.140625" style="745" customWidth="1"/>
    <col min="15365" max="15365" width="6.42578125" style="745" customWidth="1"/>
    <col min="15366" max="15366" width="14.42578125" style="745" customWidth="1"/>
    <col min="15367" max="15367" width="16.140625" style="745" customWidth="1"/>
    <col min="15368" max="15368" width="13.7109375" style="745" bestFit="1" customWidth="1"/>
    <col min="15369" max="15616" width="11" style="745"/>
    <col min="15617" max="15617" width="6.42578125" style="745" customWidth="1"/>
    <col min="15618" max="15618" width="12.140625" style="745" customWidth="1"/>
    <col min="15619" max="15619" width="51" style="745" customWidth="1"/>
    <col min="15620" max="15620" width="12.140625" style="745" customWidth="1"/>
    <col min="15621" max="15621" width="6.42578125" style="745" customWidth="1"/>
    <col min="15622" max="15622" width="14.42578125" style="745" customWidth="1"/>
    <col min="15623" max="15623" width="16.140625" style="745" customWidth="1"/>
    <col min="15624" max="15624" width="13.7109375" style="745" bestFit="1" customWidth="1"/>
    <col min="15625" max="15872" width="11" style="745"/>
    <col min="15873" max="15873" width="6.42578125" style="745" customWidth="1"/>
    <col min="15874" max="15874" width="12.140625" style="745" customWidth="1"/>
    <col min="15875" max="15875" width="51" style="745" customWidth="1"/>
    <col min="15876" max="15876" width="12.140625" style="745" customWidth="1"/>
    <col min="15877" max="15877" width="6.42578125" style="745" customWidth="1"/>
    <col min="15878" max="15878" width="14.42578125" style="745" customWidth="1"/>
    <col min="15879" max="15879" width="16.140625" style="745" customWidth="1"/>
    <col min="15880" max="15880" width="13.7109375" style="745" bestFit="1" customWidth="1"/>
    <col min="15881" max="16128" width="11" style="745"/>
    <col min="16129" max="16129" width="6.42578125" style="745" customWidth="1"/>
    <col min="16130" max="16130" width="12.140625" style="745" customWidth="1"/>
    <col min="16131" max="16131" width="51" style="745" customWidth="1"/>
    <col min="16132" max="16132" width="12.140625" style="745" customWidth="1"/>
    <col min="16133" max="16133" width="6.42578125" style="745" customWidth="1"/>
    <col min="16134" max="16134" width="14.42578125" style="745" customWidth="1"/>
    <col min="16135" max="16135" width="16.140625" style="745" customWidth="1"/>
    <col min="16136" max="16136" width="13.7109375" style="745" bestFit="1" customWidth="1"/>
    <col min="16137" max="16384" width="11" style="745"/>
  </cols>
  <sheetData>
    <row r="1" spans="1:14" s="699" customFormat="1" ht="24.95" customHeight="1" x14ac:dyDescent="0.25">
      <c r="A1" s="773" t="s">
        <v>811</v>
      </c>
      <c r="B1" s="773"/>
      <c r="C1" s="773"/>
      <c r="D1" s="773"/>
      <c r="E1" s="773"/>
      <c r="F1" s="773"/>
      <c r="G1" s="773"/>
    </row>
    <row r="2" spans="1:14" s="703" customFormat="1" ht="8.1" customHeight="1" thickBot="1" x14ac:dyDescent="0.3">
      <c r="A2" s="700"/>
      <c r="B2" s="701"/>
      <c r="C2" s="701"/>
      <c r="D2" s="701"/>
      <c r="E2" s="701"/>
      <c r="F2" s="702"/>
      <c r="G2" s="701"/>
    </row>
    <row r="3" spans="1:14" s="704" customFormat="1" thickBot="1" x14ac:dyDescent="0.3">
      <c r="A3" s="774" t="s">
        <v>812</v>
      </c>
      <c r="B3" s="775" t="s">
        <v>813</v>
      </c>
      <c r="C3" s="776" t="s">
        <v>814</v>
      </c>
      <c r="D3" s="775" t="s">
        <v>799</v>
      </c>
      <c r="E3" s="774" t="s">
        <v>2</v>
      </c>
      <c r="F3" s="777" t="s">
        <v>815</v>
      </c>
      <c r="G3" s="777" t="s">
        <v>816</v>
      </c>
    </row>
    <row r="4" spans="1:14" s="704" customFormat="1" ht="15" customHeight="1" thickBot="1" x14ac:dyDescent="0.3">
      <c r="A4" s="774"/>
      <c r="B4" s="775"/>
      <c r="C4" s="776"/>
      <c r="D4" s="775"/>
      <c r="E4" s="774"/>
      <c r="F4" s="777"/>
      <c r="G4" s="777"/>
    </row>
    <row r="5" spans="1:14" s="704" customFormat="1" ht="15" customHeight="1" x14ac:dyDescent="0.25">
      <c r="A5" s="705" t="s">
        <v>1032</v>
      </c>
      <c r="B5" s="706"/>
      <c r="C5" s="707"/>
      <c r="D5" s="706"/>
      <c r="E5" s="708"/>
      <c r="F5" s="709"/>
      <c r="G5" s="710"/>
    </row>
    <row r="6" spans="1:14" s="704" customFormat="1" ht="15" customHeight="1" x14ac:dyDescent="0.25">
      <c r="A6" s="711" t="s">
        <v>818</v>
      </c>
      <c r="B6" s="712"/>
      <c r="C6" s="713"/>
      <c r="D6" s="712"/>
      <c r="E6" s="714"/>
      <c r="F6" s="715"/>
      <c r="G6" s="716"/>
    </row>
    <row r="7" spans="1:14" s="704" customFormat="1" ht="90" x14ac:dyDescent="0.25">
      <c r="A7" s="717">
        <v>1</v>
      </c>
      <c r="B7" s="718" t="s">
        <v>819</v>
      </c>
      <c r="C7" s="719" t="s">
        <v>820</v>
      </c>
      <c r="D7" s="718">
        <v>32000</v>
      </c>
      <c r="E7" s="718" t="s">
        <v>821</v>
      </c>
      <c r="F7" s="720">
        <v>3176.25</v>
      </c>
      <c r="G7" s="721">
        <f>ROUND(F7*D7/1000,0)</f>
        <v>101640</v>
      </c>
    </row>
    <row r="8" spans="1:14" s="704" customFormat="1" ht="105" x14ac:dyDescent="0.25">
      <c r="A8" s="717">
        <f>+A7+1</f>
        <v>2</v>
      </c>
      <c r="B8" s="718" t="s">
        <v>822</v>
      </c>
      <c r="C8" s="719" t="s">
        <v>947</v>
      </c>
      <c r="D8" s="718">
        <v>425</v>
      </c>
      <c r="E8" s="718" t="s">
        <v>1033</v>
      </c>
      <c r="F8" s="720">
        <v>9.74</v>
      </c>
      <c r="G8" s="721">
        <f>ROUND(F8*D8,0)</f>
        <v>4140</v>
      </c>
    </row>
    <row r="9" spans="1:14" s="704" customFormat="1" ht="75" x14ac:dyDescent="0.25">
      <c r="A9" s="717">
        <f>+A8+1</f>
        <v>3</v>
      </c>
      <c r="B9" s="718" t="s">
        <v>824</v>
      </c>
      <c r="C9" s="719" t="s">
        <v>948</v>
      </c>
      <c r="D9" s="718">
        <v>99500</v>
      </c>
      <c r="E9" s="718" t="s">
        <v>821</v>
      </c>
      <c r="F9" s="720">
        <v>354</v>
      </c>
      <c r="G9" s="721">
        <f>ROUND(F9*D9/1000,0)</f>
        <v>35223</v>
      </c>
    </row>
    <row r="10" spans="1:14" s="704" customFormat="1" ht="120" x14ac:dyDescent="0.25">
      <c r="A10" s="717">
        <f>+A9+1</f>
        <v>4</v>
      </c>
      <c r="B10" s="718"/>
      <c r="C10" s="719" t="s">
        <v>1034</v>
      </c>
      <c r="D10" s="718"/>
      <c r="E10" s="718"/>
      <c r="F10" s="720"/>
      <c r="G10" s="721"/>
    </row>
    <row r="11" spans="1:14" s="704" customFormat="1" ht="30" x14ac:dyDescent="0.25">
      <c r="A11" s="717" t="s">
        <v>415</v>
      </c>
      <c r="B11" s="718" t="s">
        <v>828</v>
      </c>
      <c r="C11" s="719" t="s">
        <v>1035</v>
      </c>
      <c r="D11" s="718">
        <v>31250</v>
      </c>
      <c r="E11" s="718" t="s">
        <v>807</v>
      </c>
      <c r="F11" s="720">
        <v>2684</v>
      </c>
      <c r="G11" s="721">
        <f>ROUND(F11*D11/100,0)</f>
        <v>838750</v>
      </c>
    </row>
    <row r="12" spans="1:14" s="704" customFormat="1" ht="270" x14ac:dyDescent="0.25">
      <c r="A12" s="717">
        <f>+A10+1</f>
        <v>5</v>
      </c>
      <c r="B12" s="718" t="s">
        <v>1036</v>
      </c>
      <c r="C12" s="719" t="s">
        <v>1037</v>
      </c>
      <c r="D12" s="718">
        <v>6765</v>
      </c>
      <c r="E12" s="718" t="s">
        <v>807</v>
      </c>
      <c r="F12" s="720">
        <v>5252.41</v>
      </c>
      <c r="G12" s="721">
        <f>ROUND(F12*D12/100,0)</f>
        <v>355326</v>
      </c>
      <c r="M12" s="704">
        <f>7*3.142</f>
        <v>21.994</v>
      </c>
    </row>
    <row r="13" spans="1:14" s="704" customFormat="1" ht="120" x14ac:dyDescent="0.25">
      <c r="A13" s="717">
        <f>+A12+1</f>
        <v>6</v>
      </c>
      <c r="B13" s="718" t="s">
        <v>1038</v>
      </c>
      <c r="C13" s="719" t="s">
        <v>831</v>
      </c>
      <c r="D13" s="718">
        <v>3550</v>
      </c>
      <c r="E13" s="718" t="s">
        <v>807</v>
      </c>
      <c r="F13" s="720">
        <v>17197.02</v>
      </c>
      <c r="G13" s="721">
        <f>ROUND(F13*D13/100,0)</f>
        <v>610494</v>
      </c>
      <c r="M13" s="704">
        <f>+M12*2</f>
        <v>43.988</v>
      </c>
      <c r="N13" s="704">
        <f>+M13*6</f>
        <v>263.928</v>
      </c>
    </row>
    <row r="14" spans="1:14" s="704" customFormat="1" ht="120" x14ac:dyDescent="0.25">
      <c r="A14" s="717">
        <f>+A13+1</f>
        <v>7</v>
      </c>
      <c r="B14" s="718" t="s">
        <v>837</v>
      </c>
      <c r="C14" s="719" t="s">
        <v>833</v>
      </c>
      <c r="D14" s="718">
        <v>21500</v>
      </c>
      <c r="E14" s="718" t="s">
        <v>807</v>
      </c>
      <c r="F14" s="720">
        <v>25509.06</v>
      </c>
      <c r="G14" s="721">
        <f>ROUND(F14*D14/100,0)</f>
        <v>5484448</v>
      </c>
    </row>
    <row r="15" spans="1:14" s="704" customFormat="1" ht="90" x14ac:dyDescent="0.25">
      <c r="A15" s="717">
        <f>+A14+1</f>
        <v>8</v>
      </c>
      <c r="B15" s="718" t="s">
        <v>837</v>
      </c>
      <c r="C15" s="719" t="s">
        <v>838</v>
      </c>
      <c r="D15" s="718"/>
      <c r="E15" s="718"/>
      <c r="F15" s="720"/>
      <c r="G15" s="721"/>
    </row>
    <row r="16" spans="1:14" s="704" customFormat="1" x14ac:dyDescent="0.25">
      <c r="A16" s="717" t="s">
        <v>415</v>
      </c>
      <c r="B16" s="718"/>
      <c r="C16" s="719" t="s">
        <v>839</v>
      </c>
      <c r="D16" s="718">
        <v>6250</v>
      </c>
      <c r="E16" s="718" t="s">
        <v>807</v>
      </c>
      <c r="F16" s="720">
        <v>12595</v>
      </c>
      <c r="G16" s="721">
        <f>ROUND(F16*D16/100,0)</f>
        <v>787188</v>
      </c>
    </row>
    <row r="17" spans="1:7" s="704" customFormat="1" x14ac:dyDescent="0.25">
      <c r="A17" s="717" t="s">
        <v>438</v>
      </c>
      <c r="B17" s="718"/>
      <c r="C17" s="719" t="s">
        <v>840</v>
      </c>
      <c r="D17" s="718">
        <v>4250</v>
      </c>
      <c r="E17" s="718" t="s">
        <v>807</v>
      </c>
      <c r="F17" s="720">
        <v>12595</v>
      </c>
      <c r="G17" s="721">
        <f>ROUND(F17*D17/100,0)</f>
        <v>535288</v>
      </c>
    </row>
    <row r="18" spans="1:7" s="704" customFormat="1" ht="210" x14ac:dyDescent="0.25">
      <c r="A18" s="717">
        <f>+A15+1</f>
        <v>9</v>
      </c>
      <c r="B18" s="718"/>
      <c r="C18" s="719" t="s">
        <v>1039</v>
      </c>
      <c r="D18" s="718"/>
      <c r="E18" s="718"/>
      <c r="F18" s="720"/>
      <c r="G18" s="721"/>
    </row>
    <row r="19" spans="1:7" s="704" customFormat="1" x14ac:dyDescent="0.25">
      <c r="A19" s="717"/>
      <c r="B19" s="718"/>
      <c r="C19" s="719" t="s">
        <v>1040</v>
      </c>
      <c r="D19" s="718"/>
      <c r="E19" s="718"/>
      <c r="F19" s="720"/>
      <c r="G19" s="721"/>
    </row>
    <row r="20" spans="1:7" s="704" customFormat="1" x14ac:dyDescent="0.25">
      <c r="A20" s="717" t="s">
        <v>415</v>
      </c>
      <c r="B20" s="718" t="s">
        <v>845</v>
      </c>
      <c r="C20" s="719" t="s">
        <v>843</v>
      </c>
      <c r="D20" s="718">
        <v>575</v>
      </c>
      <c r="E20" s="718" t="s">
        <v>807</v>
      </c>
      <c r="F20" s="720">
        <v>27160.11</v>
      </c>
      <c r="G20" s="721">
        <f>ROUND(F20*D20/100,0)</f>
        <v>156171</v>
      </c>
    </row>
    <row r="21" spans="1:7" s="704" customFormat="1" x14ac:dyDescent="0.25">
      <c r="A21" s="717" t="s">
        <v>438</v>
      </c>
      <c r="B21" s="718" t="s">
        <v>845</v>
      </c>
      <c r="C21" s="719" t="s">
        <v>248</v>
      </c>
      <c r="D21" s="718">
        <v>875</v>
      </c>
      <c r="E21" s="718" t="s">
        <v>807</v>
      </c>
      <c r="F21" s="720">
        <v>27160.11</v>
      </c>
      <c r="G21" s="721">
        <f>ROUND(F21*D21/100,0)</f>
        <v>237651</v>
      </c>
    </row>
    <row r="22" spans="1:7" s="704" customFormat="1" x14ac:dyDescent="0.25">
      <c r="A22" s="717" t="s">
        <v>440</v>
      </c>
      <c r="B22" s="718" t="s">
        <v>845</v>
      </c>
      <c r="C22" s="719" t="s">
        <v>129</v>
      </c>
      <c r="D22" s="718">
        <v>60</v>
      </c>
      <c r="E22" s="718" t="s">
        <v>807</v>
      </c>
      <c r="F22" s="720">
        <v>27160.11</v>
      </c>
      <c r="G22" s="721">
        <f>ROUND(F22*D22/100,0)</f>
        <v>16296</v>
      </c>
    </row>
    <row r="23" spans="1:7" s="704" customFormat="1" x14ac:dyDescent="0.25">
      <c r="A23" s="717" t="s">
        <v>442</v>
      </c>
      <c r="B23" s="718" t="s">
        <v>845</v>
      </c>
      <c r="C23" s="719" t="s">
        <v>1041</v>
      </c>
      <c r="D23" s="718">
        <v>700</v>
      </c>
      <c r="E23" s="718" t="s">
        <v>807</v>
      </c>
      <c r="F23" s="720">
        <v>27160.11</v>
      </c>
      <c r="G23" s="721">
        <f>ROUND(F23*D23/100,0)</f>
        <v>190121</v>
      </c>
    </row>
    <row r="24" spans="1:7" s="704" customFormat="1" x14ac:dyDescent="0.25">
      <c r="A24" s="717"/>
      <c r="B24" s="718"/>
      <c r="C24" s="719" t="s">
        <v>848</v>
      </c>
      <c r="D24" s="718"/>
      <c r="E24" s="718"/>
      <c r="F24" s="720"/>
      <c r="G24" s="721"/>
    </row>
    <row r="25" spans="1:7" s="704" customFormat="1" x14ac:dyDescent="0.25">
      <c r="A25" s="717" t="s">
        <v>415</v>
      </c>
      <c r="B25" s="718" t="s">
        <v>845</v>
      </c>
      <c r="C25" s="719" t="s">
        <v>8</v>
      </c>
      <c r="D25" s="718">
        <v>80</v>
      </c>
      <c r="E25" s="718" t="s">
        <v>807</v>
      </c>
      <c r="F25" s="720">
        <v>27160.11</v>
      </c>
      <c r="G25" s="721">
        <f>ROUND(F25*D25/100,0)</f>
        <v>21728</v>
      </c>
    </row>
    <row r="26" spans="1:7" s="704" customFormat="1" x14ac:dyDescent="0.25">
      <c r="A26" s="717" t="s">
        <v>438</v>
      </c>
      <c r="B26" s="718" t="s">
        <v>845</v>
      </c>
      <c r="C26" s="719" t="s">
        <v>849</v>
      </c>
      <c r="D26" s="718">
        <v>90</v>
      </c>
      <c r="E26" s="718" t="s">
        <v>807</v>
      </c>
      <c r="F26" s="720">
        <v>27160.11</v>
      </c>
      <c r="G26" s="721">
        <f>ROUND(F26*D26/100,0)</f>
        <v>24444</v>
      </c>
    </row>
    <row r="27" spans="1:7" s="704" customFormat="1" x14ac:dyDescent="0.25">
      <c r="A27" s="717" t="s">
        <v>440</v>
      </c>
      <c r="B27" s="718" t="s">
        <v>845</v>
      </c>
      <c r="C27" s="719" t="s">
        <v>1042</v>
      </c>
      <c r="D27" s="718">
        <v>250</v>
      </c>
      <c r="E27" s="718" t="s">
        <v>807</v>
      </c>
      <c r="F27" s="720">
        <v>27160.11</v>
      </c>
      <c r="G27" s="721">
        <f>ROUND(F27*D27/100,0)</f>
        <v>67900</v>
      </c>
    </row>
    <row r="28" spans="1:7" s="704" customFormat="1" ht="90" x14ac:dyDescent="0.25">
      <c r="A28" s="717">
        <f>+A18+1</f>
        <v>10</v>
      </c>
      <c r="B28" s="718" t="s">
        <v>853</v>
      </c>
      <c r="C28" s="719" t="s">
        <v>957</v>
      </c>
      <c r="D28" s="718">
        <v>8</v>
      </c>
      <c r="E28" s="718" t="s">
        <v>806</v>
      </c>
      <c r="F28" s="720">
        <v>94850.71</v>
      </c>
      <c r="G28" s="721">
        <f>ROUND(F28*D28,0)</f>
        <v>758806</v>
      </c>
    </row>
    <row r="29" spans="1:7" s="704" customFormat="1" ht="75" x14ac:dyDescent="0.25">
      <c r="A29" s="717">
        <f>+A28+1</f>
        <v>11</v>
      </c>
      <c r="B29" s="718" t="s">
        <v>1043</v>
      </c>
      <c r="C29" s="719" t="s">
        <v>1044</v>
      </c>
      <c r="D29" s="718">
        <v>12000</v>
      </c>
      <c r="E29" s="718" t="s">
        <v>1045</v>
      </c>
      <c r="F29" s="720">
        <v>223.97</v>
      </c>
      <c r="G29" s="721">
        <f>ROUND(F29*D29,0)</f>
        <v>2687640</v>
      </c>
    </row>
    <row r="30" spans="1:7" s="704" customFormat="1" ht="90" x14ac:dyDescent="0.25">
      <c r="A30" s="717">
        <f>+A29+1</f>
        <v>12</v>
      </c>
      <c r="B30" s="718" t="s">
        <v>856</v>
      </c>
      <c r="C30" s="719" t="s">
        <v>958</v>
      </c>
      <c r="D30" s="718"/>
      <c r="E30" s="718"/>
      <c r="F30" s="720"/>
      <c r="G30" s="721"/>
    </row>
    <row r="31" spans="1:7" s="704" customFormat="1" x14ac:dyDescent="0.25">
      <c r="A31" s="717" t="s">
        <v>415</v>
      </c>
      <c r="B31" s="718"/>
      <c r="C31" s="719" t="s">
        <v>959</v>
      </c>
      <c r="D31" s="718">
        <v>60</v>
      </c>
      <c r="E31" s="718" t="s">
        <v>807</v>
      </c>
      <c r="F31" s="720">
        <v>14621.44</v>
      </c>
      <c r="G31" s="721">
        <f>ROUND(F31*D31/100,0)</f>
        <v>8773</v>
      </c>
    </row>
    <row r="32" spans="1:7" s="704" customFormat="1" x14ac:dyDescent="0.25">
      <c r="A32" s="717" t="s">
        <v>438</v>
      </c>
      <c r="B32" s="718"/>
      <c r="C32" s="719" t="s">
        <v>859</v>
      </c>
      <c r="D32" s="718">
        <v>26</v>
      </c>
      <c r="E32" s="718" t="s">
        <v>807</v>
      </c>
      <c r="F32" s="720">
        <v>14621.44</v>
      </c>
      <c r="G32" s="721">
        <f>ROUND(F32*D32/100,0)</f>
        <v>3802</v>
      </c>
    </row>
    <row r="33" spans="1:9" s="704" customFormat="1" ht="180" x14ac:dyDescent="0.25">
      <c r="A33" s="717">
        <f>+A30+1</f>
        <v>13</v>
      </c>
      <c r="B33" s="718" t="s">
        <v>867</v>
      </c>
      <c r="C33" s="719" t="s">
        <v>1046</v>
      </c>
      <c r="D33" s="718"/>
      <c r="E33" s="718"/>
      <c r="F33" s="720"/>
      <c r="G33" s="721"/>
    </row>
    <row r="34" spans="1:9" s="704" customFormat="1" x14ac:dyDescent="0.25">
      <c r="A34" s="717" t="s">
        <v>415</v>
      </c>
      <c r="B34" s="718"/>
      <c r="C34" s="719" t="s">
        <v>1047</v>
      </c>
      <c r="D34" s="718">
        <v>22</v>
      </c>
      <c r="E34" s="718" t="s">
        <v>855</v>
      </c>
      <c r="F34" s="720">
        <v>102319.32</v>
      </c>
      <c r="G34" s="721">
        <f>ROUND(F34*D34,0)</f>
        <v>2251025</v>
      </c>
    </row>
    <row r="35" spans="1:9" s="704" customFormat="1" ht="180" x14ac:dyDescent="0.25">
      <c r="A35" s="717">
        <f>+A33+1</f>
        <v>14</v>
      </c>
      <c r="B35" s="718" t="s">
        <v>867</v>
      </c>
      <c r="C35" s="719" t="s">
        <v>1048</v>
      </c>
      <c r="D35" s="718">
        <v>1000</v>
      </c>
      <c r="E35" s="718" t="s">
        <v>279</v>
      </c>
      <c r="F35" s="720">
        <v>102.31932</v>
      </c>
      <c r="G35" s="721">
        <f>ROUND(F35*D35,0)</f>
        <v>102319</v>
      </c>
    </row>
    <row r="36" spans="1:9" s="704" customFormat="1" ht="120" x14ac:dyDescent="0.25">
      <c r="A36" s="717">
        <f>+A35+1</f>
        <v>15</v>
      </c>
      <c r="B36" s="718" t="s">
        <v>1049</v>
      </c>
      <c r="C36" s="719" t="s">
        <v>1050</v>
      </c>
      <c r="D36" s="718">
        <v>2450</v>
      </c>
      <c r="E36" s="718" t="s">
        <v>287</v>
      </c>
      <c r="F36" s="720">
        <v>169.18</v>
      </c>
      <c r="G36" s="721">
        <f>ROUND(F36*D36,0)</f>
        <v>414491</v>
      </c>
    </row>
    <row r="37" spans="1:9" s="704" customFormat="1" ht="90" x14ac:dyDescent="0.25">
      <c r="A37" s="717">
        <f>+A36+1</f>
        <v>16</v>
      </c>
      <c r="B37" s="718" t="s">
        <v>869</v>
      </c>
      <c r="C37" s="719" t="s">
        <v>1051</v>
      </c>
      <c r="D37" s="718">
        <v>435</v>
      </c>
      <c r="E37" s="718" t="s">
        <v>836</v>
      </c>
      <c r="F37" s="720">
        <v>3912.85</v>
      </c>
      <c r="G37" s="721">
        <f>ROUND(F37*D37/100,0)</f>
        <v>17021</v>
      </c>
      <c r="I37" s="704">
        <v>3912.85</v>
      </c>
    </row>
    <row r="38" spans="1:9" s="704" customFormat="1" ht="45" x14ac:dyDescent="0.25">
      <c r="A38" s="717">
        <f>+A37+1</f>
        <v>17</v>
      </c>
      <c r="B38" s="718" t="s">
        <v>871</v>
      </c>
      <c r="C38" s="719" t="s">
        <v>1052</v>
      </c>
      <c r="D38" s="718">
        <v>2000</v>
      </c>
      <c r="E38" s="718" t="s">
        <v>836</v>
      </c>
      <c r="F38" s="720">
        <v>778.02</v>
      </c>
      <c r="G38" s="721">
        <f>ROUND(F38*D38/100,0)</f>
        <v>15560</v>
      </c>
      <c r="I38" s="704">
        <v>778.02</v>
      </c>
    </row>
    <row r="39" spans="1:9" s="704" customFormat="1" ht="105" x14ac:dyDescent="0.25">
      <c r="A39" s="717">
        <f>+A38+1</f>
        <v>18</v>
      </c>
      <c r="B39" s="718"/>
      <c r="C39" s="719" t="s">
        <v>1053</v>
      </c>
      <c r="D39" s="718"/>
      <c r="E39" s="718"/>
      <c r="F39" s="720"/>
      <c r="G39" s="721"/>
    </row>
    <row r="40" spans="1:9" s="704" customFormat="1" x14ac:dyDescent="0.25">
      <c r="A40" s="717" t="s">
        <v>415</v>
      </c>
      <c r="B40" s="718" t="s">
        <v>871</v>
      </c>
      <c r="C40" s="719" t="s">
        <v>1054</v>
      </c>
      <c r="D40" s="718">
        <v>2150</v>
      </c>
      <c r="E40" s="718" t="s">
        <v>836</v>
      </c>
      <c r="F40" s="720">
        <v>778.02</v>
      </c>
      <c r="G40" s="721">
        <f>ROUND(F40*D40/100,0)</f>
        <v>16727</v>
      </c>
      <c r="I40" s="704">
        <v>778.02</v>
      </c>
    </row>
    <row r="41" spans="1:9" s="704" customFormat="1" x14ac:dyDescent="0.25">
      <c r="A41" s="717" t="s">
        <v>438</v>
      </c>
      <c r="B41" s="718" t="s">
        <v>871</v>
      </c>
      <c r="C41" s="719" t="s">
        <v>1055</v>
      </c>
      <c r="D41" s="718">
        <v>25000</v>
      </c>
      <c r="E41" s="718" t="s">
        <v>836</v>
      </c>
      <c r="F41" s="720">
        <v>778.02</v>
      </c>
      <c r="G41" s="721">
        <f>ROUND(F41*D41/100,0)</f>
        <v>194505</v>
      </c>
      <c r="I41" s="704">
        <v>778.02</v>
      </c>
    </row>
    <row r="42" spans="1:9" s="704" customFormat="1" ht="120" x14ac:dyDescent="0.25">
      <c r="A42" s="717">
        <f>+A39+1</f>
        <v>19</v>
      </c>
      <c r="B42" s="718" t="s">
        <v>1056</v>
      </c>
      <c r="C42" s="719" t="s">
        <v>1057</v>
      </c>
      <c r="D42" s="718"/>
      <c r="E42" s="718"/>
      <c r="F42" s="720"/>
      <c r="G42" s="721"/>
    </row>
    <row r="43" spans="1:9" s="704" customFormat="1" x14ac:dyDescent="0.25">
      <c r="A43" s="717" t="s">
        <v>415</v>
      </c>
      <c r="B43" s="718"/>
      <c r="C43" s="719" t="s">
        <v>882</v>
      </c>
      <c r="D43" s="718">
        <v>40</v>
      </c>
      <c r="E43" s="718" t="s">
        <v>287</v>
      </c>
      <c r="F43" s="720">
        <v>274.85714285714283</v>
      </c>
      <c r="G43" s="721">
        <f>ROUND(F43*D43,0)</f>
        <v>10994</v>
      </c>
    </row>
    <row r="44" spans="1:9" s="704" customFormat="1" ht="135" x14ac:dyDescent="0.25">
      <c r="A44" s="717">
        <f>+A42+1</f>
        <v>20</v>
      </c>
      <c r="B44" s="718" t="s">
        <v>883</v>
      </c>
      <c r="C44" s="719" t="s">
        <v>1058</v>
      </c>
      <c r="D44" s="718"/>
      <c r="E44" s="718"/>
      <c r="F44" s="720"/>
      <c r="G44" s="721"/>
    </row>
    <row r="45" spans="1:9" s="704" customFormat="1" x14ac:dyDescent="0.25">
      <c r="A45" s="717" t="s">
        <v>415</v>
      </c>
      <c r="B45" s="718"/>
      <c r="C45" s="719" t="s">
        <v>885</v>
      </c>
      <c r="D45" s="718">
        <v>23</v>
      </c>
      <c r="E45" s="718" t="s">
        <v>10</v>
      </c>
      <c r="F45" s="720">
        <v>1182.56</v>
      </c>
      <c r="G45" s="721">
        <f>ROUND(F45*D45,0)</f>
        <v>27199</v>
      </c>
    </row>
    <row r="46" spans="1:9" s="704" customFormat="1" x14ac:dyDescent="0.25">
      <c r="A46" s="717" t="s">
        <v>438</v>
      </c>
      <c r="B46" s="718"/>
      <c r="C46" s="719" t="s">
        <v>886</v>
      </c>
      <c r="D46" s="718">
        <v>19</v>
      </c>
      <c r="E46" s="718" t="s">
        <v>10</v>
      </c>
      <c r="F46" s="720">
        <v>1182.56</v>
      </c>
      <c r="G46" s="721">
        <f>ROUND(F46*D46,0)</f>
        <v>22469</v>
      </c>
    </row>
    <row r="47" spans="1:9" s="704" customFormat="1" ht="150" x14ac:dyDescent="0.25">
      <c r="A47" s="717">
        <f>+A44+1</f>
        <v>21</v>
      </c>
      <c r="B47" s="718" t="s">
        <v>968</v>
      </c>
      <c r="C47" s="719" t="s">
        <v>890</v>
      </c>
      <c r="D47" s="718">
        <v>45</v>
      </c>
      <c r="E47" s="718" t="s">
        <v>10</v>
      </c>
      <c r="F47" s="720">
        <v>1647.69</v>
      </c>
      <c r="G47" s="721">
        <f>ROUND(F47*D47,0)</f>
        <v>74146</v>
      </c>
    </row>
    <row r="48" spans="1:9" s="704" customFormat="1" ht="45" x14ac:dyDescent="0.25">
      <c r="A48" s="717">
        <f>+A47+1</f>
        <v>22</v>
      </c>
      <c r="B48" s="718" t="s">
        <v>891</v>
      </c>
      <c r="C48" s="719" t="s">
        <v>892</v>
      </c>
      <c r="D48" s="718">
        <v>700</v>
      </c>
      <c r="E48" s="718" t="s">
        <v>836</v>
      </c>
      <c r="F48" s="720">
        <v>2241.8000000000002</v>
      </c>
      <c r="G48" s="721">
        <f>ROUND(F48*D48/100,0)</f>
        <v>15693</v>
      </c>
      <c r="I48" s="704">
        <v>2241.8000000000002</v>
      </c>
    </row>
    <row r="49" spans="1:9" s="704" customFormat="1" ht="30" x14ac:dyDescent="0.25">
      <c r="A49" s="717">
        <f>+A48+1</f>
        <v>23</v>
      </c>
      <c r="B49" s="718" t="s">
        <v>894</v>
      </c>
      <c r="C49" s="719" t="s">
        <v>895</v>
      </c>
      <c r="D49" s="718">
        <v>70</v>
      </c>
      <c r="E49" s="718" t="s">
        <v>10</v>
      </c>
      <c r="F49" s="720">
        <v>104.15</v>
      </c>
      <c r="G49" s="721">
        <f>ROUND(F49*D49,0)</f>
        <v>7291</v>
      </c>
      <c r="I49" s="704">
        <v>104.15</v>
      </c>
    </row>
    <row r="50" spans="1:9" s="704" customFormat="1" ht="45" x14ac:dyDescent="0.25">
      <c r="A50" s="717">
        <f>+A49+1</f>
        <v>24</v>
      </c>
      <c r="B50" s="718" t="s">
        <v>896</v>
      </c>
      <c r="C50" s="719" t="s">
        <v>897</v>
      </c>
      <c r="D50" s="718"/>
      <c r="E50" s="718"/>
      <c r="F50" s="720"/>
      <c r="G50" s="721"/>
    </row>
    <row r="51" spans="1:9" s="704" customFormat="1" x14ac:dyDescent="0.25">
      <c r="A51" s="717" t="s">
        <v>415</v>
      </c>
      <c r="B51" s="718"/>
      <c r="C51" s="719" t="s">
        <v>898</v>
      </c>
      <c r="D51" s="718">
        <v>200</v>
      </c>
      <c r="E51" s="718" t="s">
        <v>836</v>
      </c>
      <c r="F51" s="720">
        <v>3191.76</v>
      </c>
      <c r="G51" s="721">
        <f>ROUND(F51*D51/100,0)</f>
        <v>6384</v>
      </c>
      <c r="I51" s="704">
        <v>3191.76</v>
      </c>
    </row>
    <row r="52" spans="1:9" s="704" customFormat="1" ht="135" x14ac:dyDescent="0.25">
      <c r="A52" s="717">
        <f>+A50+1</f>
        <v>25</v>
      </c>
      <c r="B52" s="718" t="s">
        <v>899</v>
      </c>
      <c r="C52" s="719" t="s">
        <v>900</v>
      </c>
      <c r="D52" s="718">
        <v>300</v>
      </c>
      <c r="E52" s="718" t="s">
        <v>836</v>
      </c>
      <c r="F52" s="720">
        <v>3444.38</v>
      </c>
      <c r="G52" s="721">
        <f>ROUND(F52*D52/100,0)</f>
        <v>10333</v>
      </c>
      <c r="I52" s="704">
        <v>3444.38</v>
      </c>
    </row>
    <row r="53" spans="1:9" s="704" customFormat="1" ht="90" x14ac:dyDescent="0.25">
      <c r="A53" s="717">
        <f>+A52+1</f>
        <v>26</v>
      </c>
      <c r="B53" s="718" t="s">
        <v>901</v>
      </c>
      <c r="C53" s="719" t="s">
        <v>902</v>
      </c>
      <c r="D53" s="718">
        <v>400</v>
      </c>
      <c r="E53" s="718" t="s">
        <v>836</v>
      </c>
      <c r="F53" s="720">
        <v>2237.9499999999998</v>
      </c>
      <c r="G53" s="721">
        <f>ROUND(F53*D53/100,0)</f>
        <v>8952</v>
      </c>
      <c r="I53" s="704">
        <v>2237.9499999999998</v>
      </c>
    </row>
    <row r="54" spans="1:9" s="704" customFormat="1" ht="90" x14ac:dyDescent="0.25">
      <c r="A54" s="717">
        <f>+A53+1</f>
        <v>27</v>
      </c>
      <c r="B54" s="718" t="s">
        <v>910</v>
      </c>
      <c r="C54" s="719" t="s">
        <v>911</v>
      </c>
      <c r="D54" s="718">
        <v>200</v>
      </c>
      <c r="E54" s="718" t="s">
        <v>836</v>
      </c>
      <c r="F54" s="720">
        <v>2567.9499999999998</v>
      </c>
      <c r="G54" s="721">
        <f>ROUND(F54*D54/100,0)</f>
        <v>5136</v>
      </c>
      <c r="I54" s="704">
        <v>2567.9499999999998</v>
      </c>
    </row>
    <row r="55" spans="1:9" s="704" customFormat="1" ht="150" x14ac:dyDescent="0.25">
      <c r="A55" s="717">
        <f>+A54+1</f>
        <v>28</v>
      </c>
      <c r="B55" s="718" t="s">
        <v>915</v>
      </c>
      <c r="C55" s="719" t="s">
        <v>1059</v>
      </c>
      <c r="D55" s="718">
        <v>140</v>
      </c>
      <c r="E55" s="718" t="s">
        <v>836</v>
      </c>
      <c r="F55" s="720">
        <v>28299.3</v>
      </c>
      <c r="G55" s="721">
        <f>ROUND(F55*D55/100,0)</f>
        <v>39619</v>
      </c>
      <c r="I55" s="704">
        <v>28299.3</v>
      </c>
    </row>
    <row r="56" spans="1:9" s="704" customFormat="1" ht="135" x14ac:dyDescent="0.25">
      <c r="A56" s="717"/>
      <c r="B56" s="718"/>
      <c r="C56" s="719" t="s">
        <v>1060</v>
      </c>
      <c r="D56" s="718"/>
      <c r="E56" s="718"/>
      <c r="F56" s="720"/>
      <c r="G56" s="721"/>
    </row>
    <row r="57" spans="1:9" s="704" customFormat="1" x14ac:dyDescent="0.25">
      <c r="A57" s="717">
        <f>+A55+1</f>
        <v>29</v>
      </c>
      <c r="B57" s="718" t="s">
        <v>915</v>
      </c>
      <c r="C57" s="719" t="s">
        <v>1061</v>
      </c>
      <c r="D57" s="718">
        <v>30</v>
      </c>
      <c r="E57" s="718" t="s">
        <v>836</v>
      </c>
      <c r="F57" s="720">
        <v>28299.3</v>
      </c>
      <c r="G57" s="721">
        <f>ROUND(F57*D57/100,0)</f>
        <v>8490</v>
      </c>
      <c r="I57" s="704">
        <v>28299.3</v>
      </c>
    </row>
    <row r="58" spans="1:9" s="704" customFormat="1" ht="75" x14ac:dyDescent="0.25">
      <c r="A58" s="717">
        <f t="shared" ref="A58:A69" si="0">+A57+1</f>
        <v>30</v>
      </c>
      <c r="B58" s="718" t="s">
        <v>1062</v>
      </c>
      <c r="C58" s="719" t="s">
        <v>975</v>
      </c>
      <c r="D58" s="718">
        <v>366</v>
      </c>
      <c r="E58" s="718" t="s">
        <v>807</v>
      </c>
      <c r="F58" s="720">
        <v>12595</v>
      </c>
      <c r="G58" s="721">
        <f>ROUND(F58*D58/100,0)</f>
        <v>46098</v>
      </c>
      <c r="I58" s="704">
        <v>12595</v>
      </c>
    </row>
    <row r="59" spans="1:9" s="704" customFormat="1" ht="90" x14ac:dyDescent="0.25">
      <c r="A59" s="717">
        <f t="shared" si="0"/>
        <v>31</v>
      </c>
      <c r="B59" s="718" t="s">
        <v>1063</v>
      </c>
      <c r="C59" s="719" t="s">
        <v>1064</v>
      </c>
      <c r="D59" s="718">
        <v>3500</v>
      </c>
      <c r="E59" s="718" t="s">
        <v>836</v>
      </c>
      <c r="F59" s="720">
        <v>11180.65</v>
      </c>
      <c r="G59" s="721">
        <f>ROUND(F59*D59/100,0)</f>
        <v>391323</v>
      </c>
      <c r="I59" s="704">
        <v>11180.65</v>
      </c>
    </row>
    <row r="60" spans="1:9" s="704" customFormat="1" ht="75" x14ac:dyDescent="0.25">
      <c r="A60" s="717">
        <f t="shared" si="0"/>
        <v>32</v>
      </c>
      <c r="B60" s="718" t="s">
        <v>1065</v>
      </c>
      <c r="C60" s="719" t="s">
        <v>1066</v>
      </c>
      <c r="D60" s="718">
        <v>12500</v>
      </c>
      <c r="E60" s="718" t="s">
        <v>807</v>
      </c>
      <c r="F60" s="720">
        <v>7708.47</v>
      </c>
      <c r="G60" s="721">
        <f>ROUND(F60*D60/100,0)</f>
        <v>963559</v>
      </c>
      <c r="I60" s="704">
        <v>7708.47</v>
      </c>
    </row>
    <row r="61" spans="1:9" s="704" customFormat="1" ht="105" x14ac:dyDescent="0.25">
      <c r="A61" s="717">
        <f t="shared" si="0"/>
        <v>33</v>
      </c>
      <c r="B61" s="718" t="s">
        <v>1067</v>
      </c>
      <c r="C61" s="719" t="s">
        <v>1068</v>
      </c>
      <c r="D61" s="718">
        <v>6605.8395499999997</v>
      </c>
      <c r="E61" s="718" t="s">
        <v>821</v>
      </c>
      <c r="F61" s="720">
        <v>3000</v>
      </c>
      <c r="G61" s="721">
        <f>ROUND(F61*D61/1000,0)</f>
        <v>19818</v>
      </c>
    </row>
    <row r="62" spans="1:9" s="704" customFormat="1" ht="105" x14ac:dyDescent="0.25">
      <c r="A62" s="717">
        <f t="shared" si="0"/>
        <v>34</v>
      </c>
      <c r="B62" s="718" t="s">
        <v>822</v>
      </c>
      <c r="C62" s="719" t="s">
        <v>1069</v>
      </c>
      <c r="D62" s="718">
        <v>356</v>
      </c>
      <c r="E62" s="718" t="s">
        <v>10</v>
      </c>
      <c r="F62" s="720">
        <v>9.74</v>
      </c>
      <c r="G62" s="721">
        <f>ROUND(F62*D62,0)</f>
        <v>3467</v>
      </c>
    </row>
    <row r="63" spans="1:9" s="704" customFormat="1" ht="75" x14ac:dyDescent="0.25">
      <c r="A63" s="717">
        <f t="shared" si="0"/>
        <v>35</v>
      </c>
      <c r="B63" s="718" t="s">
        <v>824</v>
      </c>
      <c r="C63" s="719" t="s">
        <v>948</v>
      </c>
      <c r="D63" s="718">
        <v>3500</v>
      </c>
      <c r="E63" s="718" t="s">
        <v>821</v>
      </c>
      <c r="F63" s="720">
        <v>354</v>
      </c>
      <c r="G63" s="721">
        <f>ROUND(F63*D63/1000,0)</f>
        <v>1239</v>
      </c>
    </row>
    <row r="64" spans="1:9" s="704" customFormat="1" ht="45" x14ac:dyDescent="0.25">
      <c r="A64" s="717">
        <f t="shared" si="0"/>
        <v>36</v>
      </c>
      <c r="B64" s="718" t="s">
        <v>826</v>
      </c>
      <c r="C64" s="719" t="s">
        <v>1070</v>
      </c>
      <c r="D64" s="718">
        <v>3500</v>
      </c>
      <c r="E64" s="718" t="s">
        <v>821</v>
      </c>
      <c r="F64" s="720">
        <v>3630</v>
      </c>
      <c r="G64" s="721">
        <f>ROUND(F64*D64/1000,0)</f>
        <v>12705</v>
      </c>
    </row>
    <row r="65" spans="1:9" s="704" customFormat="1" ht="60" x14ac:dyDescent="0.25">
      <c r="A65" s="717">
        <f t="shared" si="0"/>
        <v>37</v>
      </c>
      <c r="B65" s="718" t="s">
        <v>828</v>
      </c>
      <c r="C65" s="719" t="s">
        <v>829</v>
      </c>
      <c r="D65" s="718">
        <v>356</v>
      </c>
      <c r="E65" s="718" t="s">
        <v>807</v>
      </c>
      <c r="F65" s="720">
        <v>2684</v>
      </c>
      <c r="G65" s="721">
        <f>ROUND(F65*D65/100,0)</f>
        <v>9555</v>
      </c>
    </row>
    <row r="66" spans="1:9" s="704" customFormat="1" ht="90" x14ac:dyDescent="0.25">
      <c r="A66" s="717">
        <f t="shared" si="0"/>
        <v>38</v>
      </c>
      <c r="B66" s="718" t="s">
        <v>1038</v>
      </c>
      <c r="C66" s="719" t="s">
        <v>1071</v>
      </c>
      <c r="D66" s="718">
        <v>234.99504999999999</v>
      </c>
      <c r="E66" s="718" t="s">
        <v>807</v>
      </c>
      <c r="F66" s="720">
        <v>17197.02</v>
      </c>
      <c r="G66" s="721">
        <f>ROUND(F66*D66/100,0)</f>
        <v>40412</v>
      </c>
    </row>
    <row r="67" spans="1:9" s="704" customFormat="1" ht="210" x14ac:dyDescent="0.25">
      <c r="A67" s="717">
        <f t="shared" si="0"/>
        <v>39</v>
      </c>
      <c r="B67" s="718" t="s">
        <v>845</v>
      </c>
      <c r="C67" s="719" t="s">
        <v>1072</v>
      </c>
      <c r="D67" s="718">
        <v>1109.0764260000001</v>
      </c>
      <c r="E67" s="718" t="s">
        <v>807</v>
      </c>
      <c r="F67" s="720">
        <v>27160.11</v>
      </c>
      <c r="G67" s="721">
        <f>ROUND(F67*D67/100,0)</f>
        <v>301226</v>
      </c>
    </row>
    <row r="68" spans="1:9" s="704" customFormat="1" ht="90" x14ac:dyDescent="0.25">
      <c r="A68" s="717">
        <f t="shared" si="0"/>
        <v>40</v>
      </c>
      <c r="B68" s="718" t="s">
        <v>853</v>
      </c>
      <c r="C68" s="719" t="s">
        <v>957</v>
      </c>
      <c r="D68" s="718">
        <v>4.5351734820392702</v>
      </c>
      <c r="E68" s="718" t="s">
        <v>855</v>
      </c>
      <c r="F68" s="720">
        <v>94850.71</v>
      </c>
      <c r="G68" s="721">
        <f>ROUND(F68*D68,0)</f>
        <v>430164</v>
      </c>
    </row>
    <row r="69" spans="1:9" s="704" customFormat="1" ht="90" x14ac:dyDescent="0.25">
      <c r="A69" s="717">
        <f t="shared" si="0"/>
        <v>41</v>
      </c>
      <c r="B69" s="718" t="s">
        <v>856</v>
      </c>
      <c r="C69" s="719" t="s">
        <v>1073</v>
      </c>
      <c r="D69" s="718"/>
      <c r="E69" s="718"/>
      <c r="F69" s="720"/>
      <c r="G69" s="721"/>
    </row>
    <row r="70" spans="1:9" s="704" customFormat="1" x14ac:dyDescent="0.25">
      <c r="A70" s="717" t="s">
        <v>415</v>
      </c>
      <c r="B70" s="718"/>
      <c r="C70" s="719" t="s">
        <v>858</v>
      </c>
      <c r="D70" s="718">
        <v>125</v>
      </c>
      <c r="E70" s="718" t="s">
        <v>807</v>
      </c>
      <c r="F70" s="720">
        <v>14621.44</v>
      </c>
      <c r="G70" s="721">
        <f>ROUND(F70*D70/100,0)</f>
        <v>18277</v>
      </c>
    </row>
    <row r="71" spans="1:9" s="704" customFormat="1" ht="45" x14ac:dyDescent="0.25">
      <c r="A71" s="717">
        <f>+A69+1</f>
        <v>42</v>
      </c>
      <c r="B71" s="718" t="s">
        <v>891</v>
      </c>
      <c r="C71" s="719" t="s">
        <v>1074</v>
      </c>
      <c r="D71" s="718"/>
      <c r="E71" s="718"/>
      <c r="F71" s="720"/>
      <c r="G71" s="721"/>
    </row>
    <row r="72" spans="1:9" s="704" customFormat="1" x14ac:dyDescent="0.25">
      <c r="A72" s="717"/>
      <c r="B72" s="718"/>
      <c r="C72" s="719" t="s">
        <v>893</v>
      </c>
      <c r="D72" s="718">
        <v>624</v>
      </c>
      <c r="E72" s="718" t="s">
        <v>836</v>
      </c>
      <c r="F72" s="720">
        <v>2241.8000000000002</v>
      </c>
      <c r="G72" s="721">
        <f>ROUND(F72*D72/100,0)</f>
        <v>13989</v>
      </c>
    </row>
    <row r="73" spans="1:9" s="704" customFormat="1" ht="30" x14ac:dyDescent="0.25">
      <c r="A73" s="717">
        <f>+A71+1</f>
        <v>43</v>
      </c>
      <c r="B73" s="718" t="s">
        <v>894</v>
      </c>
      <c r="C73" s="719" t="s">
        <v>895</v>
      </c>
      <c r="D73" s="718">
        <v>62.400000000000006</v>
      </c>
      <c r="E73" s="718" t="s">
        <v>10</v>
      </c>
      <c r="F73" s="720">
        <v>104.15</v>
      </c>
      <c r="G73" s="721">
        <f>ROUND(F73*D73,0)</f>
        <v>6499</v>
      </c>
    </row>
    <row r="74" spans="1:9" s="704" customFormat="1" ht="15" customHeight="1" x14ac:dyDescent="0.25">
      <c r="A74" s="722" t="s">
        <v>926</v>
      </c>
      <c r="B74" s="723"/>
      <c r="C74" s="724"/>
      <c r="D74" s="723"/>
      <c r="E74" s="725"/>
      <c r="F74" s="726"/>
      <c r="G74" s="727"/>
    </row>
    <row r="75" spans="1:9" s="704" customFormat="1" ht="30" x14ac:dyDescent="0.25">
      <c r="A75" s="717">
        <f>+A73+1</f>
        <v>44</v>
      </c>
      <c r="B75" s="718" t="s">
        <v>927</v>
      </c>
      <c r="C75" s="719" t="s">
        <v>1075</v>
      </c>
      <c r="D75" s="718">
        <v>2000</v>
      </c>
      <c r="E75" s="718" t="s">
        <v>85</v>
      </c>
      <c r="F75" s="720">
        <v>2500</v>
      </c>
      <c r="G75" s="721">
        <f>ROUND(F75*D75,0)</f>
        <v>5000000</v>
      </c>
    </row>
    <row r="76" spans="1:9" s="704" customFormat="1" ht="240" x14ac:dyDescent="0.25">
      <c r="A76" s="717">
        <f>+A75+1</f>
        <v>45</v>
      </c>
      <c r="B76" s="718" t="s">
        <v>927</v>
      </c>
      <c r="C76" s="719" t="s">
        <v>1076</v>
      </c>
      <c r="D76" s="718"/>
      <c r="E76" s="718"/>
      <c r="F76" s="720"/>
      <c r="G76" s="721"/>
    </row>
    <row r="77" spans="1:9" s="704" customFormat="1" x14ac:dyDescent="0.25">
      <c r="A77" s="717"/>
      <c r="B77" s="718"/>
      <c r="C77" s="719" t="s">
        <v>930</v>
      </c>
      <c r="D77" s="718">
        <v>865</v>
      </c>
      <c r="E77" s="718" t="s">
        <v>11</v>
      </c>
      <c r="F77" s="720">
        <v>650</v>
      </c>
      <c r="G77" s="721">
        <f t="shared" ref="G77:G82" si="1">ROUND(F77*D77,0)</f>
        <v>562250</v>
      </c>
    </row>
    <row r="78" spans="1:9" s="704" customFormat="1" ht="270" x14ac:dyDescent="0.25">
      <c r="A78" s="717">
        <f>+A76+1</f>
        <v>46</v>
      </c>
      <c r="B78" s="718" t="s">
        <v>927</v>
      </c>
      <c r="C78" s="719" t="s">
        <v>1077</v>
      </c>
      <c r="D78" s="718">
        <v>160</v>
      </c>
      <c r="E78" s="718" t="s">
        <v>10</v>
      </c>
      <c r="F78" s="720">
        <v>700</v>
      </c>
      <c r="G78" s="721">
        <f t="shared" si="1"/>
        <v>112000</v>
      </c>
    </row>
    <row r="79" spans="1:9" s="704" customFormat="1" ht="105" x14ac:dyDescent="0.25">
      <c r="A79" s="717">
        <f>+A78+1</f>
        <v>47</v>
      </c>
      <c r="B79" s="718" t="s">
        <v>927</v>
      </c>
      <c r="C79" s="719" t="s">
        <v>1078</v>
      </c>
      <c r="D79" s="718">
        <v>30</v>
      </c>
      <c r="E79" s="718" t="s">
        <v>1033</v>
      </c>
      <c r="F79" s="720">
        <v>110</v>
      </c>
      <c r="G79" s="721">
        <f t="shared" si="1"/>
        <v>3300</v>
      </c>
      <c r="I79" s="704">
        <v>110</v>
      </c>
    </row>
    <row r="80" spans="1:9" s="704" customFormat="1" ht="165" x14ac:dyDescent="0.25">
      <c r="A80" s="717">
        <f>+A79+1</f>
        <v>48</v>
      </c>
      <c r="B80" s="718" t="s">
        <v>927</v>
      </c>
      <c r="C80" s="719" t="s">
        <v>1079</v>
      </c>
      <c r="D80" s="718">
        <v>425</v>
      </c>
      <c r="E80" s="718" t="s">
        <v>10</v>
      </c>
      <c r="F80" s="720">
        <v>260</v>
      </c>
      <c r="G80" s="721">
        <f t="shared" si="1"/>
        <v>110500</v>
      </c>
      <c r="I80" s="704">
        <v>260</v>
      </c>
    </row>
    <row r="81" spans="1:9" s="704" customFormat="1" ht="105" x14ac:dyDescent="0.25">
      <c r="A81" s="717">
        <f>+A80+1</f>
        <v>49</v>
      </c>
      <c r="B81" s="718" t="s">
        <v>927</v>
      </c>
      <c r="C81" s="719" t="s">
        <v>1080</v>
      </c>
      <c r="D81" s="718">
        <v>55</v>
      </c>
      <c r="E81" s="718" t="s">
        <v>287</v>
      </c>
      <c r="F81" s="720">
        <v>50</v>
      </c>
      <c r="G81" s="721">
        <f t="shared" si="1"/>
        <v>2750</v>
      </c>
      <c r="I81" s="704">
        <v>50</v>
      </c>
    </row>
    <row r="82" spans="1:9" s="704" customFormat="1" ht="75" x14ac:dyDescent="0.25">
      <c r="A82" s="717">
        <f>+A81+1</f>
        <v>50</v>
      </c>
      <c r="B82" s="718" t="s">
        <v>927</v>
      </c>
      <c r="C82" s="719" t="s">
        <v>1081</v>
      </c>
      <c r="D82" s="718">
        <v>20500</v>
      </c>
      <c r="E82" s="718" t="s">
        <v>1033</v>
      </c>
      <c r="F82" s="720">
        <v>50</v>
      </c>
      <c r="G82" s="721">
        <f t="shared" si="1"/>
        <v>1025000</v>
      </c>
      <c r="I82" s="704">
        <v>50</v>
      </c>
    </row>
    <row r="83" spans="1:9" s="704" customFormat="1" ht="60" x14ac:dyDescent="0.25">
      <c r="A83" s="717">
        <f>+A82+1</f>
        <v>51</v>
      </c>
      <c r="B83" s="718" t="s">
        <v>927</v>
      </c>
      <c r="C83" s="719" t="s">
        <v>1082</v>
      </c>
      <c r="D83" s="718"/>
      <c r="E83" s="718"/>
      <c r="F83" s="720"/>
      <c r="G83" s="721"/>
    </row>
    <row r="84" spans="1:9" s="704" customFormat="1" x14ac:dyDescent="0.25">
      <c r="A84" s="717" t="s">
        <v>415</v>
      </c>
      <c r="B84" s="718"/>
      <c r="C84" s="719" t="s">
        <v>1083</v>
      </c>
      <c r="D84" s="718">
        <v>50</v>
      </c>
      <c r="E84" s="718" t="s">
        <v>1084</v>
      </c>
      <c r="F84" s="720">
        <v>10000</v>
      </c>
      <c r="G84" s="721">
        <f t="shared" ref="G84:G89" si="2">ROUND(F84*D84,0)</f>
        <v>500000</v>
      </c>
    </row>
    <row r="85" spans="1:9" s="704" customFormat="1" ht="75" x14ac:dyDescent="0.25">
      <c r="A85" s="717">
        <f>+A83+1</f>
        <v>52</v>
      </c>
      <c r="B85" s="718" t="s">
        <v>927</v>
      </c>
      <c r="C85" s="719" t="s">
        <v>1085</v>
      </c>
      <c r="D85" s="718">
        <v>500</v>
      </c>
      <c r="E85" s="718" t="s">
        <v>10</v>
      </c>
      <c r="F85" s="720">
        <v>120</v>
      </c>
      <c r="G85" s="721">
        <f t="shared" si="2"/>
        <v>60000</v>
      </c>
    </row>
    <row r="86" spans="1:9" s="704" customFormat="1" ht="60" x14ac:dyDescent="0.25">
      <c r="A86" s="717">
        <f>+A85+1</f>
        <v>53</v>
      </c>
      <c r="B86" s="718" t="s">
        <v>927</v>
      </c>
      <c r="C86" s="719" t="s">
        <v>1086</v>
      </c>
      <c r="D86" s="718">
        <v>100</v>
      </c>
      <c r="E86" s="718" t="s">
        <v>10</v>
      </c>
      <c r="F86" s="720">
        <v>100</v>
      </c>
      <c r="G86" s="721">
        <f t="shared" si="2"/>
        <v>10000</v>
      </c>
    </row>
    <row r="87" spans="1:9" s="704" customFormat="1" ht="75" x14ac:dyDescent="0.25">
      <c r="A87" s="717">
        <f>+A86+1</f>
        <v>54</v>
      </c>
      <c r="B87" s="718" t="s">
        <v>927</v>
      </c>
      <c r="C87" s="719" t="s">
        <v>1087</v>
      </c>
      <c r="D87" s="718">
        <v>2500</v>
      </c>
      <c r="E87" s="718" t="s">
        <v>287</v>
      </c>
      <c r="F87" s="720">
        <v>200</v>
      </c>
      <c r="G87" s="721">
        <f t="shared" si="2"/>
        <v>500000</v>
      </c>
    </row>
    <row r="88" spans="1:9" s="704" customFormat="1" ht="75" x14ac:dyDescent="0.25">
      <c r="A88" s="717">
        <f>+A87+1</f>
        <v>55</v>
      </c>
      <c r="B88" s="718" t="s">
        <v>927</v>
      </c>
      <c r="C88" s="719" t="s">
        <v>1088</v>
      </c>
      <c r="D88" s="718">
        <v>2300</v>
      </c>
      <c r="E88" s="718" t="s">
        <v>287</v>
      </c>
      <c r="F88" s="720">
        <v>450</v>
      </c>
      <c r="G88" s="721">
        <f t="shared" si="2"/>
        <v>1035000</v>
      </c>
    </row>
    <row r="89" spans="1:9" s="704" customFormat="1" ht="195" x14ac:dyDescent="0.25">
      <c r="A89" s="717">
        <f>+A88+1</f>
        <v>56</v>
      </c>
      <c r="B89" s="718" t="s">
        <v>927</v>
      </c>
      <c r="C89" s="719" t="s">
        <v>1089</v>
      </c>
      <c r="D89" s="718">
        <v>1</v>
      </c>
      <c r="E89" s="718" t="s">
        <v>1090</v>
      </c>
      <c r="F89" s="720">
        <v>1850000</v>
      </c>
      <c r="G89" s="721">
        <f t="shared" si="2"/>
        <v>1850000</v>
      </c>
    </row>
    <row r="90" spans="1:9" s="704" customFormat="1" x14ac:dyDescent="0.25">
      <c r="A90" s="728"/>
      <c r="B90" s="729"/>
      <c r="C90" s="730"/>
      <c r="D90" s="729"/>
      <c r="E90" s="729"/>
      <c r="F90" s="731"/>
      <c r="G90" s="732"/>
    </row>
    <row r="91" spans="1:9" s="667" customFormat="1" ht="30" customHeight="1" x14ac:dyDescent="0.25">
      <c r="A91" s="772" t="s">
        <v>809</v>
      </c>
      <c r="B91" s="772"/>
      <c r="C91" s="772"/>
      <c r="D91" s="772"/>
      <c r="E91" s="772"/>
      <c r="F91" s="772"/>
      <c r="G91" s="733">
        <f>SUM(G7:G90)</f>
        <v>29203314</v>
      </c>
    </row>
    <row r="92" spans="1:9" s="738" customFormat="1" x14ac:dyDescent="0.25">
      <c r="A92" s="734"/>
      <c r="B92" s="735"/>
      <c r="C92" s="736"/>
      <c r="D92" s="735"/>
      <c r="E92" s="737"/>
    </row>
  </sheetData>
  <mergeCells count="9">
    <mergeCell ref="A91:F91"/>
    <mergeCell ref="A1:G1"/>
    <mergeCell ref="A3:A4"/>
    <mergeCell ref="B3:B4"/>
    <mergeCell ref="C3:C4"/>
    <mergeCell ref="D3:D4"/>
    <mergeCell ref="E3:E4"/>
    <mergeCell ref="F3:F4"/>
    <mergeCell ref="G3:G4"/>
  </mergeCells>
  <printOptions horizontalCentered="1"/>
  <pageMargins left="0.5" right="0" top="0.5" bottom="0.55000000000000004" header="0.17" footer="0"/>
  <pageSetup paperSize="9" scale="81" fitToHeight="0" orientation="portrait" r:id="rId1"/>
  <headerFooter alignWithMargins="0">
    <oddFooter>&amp;R&amp;8______________________________
&amp;A
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57"/>
  <sheetViews>
    <sheetView view="pageBreakPreview" topLeftCell="A52" zoomScaleSheetLayoutView="100" workbookViewId="0">
      <selection activeCell="I6" sqref="I6"/>
    </sheetView>
  </sheetViews>
  <sheetFormatPr defaultColWidth="23.5703125" defaultRowHeight="15" x14ac:dyDescent="0.25"/>
  <cols>
    <col min="1" max="1" width="5.7109375" style="8" customWidth="1"/>
    <col min="2" max="2" width="52.7109375" style="7" customWidth="1"/>
    <col min="3" max="6" width="10.7109375" style="3" customWidth="1"/>
    <col min="7" max="7" width="13.7109375" style="56" customWidth="1"/>
    <col min="8" max="8" width="13.7109375" style="70" customWidth="1"/>
    <col min="9" max="9" width="7.7109375" style="22" customWidth="1"/>
    <col min="10" max="16384" width="23.5703125" style="5"/>
  </cols>
  <sheetData>
    <row r="1" spans="1:11" s="1" customFormat="1" ht="24.95" customHeight="1" x14ac:dyDescent="0.25">
      <c r="A1" s="778" t="s">
        <v>27</v>
      </c>
      <c r="B1" s="778"/>
      <c r="C1" s="778"/>
      <c r="D1" s="778"/>
      <c r="E1" s="778"/>
      <c r="F1" s="778"/>
      <c r="G1" s="778"/>
      <c r="H1" s="778"/>
      <c r="I1" s="778"/>
    </row>
    <row r="2" spans="1:11" s="1" customFormat="1" ht="24.95" customHeight="1" x14ac:dyDescent="0.25">
      <c r="A2" s="778" t="s">
        <v>45</v>
      </c>
      <c r="B2" s="778"/>
      <c r="C2" s="778"/>
      <c r="D2" s="778"/>
      <c r="E2" s="778"/>
      <c r="F2" s="778"/>
      <c r="G2" s="778"/>
      <c r="H2" s="778"/>
      <c r="I2" s="778"/>
    </row>
    <row r="3" spans="1:11" s="1" customFormat="1" ht="15" customHeight="1" x14ac:dyDescent="0.25">
      <c r="A3" s="12"/>
      <c r="B3" s="2"/>
      <c r="C3" s="2"/>
      <c r="D3" s="2"/>
      <c r="E3" s="2"/>
      <c r="F3" s="2"/>
      <c r="G3" s="47"/>
      <c r="H3" s="62"/>
      <c r="I3" s="2"/>
    </row>
    <row r="4" spans="1:11" s="3" customFormat="1" ht="30" x14ac:dyDescent="0.25">
      <c r="A4" s="17" t="s">
        <v>28</v>
      </c>
      <c r="B4" s="18" t="s">
        <v>0</v>
      </c>
      <c r="C4" s="18" t="s">
        <v>13</v>
      </c>
      <c r="D4" s="18" t="s">
        <v>14</v>
      </c>
      <c r="E4" s="18" t="s">
        <v>15</v>
      </c>
      <c r="F4" s="18" t="s">
        <v>16</v>
      </c>
      <c r="G4" s="18" t="s">
        <v>1</v>
      </c>
      <c r="H4" s="68" t="s">
        <v>30</v>
      </c>
      <c r="I4" s="18" t="s">
        <v>2</v>
      </c>
    </row>
    <row r="5" spans="1:11" s="3" customFormat="1" ht="18.75" customHeight="1" x14ac:dyDescent="0.25">
      <c r="A5" s="19" t="s">
        <v>3</v>
      </c>
      <c r="B5" s="20"/>
      <c r="C5" s="27"/>
      <c r="D5" s="27"/>
      <c r="E5" s="27"/>
      <c r="F5" s="27"/>
      <c r="G5" s="48"/>
      <c r="H5" s="69"/>
      <c r="I5" s="21"/>
    </row>
    <row r="6" spans="1:11" ht="156.75" x14ac:dyDescent="0.25">
      <c r="A6" s="65">
        <v>1.01</v>
      </c>
      <c r="B6" s="66" t="s">
        <v>20</v>
      </c>
      <c r="C6" s="28"/>
      <c r="D6" s="29"/>
      <c r="E6" s="29"/>
      <c r="F6" s="29"/>
      <c r="G6" s="49"/>
      <c r="H6" s="63"/>
      <c r="I6" s="23"/>
    </row>
    <row r="7" spans="1:11" x14ac:dyDescent="0.25">
      <c r="A7" s="14" t="s">
        <v>4</v>
      </c>
      <c r="B7" s="9" t="s">
        <v>17</v>
      </c>
      <c r="C7" s="30"/>
      <c r="D7" s="31"/>
      <c r="E7" s="31"/>
      <c r="F7" s="31"/>
      <c r="G7" s="50"/>
      <c r="H7" s="25"/>
      <c r="I7" s="24"/>
    </row>
    <row r="8" spans="1:11" x14ac:dyDescent="0.25">
      <c r="A8" s="13"/>
      <c r="B8" s="4" t="s">
        <v>18</v>
      </c>
      <c r="C8" s="32">
        <v>7</v>
      </c>
      <c r="D8" s="33">
        <f>5.67</f>
        <v>5.67</v>
      </c>
      <c r="E8" s="33">
        <v>5.67</v>
      </c>
      <c r="F8" s="33">
        <v>5</v>
      </c>
      <c r="G8" s="51">
        <f>PRODUCT(C8:F8)</f>
        <v>1125.2114999999999</v>
      </c>
      <c r="H8" s="64"/>
      <c r="I8" s="24"/>
      <c r="J8" s="11"/>
      <c r="K8" s="11"/>
    </row>
    <row r="9" spans="1:11" ht="15" customHeight="1" x14ac:dyDescent="0.25">
      <c r="A9" s="13"/>
      <c r="B9" s="10"/>
      <c r="C9" s="779" t="s">
        <v>29</v>
      </c>
      <c r="D9" s="779"/>
      <c r="E9" s="779"/>
      <c r="F9" s="779"/>
      <c r="G9" s="53">
        <f>SUM(G8:G8)</f>
        <v>1125.2114999999999</v>
      </c>
      <c r="H9" s="67">
        <f>ROUND(G9*1.001,0)</f>
        <v>1126</v>
      </c>
      <c r="I9" s="26" t="s">
        <v>11</v>
      </c>
    </row>
    <row r="10" spans="1:11" x14ac:dyDescent="0.25">
      <c r="A10" s="57">
        <v>2</v>
      </c>
      <c r="B10" s="59" t="s">
        <v>36</v>
      </c>
      <c r="C10" s="36"/>
      <c r="D10" s="37"/>
      <c r="E10" s="37"/>
      <c r="F10" s="37"/>
      <c r="G10" s="52"/>
      <c r="H10" s="25"/>
      <c r="I10" s="24"/>
    </row>
    <row r="11" spans="1:11" x14ac:dyDescent="0.25">
      <c r="A11" s="13"/>
      <c r="B11" s="4" t="s">
        <v>24</v>
      </c>
      <c r="C11" s="32"/>
      <c r="D11" s="33"/>
      <c r="E11" s="33"/>
      <c r="F11" s="33"/>
      <c r="G11" s="51">
        <f>G9</f>
        <v>1125.2114999999999</v>
      </c>
      <c r="H11" s="64"/>
      <c r="I11" s="24"/>
    </row>
    <row r="12" spans="1:11" x14ac:dyDescent="0.25">
      <c r="A12" s="13"/>
      <c r="B12" s="4" t="s">
        <v>21</v>
      </c>
      <c r="C12" s="32"/>
      <c r="D12" s="33"/>
      <c r="E12" s="33"/>
      <c r="F12" s="33"/>
      <c r="G12" s="51">
        <f>-G31</f>
        <v>-74.263959</v>
      </c>
      <c r="H12" s="64"/>
      <c r="I12" s="24"/>
    </row>
    <row r="13" spans="1:11" x14ac:dyDescent="0.25">
      <c r="A13" s="13"/>
      <c r="B13" s="4" t="s">
        <v>22</v>
      </c>
      <c r="C13" s="32"/>
      <c r="D13" s="33"/>
      <c r="E13" s="33"/>
      <c r="F13" s="33"/>
      <c r="G13" s="51">
        <f>-G33</f>
        <v>-262.5</v>
      </c>
      <c r="H13" s="64"/>
      <c r="I13" s="24"/>
    </row>
    <row r="14" spans="1:11" x14ac:dyDescent="0.25">
      <c r="A14" s="13"/>
      <c r="B14" s="4" t="s">
        <v>23</v>
      </c>
      <c r="C14" s="32"/>
      <c r="D14" s="33"/>
      <c r="E14" s="33"/>
      <c r="F14" s="33"/>
      <c r="G14" s="51">
        <f>-G34/5*3</f>
        <v>-47.25</v>
      </c>
      <c r="H14" s="64"/>
      <c r="I14" s="24"/>
    </row>
    <row r="15" spans="1:11" ht="15" customHeight="1" x14ac:dyDescent="0.25">
      <c r="A15" s="13"/>
      <c r="B15" s="10"/>
      <c r="C15" s="779" t="s">
        <v>29</v>
      </c>
      <c r="D15" s="779"/>
      <c r="E15" s="779"/>
      <c r="F15" s="779"/>
      <c r="G15" s="53">
        <f>SUM(G11:G14)</f>
        <v>741.197541</v>
      </c>
      <c r="H15" s="67">
        <f>ROUND(G15*1.001,0)</f>
        <v>742</v>
      </c>
      <c r="I15" s="26" t="s">
        <v>11</v>
      </c>
    </row>
    <row r="16" spans="1:11" ht="28.5" x14ac:dyDescent="0.25">
      <c r="A16" s="57">
        <v>3</v>
      </c>
      <c r="B16" s="58" t="s">
        <v>5</v>
      </c>
      <c r="C16" s="38"/>
      <c r="D16" s="39"/>
      <c r="E16" s="39"/>
      <c r="F16" s="39"/>
      <c r="G16" s="54"/>
      <c r="H16" s="25"/>
      <c r="I16" s="24"/>
    </row>
    <row r="17" spans="1:11" x14ac:dyDescent="0.25">
      <c r="A17" s="13"/>
      <c r="B17" s="4"/>
      <c r="C17" s="32">
        <f>C8</f>
        <v>7</v>
      </c>
      <c r="D17" s="33">
        <f>D8</f>
        <v>5.67</v>
      </c>
      <c r="E17" s="76">
        <f>E8</f>
        <v>5.67</v>
      </c>
      <c r="F17" s="33"/>
      <c r="G17" s="51">
        <f>PRODUCT(C17:F17)</f>
        <v>225.04229999999998</v>
      </c>
      <c r="H17" s="77"/>
      <c r="I17" s="24"/>
    </row>
    <row r="18" spans="1:11" x14ac:dyDescent="0.25">
      <c r="A18" s="13"/>
      <c r="B18" s="4"/>
      <c r="C18" s="32">
        <f>C17</f>
        <v>7</v>
      </c>
      <c r="D18" s="76">
        <f>SUM(D17:E17)*2</f>
        <v>22.68</v>
      </c>
      <c r="E18" s="76" t="s">
        <v>19</v>
      </c>
      <c r="F18" s="76">
        <f>F8</f>
        <v>5</v>
      </c>
      <c r="G18" s="51">
        <f>PRODUCT(C18:F18)</f>
        <v>793.8</v>
      </c>
      <c r="H18" s="72"/>
      <c r="I18" s="73"/>
    </row>
    <row r="19" spans="1:11" ht="15" customHeight="1" x14ac:dyDescent="0.25">
      <c r="A19" s="13"/>
      <c r="B19" s="10"/>
      <c r="C19" s="779" t="s">
        <v>29</v>
      </c>
      <c r="D19" s="779"/>
      <c r="E19" s="779"/>
      <c r="F19" s="779"/>
      <c r="G19" s="53">
        <f>SUM(G17:G18)</f>
        <v>1018.8422999999999</v>
      </c>
      <c r="H19" s="67">
        <f>ROUND(G19*1.001,0)</f>
        <v>1020</v>
      </c>
      <c r="I19" s="26" t="s">
        <v>32</v>
      </c>
    </row>
    <row r="20" spans="1:11" ht="42.75" x14ac:dyDescent="0.25">
      <c r="A20" s="57">
        <v>4</v>
      </c>
      <c r="B20" s="58" t="s">
        <v>25</v>
      </c>
      <c r="C20" s="38"/>
      <c r="D20" s="39"/>
      <c r="E20" s="39"/>
      <c r="F20" s="39"/>
      <c r="G20" s="54"/>
      <c r="H20" s="25"/>
      <c r="I20" s="24"/>
    </row>
    <row r="21" spans="1:11" x14ac:dyDescent="0.25">
      <c r="A21" s="14" t="s">
        <v>4</v>
      </c>
      <c r="B21" s="9" t="s">
        <v>17</v>
      </c>
      <c r="C21" s="30"/>
      <c r="D21" s="31"/>
      <c r="E21" s="31"/>
      <c r="F21" s="31"/>
      <c r="G21" s="50"/>
      <c r="H21" s="25"/>
      <c r="I21" s="24"/>
    </row>
    <row r="22" spans="1:11" x14ac:dyDescent="0.25">
      <c r="A22" s="13"/>
      <c r="B22" s="4" t="s">
        <v>18</v>
      </c>
      <c r="C22" s="32">
        <f>C17</f>
        <v>7</v>
      </c>
      <c r="D22" s="33">
        <f>D17</f>
        <v>5.67</v>
      </c>
      <c r="E22" s="76">
        <f>E17</f>
        <v>5.67</v>
      </c>
      <c r="F22" s="33">
        <v>0.5</v>
      </c>
      <c r="G22" s="51">
        <f>PRODUCT(C22:F22)</f>
        <v>112.52114999999999</v>
      </c>
      <c r="H22" s="64"/>
      <c r="I22" s="24"/>
      <c r="J22" s="11"/>
      <c r="K22" s="11"/>
    </row>
    <row r="23" spans="1:11" ht="15" customHeight="1" x14ac:dyDescent="0.25">
      <c r="A23" s="13"/>
      <c r="B23" s="10"/>
      <c r="C23" s="779" t="s">
        <v>29</v>
      </c>
      <c r="D23" s="779"/>
      <c r="E23" s="779"/>
      <c r="F23" s="779"/>
      <c r="G23" s="53">
        <f>SUM(G22:G22)</f>
        <v>112.52114999999999</v>
      </c>
      <c r="H23" s="67">
        <f>ROUND(G23*1.001,0)</f>
        <v>113</v>
      </c>
      <c r="I23" s="26" t="s">
        <v>11</v>
      </c>
    </row>
    <row r="24" spans="1:11" x14ac:dyDescent="0.25">
      <c r="A24" s="57">
        <v>5</v>
      </c>
      <c r="B24" s="60" t="s">
        <v>26</v>
      </c>
      <c r="C24" s="45"/>
      <c r="D24" s="46"/>
      <c r="E24" s="46"/>
      <c r="F24" s="46"/>
      <c r="G24" s="54"/>
      <c r="H24" s="25"/>
      <c r="I24" s="24"/>
    </row>
    <row r="25" spans="1:11" x14ac:dyDescent="0.25">
      <c r="A25" s="15"/>
      <c r="B25" s="6" t="s">
        <v>33</v>
      </c>
      <c r="C25" s="42"/>
      <c r="D25" s="43"/>
      <c r="E25" s="43"/>
      <c r="F25" s="43"/>
      <c r="G25" s="50"/>
      <c r="H25" s="25"/>
      <c r="I25" s="24"/>
    </row>
    <row r="26" spans="1:11" x14ac:dyDescent="0.25">
      <c r="A26" s="13"/>
      <c r="B26" s="4" t="s">
        <v>18</v>
      </c>
      <c r="C26" s="32">
        <f>C30</f>
        <v>7</v>
      </c>
      <c r="D26" s="33">
        <f>D30</f>
        <v>5.67</v>
      </c>
      <c r="E26" s="76">
        <f>E30</f>
        <v>5.67</v>
      </c>
      <c r="F26" s="33" t="s">
        <v>19</v>
      </c>
      <c r="G26" s="51">
        <f>PRODUCT(C26:F26)</f>
        <v>225.04229999999998</v>
      </c>
      <c r="H26" s="64"/>
      <c r="I26" s="24"/>
      <c r="J26" s="11"/>
      <c r="K26" s="11"/>
    </row>
    <row r="27" spans="1:11" ht="15" customHeight="1" x14ac:dyDescent="0.25">
      <c r="A27" s="13"/>
      <c r="B27" s="10"/>
      <c r="C27" s="779" t="s">
        <v>29</v>
      </c>
      <c r="D27" s="779"/>
      <c r="E27" s="779"/>
      <c r="F27" s="779"/>
      <c r="G27" s="53">
        <f>SUM(G26:G26)</f>
        <v>225.04229999999998</v>
      </c>
      <c r="H27" s="67">
        <f>ROUND(G27*1.001,0)</f>
        <v>225</v>
      </c>
      <c r="I27" s="26" t="s">
        <v>11</v>
      </c>
    </row>
    <row r="28" spans="1:11" ht="71.25" x14ac:dyDescent="0.25">
      <c r="A28" s="57">
        <v>6</v>
      </c>
      <c r="B28" s="58" t="s">
        <v>6</v>
      </c>
      <c r="C28" s="38"/>
      <c r="D28" s="39"/>
      <c r="E28" s="39"/>
      <c r="F28" s="39"/>
      <c r="G28" s="54"/>
      <c r="H28" s="25"/>
      <c r="I28" s="24"/>
    </row>
    <row r="29" spans="1:11" x14ac:dyDescent="0.25">
      <c r="A29" s="14" t="s">
        <v>4</v>
      </c>
      <c r="B29" s="9" t="s">
        <v>17</v>
      </c>
      <c r="C29" s="30"/>
      <c r="D29" s="31"/>
      <c r="E29" s="31"/>
      <c r="F29" s="31"/>
      <c r="G29" s="50"/>
      <c r="H29" s="25"/>
      <c r="I29" s="24"/>
    </row>
    <row r="30" spans="1:11" x14ac:dyDescent="0.25">
      <c r="A30" s="13"/>
      <c r="B30" s="4" t="s">
        <v>18</v>
      </c>
      <c r="C30" s="32">
        <f>C22</f>
        <v>7</v>
      </c>
      <c r="D30" s="33">
        <f>D22</f>
        <v>5.67</v>
      </c>
      <c r="E30" s="76">
        <f>E22</f>
        <v>5.67</v>
      </c>
      <c r="F30" s="33">
        <v>0.33</v>
      </c>
      <c r="G30" s="51">
        <f>PRODUCT(C30:F30)</f>
        <v>74.263959</v>
      </c>
      <c r="H30" s="64"/>
      <c r="I30" s="24"/>
      <c r="J30" s="11"/>
      <c r="K30" s="11"/>
    </row>
    <row r="31" spans="1:11" ht="15" customHeight="1" x14ac:dyDescent="0.25">
      <c r="A31" s="13"/>
      <c r="B31" s="10"/>
      <c r="C31" s="779" t="s">
        <v>29</v>
      </c>
      <c r="D31" s="779"/>
      <c r="E31" s="779"/>
      <c r="F31" s="779"/>
      <c r="G31" s="53">
        <f>SUM(G30:G30)</f>
        <v>74.263959</v>
      </c>
      <c r="H31" s="67">
        <f>ROUND(G31*1.001,0)</f>
        <v>74</v>
      </c>
      <c r="I31" s="26" t="s">
        <v>11</v>
      </c>
    </row>
    <row r="32" spans="1:11" ht="171" x14ac:dyDescent="0.25">
      <c r="A32" s="57">
        <v>8</v>
      </c>
      <c r="B32" s="58" t="s">
        <v>7</v>
      </c>
      <c r="C32" s="38"/>
      <c r="D32" s="39"/>
      <c r="E32" s="39"/>
      <c r="F32" s="39"/>
      <c r="G32" s="54"/>
      <c r="H32" s="25"/>
      <c r="I32" s="24"/>
    </row>
    <row r="33" spans="1:11" x14ac:dyDescent="0.25">
      <c r="A33" s="13"/>
      <c r="B33" s="16" t="s">
        <v>18</v>
      </c>
      <c r="C33" s="32">
        <f>C30</f>
        <v>7</v>
      </c>
      <c r="D33" s="33">
        <f>D30-0.67</f>
        <v>5</v>
      </c>
      <c r="E33" s="76">
        <f>E30-0.67</f>
        <v>5</v>
      </c>
      <c r="F33" s="33">
        <v>1.5</v>
      </c>
      <c r="G33" s="51">
        <f>PRODUCT(C33:F33)</f>
        <v>262.5</v>
      </c>
      <c r="H33" s="64"/>
      <c r="I33" s="24"/>
      <c r="J33" s="11"/>
      <c r="K33" s="11"/>
    </row>
    <row r="34" spans="1:11" x14ac:dyDescent="0.25">
      <c r="A34" s="13"/>
      <c r="B34" s="16" t="s">
        <v>37</v>
      </c>
      <c r="C34" s="32">
        <f>C33</f>
        <v>7</v>
      </c>
      <c r="D34" s="33">
        <v>1.5</v>
      </c>
      <c r="E34" s="33">
        <v>1.5</v>
      </c>
      <c r="F34" s="33">
        <v>5</v>
      </c>
      <c r="G34" s="51">
        <f t="shared" ref="G34" si="0">PRODUCT(C34:F34)</f>
        <v>78.75</v>
      </c>
      <c r="H34" s="64"/>
      <c r="I34" s="24"/>
      <c r="J34" s="11"/>
      <c r="K34" s="11"/>
    </row>
    <row r="35" spans="1:11" ht="15" customHeight="1" x14ac:dyDescent="0.25">
      <c r="A35" s="13"/>
      <c r="B35" s="10"/>
      <c r="C35" s="779" t="s">
        <v>29</v>
      </c>
      <c r="D35" s="779"/>
      <c r="E35" s="779"/>
      <c r="F35" s="779"/>
      <c r="G35" s="53">
        <f>SUM(G33:G34)</f>
        <v>341.25</v>
      </c>
      <c r="H35" s="67">
        <f>ROUND(G35*1.001,0)</f>
        <v>342</v>
      </c>
      <c r="I35" s="26" t="s">
        <v>11</v>
      </c>
    </row>
    <row r="36" spans="1:11" ht="42.75" x14ac:dyDescent="0.25">
      <c r="A36" s="57">
        <v>9</v>
      </c>
      <c r="B36" s="58" t="s">
        <v>35</v>
      </c>
      <c r="C36" s="40"/>
      <c r="D36" s="41"/>
      <c r="E36" s="41"/>
      <c r="F36" s="41"/>
      <c r="G36" s="55"/>
      <c r="H36" s="25"/>
      <c r="I36" s="24"/>
    </row>
    <row r="37" spans="1:11" x14ac:dyDescent="0.25">
      <c r="A37" s="15"/>
      <c r="B37" s="6" t="s">
        <v>34</v>
      </c>
      <c r="C37" s="42"/>
      <c r="D37" s="43"/>
      <c r="E37" s="43"/>
      <c r="F37" s="43"/>
      <c r="G37" s="50"/>
      <c r="H37" s="25"/>
      <c r="I37" s="24"/>
    </row>
    <row r="38" spans="1:11" x14ac:dyDescent="0.25">
      <c r="A38" s="13"/>
      <c r="B38" s="16" t="s">
        <v>18</v>
      </c>
      <c r="C38" s="32">
        <f>C33</f>
        <v>7</v>
      </c>
      <c r="D38" s="44">
        <f>D33</f>
        <v>5</v>
      </c>
      <c r="E38" s="76">
        <f>E33</f>
        <v>5</v>
      </c>
      <c r="F38" s="44" t="s">
        <v>19</v>
      </c>
      <c r="G38" s="51">
        <f>PRODUCT(C38:F38)</f>
        <v>175</v>
      </c>
      <c r="H38" s="64"/>
      <c r="I38" s="24"/>
      <c r="J38" s="11"/>
      <c r="K38" s="11"/>
    </row>
    <row r="39" spans="1:11" x14ac:dyDescent="0.25">
      <c r="A39" s="13"/>
      <c r="B39" s="16" t="s">
        <v>38</v>
      </c>
      <c r="C39" s="32">
        <f>C34</f>
        <v>7</v>
      </c>
      <c r="D39" s="44">
        <f>(SUM(D38:E38))*2</f>
        <v>20</v>
      </c>
      <c r="E39" s="76" t="s">
        <v>19</v>
      </c>
      <c r="F39" s="44">
        <f>F33</f>
        <v>1.5</v>
      </c>
      <c r="G39" s="51">
        <f>PRODUCT(C39:F39)</f>
        <v>210</v>
      </c>
      <c r="H39" s="64"/>
      <c r="I39" s="24"/>
      <c r="J39" s="11"/>
      <c r="K39" s="11"/>
    </row>
    <row r="40" spans="1:11" x14ac:dyDescent="0.25">
      <c r="A40" s="13"/>
      <c r="B40" s="16" t="s">
        <v>8</v>
      </c>
      <c r="C40" s="32">
        <f>C39</f>
        <v>7</v>
      </c>
      <c r="D40" s="76">
        <f>(SUM(D39:E39))*2</f>
        <v>40</v>
      </c>
      <c r="E40" s="76" t="s">
        <v>19</v>
      </c>
      <c r="F40" s="76">
        <f>F34-F39</f>
        <v>3.5</v>
      </c>
      <c r="G40" s="51">
        <f>PRODUCT(C40:F40)</f>
        <v>980</v>
      </c>
      <c r="H40" s="64"/>
      <c r="I40" s="24"/>
      <c r="J40" s="11"/>
      <c r="K40" s="11"/>
    </row>
    <row r="41" spans="1:11" ht="15" customHeight="1" x14ac:dyDescent="0.25">
      <c r="A41" s="13"/>
      <c r="B41" s="10"/>
      <c r="C41" s="779" t="s">
        <v>29</v>
      </c>
      <c r="D41" s="779"/>
      <c r="E41" s="779"/>
      <c r="F41" s="779"/>
      <c r="G41" s="53">
        <f>SUM(G37:G40)</f>
        <v>1365</v>
      </c>
      <c r="H41" s="67">
        <f>ROUND(G41*1.001,0)</f>
        <v>1366</v>
      </c>
      <c r="I41" s="26" t="s">
        <v>10</v>
      </c>
    </row>
    <row r="42" spans="1:11" ht="42.75" x14ac:dyDescent="0.25">
      <c r="A42" s="57">
        <v>10</v>
      </c>
      <c r="B42" s="61" t="s">
        <v>9</v>
      </c>
      <c r="C42" s="30"/>
      <c r="D42" s="31"/>
      <c r="E42" s="31"/>
      <c r="F42" s="31"/>
      <c r="G42" s="50"/>
      <c r="H42" s="25"/>
      <c r="I42" s="24"/>
    </row>
    <row r="43" spans="1:11" x14ac:dyDescent="0.25">
      <c r="A43" s="13"/>
      <c r="B43" s="4"/>
      <c r="C43" s="32">
        <v>1</v>
      </c>
      <c r="D43" s="33">
        <f>G35</f>
        <v>341.25</v>
      </c>
      <c r="E43" s="33">
        <v>3.5</v>
      </c>
      <c r="F43" s="33" t="s">
        <v>31</v>
      </c>
      <c r="G43" s="51">
        <f>ROUND(PRODUCT(C43:F43),-3)</f>
        <v>1000</v>
      </c>
      <c r="H43" s="64"/>
      <c r="I43" s="24"/>
    </row>
    <row r="44" spans="1:11" ht="15" customHeight="1" x14ac:dyDescent="0.25">
      <c r="A44" s="13"/>
      <c r="B44" s="10"/>
      <c r="C44" s="779" t="s">
        <v>29</v>
      </c>
      <c r="D44" s="779"/>
      <c r="E44" s="779"/>
      <c r="F44" s="779"/>
      <c r="G44" s="53">
        <f>SUM(G43)</f>
        <v>1000</v>
      </c>
      <c r="H44" s="67">
        <f>ROUND(G44*1.001,0)</f>
        <v>1001</v>
      </c>
      <c r="I44" s="26" t="s">
        <v>12</v>
      </c>
    </row>
    <row r="45" spans="1:11" x14ac:dyDescent="0.25">
      <c r="A45" s="71">
        <v>11</v>
      </c>
      <c r="B45" s="61" t="s">
        <v>39</v>
      </c>
      <c r="C45" s="34"/>
      <c r="D45" s="35"/>
      <c r="E45" s="35"/>
      <c r="F45" s="35"/>
      <c r="G45" s="52"/>
      <c r="H45" s="25"/>
      <c r="I45" s="24"/>
    </row>
    <row r="46" spans="1:11" x14ac:dyDescent="0.25">
      <c r="A46" s="13"/>
      <c r="B46" s="16" t="s">
        <v>40</v>
      </c>
      <c r="C46" s="32">
        <f>C39</f>
        <v>7</v>
      </c>
      <c r="D46" s="44">
        <v>1.5</v>
      </c>
      <c r="E46" s="44">
        <v>1.5</v>
      </c>
      <c r="F46" s="44">
        <f>3/4/12</f>
        <v>6.25E-2</v>
      </c>
      <c r="G46" s="51">
        <f>PRODUCT(C46:F46)</f>
        <v>0.984375</v>
      </c>
      <c r="H46" s="64"/>
      <c r="I46" s="24"/>
    </row>
    <row r="47" spans="1:11" x14ac:dyDescent="0.25">
      <c r="A47" s="13"/>
      <c r="B47" s="16" t="s">
        <v>8</v>
      </c>
      <c r="C47" s="32">
        <f>C46*4</f>
        <v>28</v>
      </c>
      <c r="D47" s="76">
        <v>12.5</v>
      </c>
      <c r="E47" s="76">
        <f>J47</f>
        <v>1.3840000000000001</v>
      </c>
      <c r="F47" s="76">
        <f>K47</f>
        <v>1.6E-2</v>
      </c>
      <c r="G47" s="51">
        <f>PRODUCT(C47:F47)</f>
        <v>7.7504000000000008</v>
      </c>
      <c r="H47" s="64"/>
      <c r="I47" s="24"/>
      <c r="J47" s="5">
        <f>0.33+0.33+0.33+0.33+(K47*4)</f>
        <v>1.3840000000000001</v>
      </c>
      <c r="K47" s="5">
        <f>ROUND(3/16/12,3)</f>
        <v>1.6E-2</v>
      </c>
    </row>
    <row r="48" spans="1:11" x14ac:dyDescent="0.25">
      <c r="A48" s="13"/>
      <c r="B48" s="16" t="s">
        <v>41</v>
      </c>
      <c r="C48" s="32">
        <f>ROUND((D47/3)*C46,2)</f>
        <v>29.17</v>
      </c>
      <c r="D48" s="76">
        <f>0.33*4</f>
        <v>1.32</v>
      </c>
      <c r="E48" s="76">
        <f>E47</f>
        <v>1.3840000000000001</v>
      </c>
      <c r="F48" s="76">
        <f>F47</f>
        <v>1.6E-2</v>
      </c>
      <c r="G48" s="51">
        <f t="shared" ref="G48:G54" si="1">PRODUCT(C48:F48)</f>
        <v>0.85264143360000011</v>
      </c>
      <c r="H48" s="64"/>
      <c r="I48" s="24"/>
    </row>
    <row r="49" spans="1:11" x14ac:dyDescent="0.25">
      <c r="A49" s="13"/>
      <c r="B49" s="16" t="s">
        <v>42</v>
      </c>
      <c r="C49" s="32">
        <f>C46</f>
        <v>7</v>
      </c>
      <c r="D49" s="76">
        <v>41.83</v>
      </c>
      <c r="E49" s="76">
        <f>J49</f>
        <v>3.0540000000000003</v>
      </c>
      <c r="F49" s="76">
        <f>K49</f>
        <v>3.5999999999999997E-2</v>
      </c>
      <c r="G49" s="51">
        <f>PRODUCT(C49:F49)</f>
        <v>32.19270264</v>
      </c>
      <c r="H49" s="64"/>
      <c r="I49" s="24"/>
      <c r="J49" s="5">
        <f>1.5+0.75+0.33+0.33+(K49*4)</f>
        <v>3.0540000000000003</v>
      </c>
      <c r="K49" s="5">
        <f>ROUND(7/16/12,3)</f>
        <v>3.5999999999999997E-2</v>
      </c>
    </row>
    <row r="50" spans="1:11" x14ac:dyDescent="0.25">
      <c r="A50" s="13"/>
      <c r="B50" s="16" t="s">
        <v>43</v>
      </c>
      <c r="C50" s="32">
        <v>42</v>
      </c>
      <c r="D50" s="76">
        <f>D49</f>
        <v>41.83</v>
      </c>
      <c r="E50" s="76">
        <v>0.25</v>
      </c>
      <c r="F50" s="76">
        <f>3/16/12</f>
        <v>1.5625E-2</v>
      </c>
      <c r="G50" s="51">
        <f t="shared" si="1"/>
        <v>6.8627343749999996</v>
      </c>
      <c r="H50" s="64"/>
      <c r="I50" s="24"/>
    </row>
    <row r="51" spans="1:11" x14ac:dyDescent="0.25">
      <c r="A51" s="13"/>
      <c r="B51" s="16"/>
      <c r="C51" s="32">
        <f>C50*2</f>
        <v>84</v>
      </c>
      <c r="D51" s="76">
        <f>D50</f>
        <v>41.83</v>
      </c>
      <c r="E51" s="76">
        <f>1+F50</f>
        <v>1.015625</v>
      </c>
      <c r="F51" s="76">
        <f>1/4/12</f>
        <v>2.0833333333333332E-2</v>
      </c>
      <c r="G51" s="51">
        <f t="shared" si="1"/>
        <v>74.346289062499991</v>
      </c>
      <c r="H51" s="64"/>
      <c r="I51" s="24"/>
    </row>
    <row r="52" spans="1:11" x14ac:dyDescent="0.25">
      <c r="A52" s="13"/>
      <c r="B52" s="16" t="s">
        <v>44</v>
      </c>
      <c r="C52" s="32">
        <v>10</v>
      </c>
      <c r="D52" s="76">
        <v>120</v>
      </c>
      <c r="E52" s="76">
        <v>0.5</v>
      </c>
      <c r="F52" s="76">
        <f>F50</f>
        <v>1.5625E-2</v>
      </c>
      <c r="G52" s="51">
        <f t="shared" si="1"/>
        <v>9.375</v>
      </c>
      <c r="H52" s="64"/>
      <c r="I52" s="24"/>
    </row>
    <row r="53" spans="1:11" x14ac:dyDescent="0.25">
      <c r="A53" s="13"/>
      <c r="B53" s="16"/>
      <c r="C53" s="32">
        <f>C52*2</f>
        <v>20</v>
      </c>
      <c r="D53" s="76">
        <f>D52</f>
        <v>120</v>
      </c>
      <c r="E53" s="76">
        <f>0.07291666666667+0.08</f>
        <v>0.15291666666667</v>
      </c>
      <c r="F53" s="76">
        <f>5/16/12</f>
        <v>2.6041666666666668E-2</v>
      </c>
      <c r="G53" s="51">
        <f t="shared" si="1"/>
        <v>9.5572916666668757</v>
      </c>
      <c r="H53" s="64"/>
      <c r="I53" s="24"/>
    </row>
    <row r="54" spans="1:11" x14ac:dyDescent="0.25">
      <c r="A54" s="13"/>
      <c r="B54" s="16"/>
      <c r="C54" s="32">
        <f>C46</f>
        <v>7</v>
      </c>
      <c r="D54" s="76">
        <v>1.5</v>
      </c>
      <c r="E54" s="76">
        <v>1.5</v>
      </c>
      <c r="F54" s="76">
        <f>3/4/12</f>
        <v>6.25E-2</v>
      </c>
      <c r="G54" s="51">
        <f t="shared" si="1"/>
        <v>0.984375</v>
      </c>
      <c r="H54" s="64"/>
      <c r="I54" s="24"/>
    </row>
    <row r="55" spans="1:11" x14ac:dyDescent="0.25">
      <c r="A55" s="13"/>
      <c r="B55" s="16"/>
      <c r="C55" s="32"/>
      <c r="D55" s="76"/>
      <c r="E55" s="76"/>
      <c r="F55" s="76"/>
      <c r="G55" s="51">
        <f>SUM(G46:G54)</f>
        <v>142.90580917776688</v>
      </c>
      <c r="H55" s="64"/>
      <c r="I55" s="24"/>
    </row>
    <row r="56" spans="1:11" x14ac:dyDescent="0.25">
      <c r="A56" s="13"/>
      <c r="B56" s="4"/>
      <c r="C56" s="32">
        <v>1</v>
      </c>
      <c r="D56" s="44">
        <f>G55</f>
        <v>142.90580917776688</v>
      </c>
      <c r="E56" s="44">
        <f>490/2.204</f>
        <v>222.32304900181487</v>
      </c>
      <c r="F56" s="44" t="s">
        <v>19</v>
      </c>
      <c r="G56" s="51">
        <f>PRODUCT(C56:F56)*1.15</f>
        <v>36536.943498943569</v>
      </c>
      <c r="H56" s="64"/>
      <c r="I56" s="24"/>
    </row>
    <row r="57" spans="1:11" ht="15" customHeight="1" x14ac:dyDescent="0.25">
      <c r="A57" s="13"/>
      <c r="B57" s="10"/>
      <c r="C57" s="779" t="s">
        <v>29</v>
      </c>
      <c r="D57" s="779"/>
      <c r="E57" s="779"/>
      <c r="F57" s="779"/>
      <c r="G57" s="53">
        <f>SUM(G46:G56)</f>
        <v>36822.755117299101</v>
      </c>
      <c r="H57" s="67">
        <f>ROUND(G57*1.001,0)</f>
        <v>36860</v>
      </c>
      <c r="I57" s="26" t="s">
        <v>10</v>
      </c>
    </row>
  </sheetData>
  <mergeCells count="12">
    <mergeCell ref="A1:I1"/>
    <mergeCell ref="C57:F57"/>
    <mergeCell ref="C44:F44"/>
    <mergeCell ref="C15:F15"/>
    <mergeCell ref="C27:F27"/>
    <mergeCell ref="C35:F35"/>
    <mergeCell ref="C9:F9"/>
    <mergeCell ref="A2:I2"/>
    <mergeCell ref="C41:F41"/>
    <mergeCell ref="C19:F19"/>
    <mergeCell ref="C23:F23"/>
    <mergeCell ref="C31:F31"/>
  </mergeCells>
  <printOptions horizontalCentered="1"/>
  <pageMargins left="0.5" right="0.25" top="0.55000000000000004" bottom="0.25" header="0.17" footer="0.17"/>
  <pageSetup paperSize="9" scale="70" fitToHeight="0" orientation="portrait" r:id="rId1"/>
  <headerFooter alignWithMargins="0">
    <oddHeader>&amp;R&amp;"Arial Narrow,Regular"&amp;10&amp;A
 Page &amp;P of &amp;N</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60"/>
  <sheetViews>
    <sheetView view="pageBreakPreview" zoomScaleSheetLayoutView="100" workbookViewId="0">
      <selection activeCell="I6" sqref="I6"/>
    </sheetView>
  </sheetViews>
  <sheetFormatPr defaultColWidth="23.5703125" defaultRowHeight="15" x14ac:dyDescent="0.25"/>
  <cols>
    <col min="1" max="1" width="5.7109375" style="8" customWidth="1"/>
    <col min="2" max="2" width="52.7109375" style="7" customWidth="1"/>
    <col min="3" max="6" width="10.7109375" style="3" customWidth="1"/>
    <col min="7" max="7" width="13.7109375" style="56" customWidth="1"/>
    <col min="8" max="8" width="13.7109375" style="70" customWidth="1"/>
    <col min="9" max="9" width="7.7109375" style="22" customWidth="1"/>
    <col min="10" max="16384" width="23.5703125" style="5"/>
  </cols>
  <sheetData>
    <row r="1" spans="1:11" s="1" customFormat="1" ht="24.95" customHeight="1" x14ac:dyDescent="0.25">
      <c r="A1" s="778" t="s">
        <v>27</v>
      </c>
      <c r="B1" s="778"/>
      <c r="C1" s="778"/>
      <c r="D1" s="778"/>
      <c r="E1" s="778"/>
      <c r="F1" s="778"/>
      <c r="G1" s="778"/>
      <c r="H1" s="778"/>
      <c r="I1" s="778"/>
    </row>
    <row r="2" spans="1:11" s="1" customFormat="1" ht="24.95" customHeight="1" x14ac:dyDescent="0.25">
      <c r="A2" s="778" t="s">
        <v>125</v>
      </c>
      <c r="B2" s="778"/>
      <c r="C2" s="778"/>
      <c r="D2" s="778"/>
      <c r="E2" s="778"/>
      <c r="F2" s="778"/>
      <c r="G2" s="778"/>
      <c r="H2" s="778"/>
      <c r="I2" s="778"/>
    </row>
    <row r="3" spans="1:11" s="1" customFormat="1" ht="15" customHeight="1" x14ac:dyDescent="0.25">
      <c r="A3" s="12"/>
      <c r="B3" s="2"/>
      <c r="C3" s="2"/>
      <c r="D3" s="2"/>
      <c r="E3" s="2"/>
      <c r="F3" s="2"/>
      <c r="G3" s="47"/>
      <c r="H3" s="62"/>
      <c r="I3" s="2"/>
    </row>
    <row r="4" spans="1:11" s="3" customFormat="1" ht="30" x14ac:dyDescent="0.25">
      <c r="A4" s="74" t="s">
        <v>28</v>
      </c>
      <c r="B4" s="75" t="s">
        <v>0</v>
      </c>
      <c r="C4" s="75" t="s">
        <v>13</v>
      </c>
      <c r="D4" s="75" t="s">
        <v>14</v>
      </c>
      <c r="E4" s="75" t="s">
        <v>15</v>
      </c>
      <c r="F4" s="75" t="s">
        <v>16</v>
      </c>
      <c r="G4" s="75" t="s">
        <v>1</v>
      </c>
      <c r="H4" s="68" t="s">
        <v>30</v>
      </c>
      <c r="I4" s="75" t="s">
        <v>2</v>
      </c>
    </row>
    <row r="5" spans="1:11" s="3" customFormat="1" ht="18.75" customHeight="1" x14ac:dyDescent="0.25">
      <c r="A5" s="19" t="s">
        <v>3</v>
      </c>
      <c r="B5" s="20"/>
      <c r="C5" s="27"/>
      <c r="D5" s="27"/>
      <c r="E5" s="27"/>
      <c r="F5" s="27"/>
      <c r="G5" s="48"/>
      <c r="H5" s="69"/>
      <c r="I5" s="21"/>
    </row>
    <row r="6" spans="1:11" ht="156.75" x14ac:dyDescent="0.25">
      <c r="A6" s="65">
        <v>1.01</v>
      </c>
      <c r="B6" s="66" t="s">
        <v>20</v>
      </c>
      <c r="C6" s="28"/>
      <c r="D6" s="29"/>
      <c r="E6" s="29"/>
      <c r="F6" s="29"/>
      <c r="G6" s="49"/>
      <c r="H6" s="63"/>
      <c r="I6" s="23"/>
    </row>
    <row r="7" spans="1:11" x14ac:dyDescent="0.25">
      <c r="A7" s="14" t="s">
        <v>4</v>
      </c>
      <c r="B7" s="9" t="s">
        <v>17</v>
      </c>
      <c r="C7" s="30"/>
      <c r="D7" s="31"/>
      <c r="E7" s="31"/>
      <c r="F7" s="31"/>
      <c r="G7" s="50"/>
      <c r="H7" s="25"/>
      <c r="I7" s="24"/>
    </row>
    <row r="8" spans="1:11" x14ac:dyDescent="0.25">
      <c r="A8" s="13"/>
      <c r="B8" s="4" t="s">
        <v>18</v>
      </c>
      <c r="C8" s="32">
        <v>9</v>
      </c>
      <c r="D8" s="76">
        <f>3.5+0.67</f>
        <v>4.17</v>
      </c>
      <c r="E8" s="76">
        <f>5.67</f>
        <v>5.67</v>
      </c>
      <c r="F8" s="76">
        <v>5</v>
      </c>
      <c r="G8" s="51">
        <f>PRODUCT(C8:F8)</f>
        <v>1063.9755</v>
      </c>
      <c r="H8" s="64"/>
      <c r="I8" s="24"/>
      <c r="J8" s="11"/>
      <c r="K8" s="11"/>
    </row>
    <row r="9" spans="1:11" ht="15" customHeight="1" x14ac:dyDescent="0.25">
      <c r="A9" s="13"/>
      <c r="B9" s="10"/>
      <c r="C9" s="779" t="s">
        <v>29</v>
      </c>
      <c r="D9" s="779"/>
      <c r="E9" s="779"/>
      <c r="F9" s="779"/>
      <c r="G9" s="53">
        <f>SUM(G8:G8)</f>
        <v>1063.9755</v>
      </c>
      <c r="H9" s="67">
        <f>ROUND(G9*1.001,0)</f>
        <v>1065</v>
      </c>
      <c r="I9" s="26" t="s">
        <v>11</v>
      </c>
    </row>
    <row r="10" spans="1:11" x14ac:dyDescent="0.25">
      <c r="A10" s="57">
        <v>2</v>
      </c>
      <c r="B10" s="59" t="s">
        <v>36</v>
      </c>
      <c r="C10" s="36"/>
      <c r="D10" s="37"/>
      <c r="E10" s="37"/>
      <c r="F10" s="37"/>
      <c r="G10" s="52"/>
      <c r="H10" s="25"/>
      <c r="I10" s="24"/>
    </row>
    <row r="11" spans="1:11" x14ac:dyDescent="0.25">
      <c r="A11" s="13"/>
      <c r="B11" s="4" t="s">
        <v>24</v>
      </c>
      <c r="C11" s="32"/>
      <c r="D11" s="76"/>
      <c r="E11" s="76"/>
      <c r="F11" s="76"/>
      <c r="G11" s="51">
        <f>G9</f>
        <v>1063.9755</v>
      </c>
      <c r="H11" s="64"/>
      <c r="I11" s="24"/>
    </row>
    <row r="12" spans="1:11" x14ac:dyDescent="0.25">
      <c r="A12" s="13"/>
      <c r="B12" s="4" t="s">
        <v>21</v>
      </c>
      <c r="C12" s="32"/>
      <c r="D12" s="76"/>
      <c r="E12" s="76"/>
      <c r="F12" s="76"/>
      <c r="G12" s="51">
        <f>-G31</f>
        <v>-70.222382999999994</v>
      </c>
      <c r="H12" s="64"/>
      <c r="I12" s="24"/>
    </row>
    <row r="13" spans="1:11" x14ac:dyDescent="0.25">
      <c r="A13" s="13"/>
      <c r="B13" s="4" t="s">
        <v>22</v>
      </c>
      <c r="C13" s="32"/>
      <c r="D13" s="76"/>
      <c r="E13" s="76"/>
      <c r="F13" s="76"/>
      <c r="G13" s="51">
        <f>-G33</f>
        <v>-236.25</v>
      </c>
      <c r="H13" s="64"/>
      <c r="I13" s="24"/>
    </row>
    <row r="14" spans="1:11" x14ac:dyDescent="0.25">
      <c r="A14" s="13"/>
      <c r="B14" s="4" t="s">
        <v>23</v>
      </c>
      <c r="C14" s="32"/>
      <c r="D14" s="76"/>
      <c r="E14" s="76"/>
      <c r="F14" s="76"/>
      <c r="G14" s="51">
        <f>-G34/5*3</f>
        <v>-81</v>
      </c>
      <c r="H14" s="64"/>
      <c r="I14" s="24"/>
    </row>
    <row r="15" spans="1:11" ht="15" customHeight="1" x14ac:dyDescent="0.25">
      <c r="A15" s="13"/>
      <c r="B15" s="10"/>
      <c r="C15" s="779" t="s">
        <v>29</v>
      </c>
      <c r="D15" s="779"/>
      <c r="E15" s="779"/>
      <c r="F15" s="779"/>
      <c r="G15" s="53">
        <f>SUM(G11:G14)</f>
        <v>676.50311699999997</v>
      </c>
      <c r="H15" s="67">
        <f>ROUND(G15*1.001,0)</f>
        <v>677</v>
      </c>
      <c r="I15" s="26" t="s">
        <v>11</v>
      </c>
    </row>
    <row r="16" spans="1:11" ht="28.5" x14ac:dyDescent="0.25">
      <c r="A16" s="57">
        <v>3</v>
      </c>
      <c r="B16" s="58" t="s">
        <v>5</v>
      </c>
      <c r="C16" s="38"/>
      <c r="D16" s="39"/>
      <c r="E16" s="39"/>
      <c r="F16" s="39"/>
      <c r="G16" s="54"/>
      <c r="H16" s="25"/>
      <c r="I16" s="24"/>
    </row>
    <row r="17" spans="1:11" x14ac:dyDescent="0.25">
      <c r="A17" s="13"/>
      <c r="B17" s="4"/>
      <c r="C17" s="32">
        <f>C8</f>
        <v>9</v>
      </c>
      <c r="D17" s="76">
        <f>D8</f>
        <v>4.17</v>
      </c>
      <c r="E17" s="76">
        <f>E8</f>
        <v>5.67</v>
      </c>
      <c r="F17" s="76"/>
      <c r="G17" s="51">
        <f>PRODUCT(C17:F17)</f>
        <v>212.79509999999999</v>
      </c>
      <c r="H17" s="77"/>
      <c r="I17" s="24"/>
    </row>
    <row r="18" spans="1:11" x14ac:dyDescent="0.25">
      <c r="A18" s="13"/>
      <c r="B18" s="4"/>
      <c r="C18" s="32">
        <f>C17</f>
        <v>9</v>
      </c>
      <c r="D18" s="76">
        <f>SUM(D17:E17)*2</f>
        <v>19.68</v>
      </c>
      <c r="E18" s="76" t="s">
        <v>19</v>
      </c>
      <c r="F18" s="76">
        <f>F8</f>
        <v>5</v>
      </c>
      <c r="G18" s="51">
        <f>PRODUCT(C18:F18)</f>
        <v>885.6</v>
      </c>
      <c r="H18" s="72"/>
      <c r="I18" s="73"/>
    </row>
    <row r="19" spans="1:11" ht="15" customHeight="1" x14ac:dyDescent="0.25">
      <c r="A19" s="13"/>
      <c r="B19" s="10"/>
      <c r="C19" s="779" t="s">
        <v>29</v>
      </c>
      <c r="D19" s="779"/>
      <c r="E19" s="779"/>
      <c r="F19" s="779"/>
      <c r="G19" s="53">
        <f>SUM(G17:G18)</f>
        <v>1098.3951</v>
      </c>
      <c r="H19" s="67">
        <f>ROUND(G19*1.001,0)</f>
        <v>1099</v>
      </c>
      <c r="I19" s="26" t="s">
        <v>32</v>
      </c>
    </row>
    <row r="20" spans="1:11" ht="42.75" x14ac:dyDescent="0.25">
      <c r="A20" s="57">
        <v>4</v>
      </c>
      <c r="B20" s="58" t="s">
        <v>25</v>
      </c>
      <c r="C20" s="38"/>
      <c r="D20" s="39"/>
      <c r="E20" s="39"/>
      <c r="F20" s="39"/>
      <c r="G20" s="54"/>
      <c r="H20" s="25"/>
      <c r="I20" s="24"/>
    </row>
    <row r="21" spans="1:11" x14ac:dyDescent="0.25">
      <c r="A21" s="14" t="s">
        <v>4</v>
      </c>
      <c r="B21" s="9" t="s">
        <v>17</v>
      </c>
      <c r="C21" s="30"/>
      <c r="D21" s="31"/>
      <c r="E21" s="31"/>
      <c r="F21" s="31"/>
      <c r="G21" s="50"/>
      <c r="H21" s="25"/>
      <c r="I21" s="24"/>
    </row>
    <row r="22" spans="1:11" x14ac:dyDescent="0.25">
      <c r="A22" s="13"/>
      <c r="B22" s="4" t="s">
        <v>18</v>
      </c>
      <c r="C22" s="32">
        <f>C17</f>
        <v>9</v>
      </c>
      <c r="D22" s="76">
        <f>D17</f>
        <v>4.17</v>
      </c>
      <c r="E22" s="76">
        <f>E17</f>
        <v>5.67</v>
      </c>
      <c r="F22" s="76">
        <v>0.5</v>
      </c>
      <c r="G22" s="51">
        <f>PRODUCT(C22:F22)</f>
        <v>106.39755</v>
      </c>
      <c r="H22" s="64"/>
      <c r="I22" s="24"/>
      <c r="J22" s="11"/>
      <c r="K22" s="11"/>
    </row>
    <row r="23" spans="1:11" ht="15" customHeight="1" x14ac:dyDescent="0.25">
      <c r="A23" s="13"/>
      <c r="B23" s="10"/>
      <c r="C23" s="779" t="s">
        <v>29</v>
      </c>
      <c r="D23" s="779"/>
      <c r="E23" s="779"/>
      <c r="F23" s="779"/>
      <c r="G23" s="53">
        <f>SUM(G22:G22)</f>
        <v>106.39755</v>
      </c>
      <c r="H23" s="67">
        <f>ROUND(G23*1.001,0)</f>
        <v>107</v>
      </c>
      <c r="I23" s="26" t="s">
        <v>11</v>
      </c>
    </row>
    <row r="24" spans="1:11" x14ac:dyDescent="0.25">
      <c r="A24" s="57">
        <v>5</v>
      </c>
      <c r="B24" s="60" t="s">
        <v>26</v>
      </c>
      <c r="C24" s="45"/>
      <c r="D24" s="46"/>
      <c r="E24" s="46"/>
      <c r="F24" s="46"/>
      <c r="G24" s="54"/>
      <c r="H24" s="25"/>
      <c r="I24" s="24"/>
    </row>
    <row r="25" spans="1:11" x14ac:dyDescent="0.25">
      <c r="A25" s="15"/>
      <c r="B25" s="6" t="s">
        <v>33</v>
      </c>
      <c r="C25" s="42"/>
      <c r="D25" s="43"/>
      <c r="E25" s="43"/>
      <c r="F25" s="43"/>
      <c r="G25" s="50"/>
      <c r="H25" s="25"/>
      <c r="I25" s="24"/>
    </row>
    <row r="26" spans="1:11" x14ac:dyDescent="0.25">
      <c r="A26" s="13"/>
      <c r="B26" s="4" t="s">
        <v>18</v>
      </c>
      <c r="C26" s="32">
        <f>C30</f>
        <v>9</v>
      </c>
      <c r="D26" s="76">
        <f>D30</f>
        <v>4.17</v>
      </c>
      <c r="E26" s="76">
        <f>E30</f>
        <v>5.67</v>
      </c>
      <c r="F26" s="76" t="s">
        <v>19</v>
      </c>
      <c r="G26" s="51">
        <f>PRODUCT(C26:F26)</f>
        <v>212.79509999999999</v>
      </c>
      <c r="H26" s="64"/>
      <c r="I26" s="24"/>
      <c r="J26" s="11"/>
      <c r="K26" s="11"/>
    </row>
    <row r="27" spans="1:11" ht="15" customHeight="1" x14ac:dyDescent="0.25">
      <c r="A27" s="13"/>
      <c r="B27" s="10"/>
      <c r="C27" s="779" t="s">
        <v>29</v>
      </c>
      <c r="D27" s="779"/>
      <c r="E27" s="779"/>
      <c r="F27" s="779"/>
      <c r="G27" s="53">
        <f>SUM(G26:G26)</f>
        <v>212.79509999999999</v>
      </c>
      <c r="H27" s="67">
        <f>ROUND(G27*1.001,0)</f>
        <v>213</v>
      </c>
      <c r="I27" s="26" t="s">
        <v>11</v>
      </c>
    </row>
    <row r="28" spans="1:11" ht="71.25" x14ac:dyDescent="0.25">
      <c r="A28" s="57">
        <v>6</v>
      </c>
      <c r="B28" s="58" t="s">
        <v>6</v>
      </c>
      <c r="C28" s="38"/>
      <c r="D28" s="39"/>
      <c r="E28" s="39"/>
      <c r="F28" s="39"/>
      <c r="G28" s="54"/>
      <c r="H28" s="25"/>
      <c r="I28" s="24"/>
    </row>
    <row r="29" spans="1:11" x14ac:dyDescent="0.25">
      <c r="A29" s="14" t="s">
        <v>4</v>
      </c>
      <c r="B29" s="9" t="s">
        <v>17</v>
      </c>
      <c r="C29" s="30"/>
      <c r="D29" s="31"/>
      <c r="E29" s="31"/>
      <c r="F29" s="31"/>
      <c r="G29" s="50"/>
      <c r="H29" s="25"/>
      <c r="I29" s="24"/>
    </row>
    <row r="30" spans="1:11" x14ac:dyDescent="0.25">
      <c r="A30" s="13"/>
      <c r="B30" s="4" t="s">
        <v>18</v>
      </c>
      <c r="C30" s="32">
        <f>C22</f>
        <v>9</v>
      </c>
      <c r="D30" s="76">
        <f>D22</f>
        <v>4.17</v>
      </c>
      <c r="E30" s="76">
        <f>E22</f>
        <v>5.67</v>
      </c>
      <c r="F30" s="76">
        <v>0.33</v>
      </c>
      <c r="G30" s="51">
        <f>PRODUCT(C30:F30)</f>
        <v>70.222382999999994</v>
      </c>
      <c r="H30" s="64"/>
      <c r="I30" s="24"/>
      <c r="J30" s="11"/>
      <c r="K30" s="11"/>
    </row>
    <row r="31" spans="1:11" ht="15" customHeight="1" x14ac:dyDescent="0.25">
      <c r="A31" s="13"/>
      <c r="B31" s="10"/>
      <c r="C31" s="779" t="s">
        <v>29</v>
      </c>
      <c r="D31" s="779"/>
      <c r="E31" s="779"/>
      <c r="F31" s="779"/>
      <c r="G31" s="53">
        <f>SUM(G30:G30)</f>
        <v>70.222382999999994</v>
      </c>
      <c r="H31" s="67">
        <f>ROUND(G31*1.001,0)</f>
        <v>70</v>
      </c>
      <c r="I31" s="26" t="s">
        <v>11</v>
      </c>
    </row>
    <row r="32" spans="1:11" ht="171" x14ac:dyDescent="0.25">
      <c r="A32" s="57">
        <v>8</v>
      </c>
      <c r="B32" s="58" t="s">
        <v>7</v>
      </c>
      <c r="C32" s="38"/>
      <c r="D32" s="39"/>
      <c r="E32" s="39"/>
      <c r="F32" s="39"/>
      <c r="G32" s="54"/>
      <c r="H32" s="25"/>
      <c r="I32" s="24"/>
    </row>
    <row r="33" spans="1:11" x14ac:dyDescent="0.25">
      <c r="A33" s="13"/>
      <c r="B33" s="16" t="s">
        <v>18</v>
      </c>
      <c r="C33" s="32">
        <f>C30</f>
        <v>9</v>
      </c>
      <c r="D33" s="76">
        <f>D30-0.67</f>
        <v>3.5</v>
      </c>
      <c r="E33" s="76">
        <f>E30-0.67</f>
        <v>5</v>
      </c>
      <c r="F33" s="76">
        <v>1.5</v>
      </c>
      <c r="G33" s="51">
        <f>PRODUCT(C33:F33)</f>
        <v>236.25</v>
      </c>
      <c r="H33" s="64"/>
      <c r="I33" s="24"/>
      <c r="J33" s="11"/>
      <c r="K33" s="11"/>
    </row>
    <row r="34" spans="1:11" x14ac:dyDescent="0.25">
      <c r="A34" s="13"/>
      <c r="B34" s="16" t="s">
        <v>37</v>
      </c>
      <c r="C34" s="32">
        <f>C33</f>
        <v>9</v>
      </c>
      <c r="D34" s="76">
        <v>3</v>
      </c>
      <c r="E34" s="76">
        <v>1</v>
      </c>
      <c r="F34" s="76">
        <v>5</v>
      </c>
      <c r="G34" s="51">
        <f t="shared" ref="G34" si="0">PRODUCT(C34:F34)</f>
        <v>135</v>
      </c>
      <c r="H34" s="64"/>
      <c r="I34" s="24"/>
      <c r="J34" s="11"/>
      <c r="K34" s="11"/>
    </row>
    <row r="35" spans="1:11" ht="15" customHeight="1" x14ac:dyDescent="0.25">
      <c r="A35" s="13"/>
      <c r="B35" s="10"/>
      <c r="C35" s="779" t="s">
        <v>29</v>
      </c>
      <c r="D35" s="779"/>
      <c r="E35" s="779"/>
      <c r="F35" s="779"/>
      <c r="G35" s="53">
        <f>SUM(G33:G34)</f>
        <v>371.25</v>
      </c>
      <c r="H35" s="67">
        <f>ROUND(G35*1.001,0)</f>
        <v>372</v>
      </c>
      <c r="I35" s="26" t="s">
        <v>11</v>
      </c>
    </row>
    <row r="36" spans="1:11" ht="42.75" x14ac:dyDescent="0.25">
      <c r="A36" s="57">
        <v>9</v>
      </c>
      <c r="B36" s="58" t="s">
        <v>35</v>
      </c>
      <c r="C36" s="40"/>
      <c r="D36" s="41"/>
      <c r="E36" s="41"/>
      <c r="F36" s="41"/>
      <c r="G36" s="55"/>
      <c r="H36" s="25"/>
      <c r="I36" s="24"/>
    </row>
    <row r="37" spans="1:11" x14ac:dyDescent="0.25">
      <c r="A37" s="15"/>
      <c r="B37" s="6" t="s">
        <v>34</v>
      </c>
      <c r="C37" s="42"/>
      <c r="D37" s="43"/>
      <c r="E37" s="43"/>
      <c r="F37" s="43"/>
      <c r="G37" s="50"/>
      <c r="H37" s="25"/>
      <c r="I37" s="24"/>
    </row>
    <row r="38" spans="1:11" x14ac:dyDescent="0.25">
      <c r="A38" s="13"/>
      <c r="B38" s="16" t="s">
        <v>18</v>
      </c>
      <c r="C38" s="32">
        <f>C33</f>
        <v>9</v>
      </c>
      <c r="D38" s="76">
        <f>D33</f>
        <v>3.5</v>
      </c>
      <c r="E38" s="76">
        <f>E33</f>
        <v>5</v>
      </c>
      <c r="F38" s="76" t="s">
        <v>19</v>
      </c>
      <c r="G38" s="51">
        <f>PRODUCT(C38:F38)</f>
        <v>157.5</v>
      </c>
      <c r="H38" s="64"/>
      <c r="I38" s="24"/>
      <c r="J38" s="11"/>
      <c r="K38" s="11"/>
    </row>
    <row r="39" spans="1:11" x14ac:dyDescent="0.25">
      <c r="A39" s="13"/>
      <c r="B39" s="16" t="s">
        <v>38</v>
      </c>
      <c r="C39" s="32">
        <f>C34</f>
        <v>9</v>
      </c>
      <c r="D39" s="76">
        <f>(SUM(D38:E38))*2</f>
        <v>17</v>
      </c>
      <c r="E39" s="76" t="s">
        <v>19</v>
      </c>
      <c r="F39" s="76">
        <f>F33</f>
        <v>1.5</v>
      </c>
      <c r="G39" s="51">
        <f>PRODUCT(C39:F39)</f>
        <v>229.5</v>
      </c>
      <c r="H39" s="64"/>
      <c r="I39" s="24"/>
      <c r="J39" s="11"/>
      <c r="K39" s="11"/>
    </row>
    <row r="40" spans="1:11" x14ac:dyDescent="0.25">
      <c r="A40" s="13"/>
      <c r="B40" s="16" t="s">
        <v>8</v>
      </c>
      <c r="C40" s="32">
        <f>C39</f>
        <v>9</v>
      </c>
      <c r="D40" s="76">
        <f>(SUM(D39:E39))*2</f>
        <v>34</v>
      </c>
      <c r="E40" s="76" t="s">
        <v>19</v>
      </c>
      <c r="F40" s="76">
        <f>F34-F39</f>
        <v>3.5</v>
      </c>
      <c r="G40" s="51">
        <f>PRODUCT(C40:F40)</f>
        <v>1071</v>
      </c>
      <c r="H40" s="64"/>
      <c r="I40" s="24"/>
      <c r="J40" s="11"/>
      <c r="K40" s="11"/>
    </row>
    <row r="41" spans="1:11" ht="15" customHeight="1" x14ac:dyDescent="0.25">
      <c r="A41" s="13"/>
      <c r="B41" s="10"/>
      <c r="C41" s="779" t="s">
        <v>29</v>
      </c>
      <c r="D41" s="779"/>
      <c r="E41" s="779"/>
      <c r="F41" s="779"/>
      <c r="G41" s="53">
        <f>SUM(G37:G40)</f>
        <v>1458</v>
      </c>
      <c r="H41" s="67">
        <f>ROUND(G41*1.001,0)</f>
        <v>1459</v>
      </c>
      <c r="I41" s="26" t="s">
        <v>10</v>
      </c>
    </row>
    <row r="42" spans="1:11" ht="42.75" x14ac:dyDescent="0.25">
      <c r="A42" s="57">
        <v>10</v>
      </c>
      <c r="B42" s="61" t="s">
        <v>9</v>
      </c>
      <c r="C42" s="30"/>
      <c r="D42" s="31"/>
      <c r="E42" s="31"/>
      <c r="F42" s="31"/>
      <c r="G42" s="50"/>
      <c r="H42" s="25"/>
      <c r="I42" s="24"/>
    </row>
    <row r="43" spans="1:11" x14ac:dyDescent="0.25">
      <c r="A43" s="13"/>
      <c r="B43" s="4"/>
      <c r="C43" s="32">
        <v>1</v>
      </c>
      <c r="D43" s="76">
        <f>G35</f>
        <v>371.25</v>
      </c>
      <c r="E43" s="76">
        <v>3.5</v>
      </c>
      <c r="F43" s="76" t="s">
        <v>31</v>
      </c>
      <c r="G43" s="51">
        <f>ROUND(PRODUCT(C43:F43),-3)</f>
        <v>1000</v>
      </c>
      <c r="H43" s="64"/>
      <c r="I43" s="24"/>
    </row>
    <row r="44" spans="1:11" ht="15" customHeight="1" x14ac:dyDescent="0.25">
      <c r="A44" s="13"/>
      <c r="B44" s="10"/>
      <c r="C44" s="779" t="s">
        <v>29</v>
      </c>
      <c r="D44" s="779"/>
      <c r="E44" s="779"/>
      <c r="F44" s="779"/>
      <c r="G44" s="53">
        <f>SUM(G43)</f>
        <v>1000</v>
      </c>
      <c r="H44" s="67">
        <f>ROUND(G44*1.001,0)</f>
        <v>1001</v>
      </c>
      <c r="I44" s="26" t="s">
        <v>12</v>
      </c>
    </row>
    <row r="45" spans="1:11" x14ac:dyDescent="0.25">
      <c r="A45" s="71">
        <v>11</v>
      </c>
      <c r="B45" s="61" t="s">
        <v>39</v>
      </c>
      <c r="C45" s="34"/>
      <c r="D45" s="35"/>
      <c r="E45" s="35"/>
      <c r="F45" s="35"/>
      <c r="G45" s="52"/>
      <c r="H45" s="25"/>
      <c r="I45" s="24"/>
    </row>
    <row r="46" spans="1:11" x14ac:dyDescent="0.25">
      <c r="A46" s="13"/>
      <c r="B46" s="16" t="s">
        <v>40</v>
      </c>
      <c r="C46" s="32">
        <f>C39*2</f>
        <v>18</v>
      </c>
      <c r="D46" s="76">
        <f>10.5/12</f>
        <v>0.875</v>
      </c>
      <c r="E46" s="76">
        <v>0.75</v>
      </c>
      <c r="F46" s="76">
        <f>3/4/12</f>
        <v>6.25E-2</v>
      </c>
      <c r="G46" s="51">
        <f>PRODUCT(C46:F46)</f>
        <v>0.73828125</v>
      </c>
      <c r="H46" s="64"/>
      <c r="I46" s="24"/>
    </row>
    <row r="47" spans="1:11" x14ac:dyDescent="0.25">
      <c r="A47" s="13"/>
      <c r="B47" s="16" t="s">
        <v>8</v>
      </c>
      <c r="C47" s="32">
        <f>C46*2</f>
        <v>36</v>
      </c>
      <c r="D47" s="76">
        <v>14</v>
      </c>
      <c r="E47" s="76">
        <f>3.142*(3.25/12)</f>
        <v>0.85095833333333326</v>
      </c>
      <c r="F47" s="76">
        <f>7/32/12</f>
        <v>1.8229166666666668E-2</v>
      </c>
      <c r="G47" s="51">
        <f>PRODUCT(C47:F47)</f>
        <v>7.8181796874999998</v>
      </c>
      <c r="H47" s="64"/>
      <c r="I47" s="24"/>
      <c r="J47" s="5">
        <f>0.33+0.33+0.33+0.33+(K47*4)</f>
        <v>1.3840000000000001</v>
      </c>
      <c r="K47" s="5">
        <f>ROUND(3/16/12,3)</f>
        <v>1.6E-2</v>
      </c>
    </row>
    <row r="48" spans="1:11" x14ac:dyDescent="0.25">
      <c r="A48" s="13"/>
      <c r="B48" s="16" t="s">
        <v>41</v>
      </c>
      <c r="C48" s="32">
        <f>18*4</f>
        <v>72</v>
      </c>
      <c r="D48" s="76">
        <v>0.83</v>
      </c>
      <c r="E48" s="76">
        <f>3.142*(2.25/12)</f>
        <v>0.58912500000000001</v>
      </c>
      <c r="F48" s="76">
        <f>7/32/12</f>
        <v>1.8229166666666668E-2</v>
      </c>
      <c r="G48" s="51">
        <f t="shared" ref="G48:G54" si="1">PRODUCT(C48:F48)</f>
        <v>0.64177804687500006</v>
      </c>
      <c r="H48" s="64"/>
      <c r="I48" s="24"/>
    </row>
    <row r="49" spans="1:11" x14ac:dyDescent="0.25">
      <c r="A49" s="13"/>
      <c r="B49" s="16"/>
      <c r="C49" s="32">
        <f>18</f>
        <v>18</v>
      </c>
      <c r="D49" s="76">
        <v>1.5</v>
      </c>
      <c r="E49" s="76">
        <f>3.142*(2.25/12)</f>
        <v>0.58912500000000001</v>
      </c>
      <c r="F49" s="76">
        <f>7/32/12</f>
        <v>1.8229166666666668E-2</v>
      </c>
      <c r="G49" s="51">
        <f t="shared" ref="G49" si="2">PRODUCT(C49:F49)</f>
        <v>0.28995996093750004</v>
      </c>
      <c r="H49" s="64"/>
      <c r="I49" s="24"/>
      <c r="J49" s="5">
        <f>1.5+0.75+0.33+0.33+(K49*4)</f>
        <v>3.0540000000000003</v>
      </c>
      <c r="K49" s="5">
        <f>ROUND(7/16/12,3)</f>
        <v>3.5999999999999997E-2</v>
      </c>
    </row>
    <row r="50" spans="1:11" x14ac:dyDescent="0.25">
      <c r="A50" s="13"/>
      <c r="B50" s="16"/>
      <c r="C50" s="32">
        <v>9</v>
      </c>
      <c r="D50" s="76">
        <v>40</v>
      </c>
      <c r="E50" s="76">
        <f>3.142*(2.25/12)</f>
        <v>0.58912500000000001</v>
      </c>
      <c r="F50" s="76">
        <f>3/16/12</f>
        <v>1.5625E-2</v>
      </c>
      <c r="G50" s="51">
        <f t="shared" si="1"/>
        <v>3.3138281250000001</v>
      </c>
      <c r="H50" s="64"/>
      <c r="I50" s="24"/>
    </row>
    <row r="51" spans="1:11" x14ac:dyDescent="0.25">
      <c r="A51" s="13"/>
      <c r="B51" s="16"/>
      <c r="C51" s="32">
        <v>9</v>
      </c>
      <c r="D51" s="76">
        <f>2*4</f>
        <v>8</v>
      </c>
      <c r="E51" s="76">
        <f>E50</f>
        <v>0.58912500000000001</v>
      </c>
      <c r="F51" s="76">
        <f>1/4/12</f>
        <v>2.0833333333333332E-2</v>
      </c>
      <c r="G51" s="51">
        <f>PRODUCT(C51:F51)</f>
        <v>0.88368749999999996</v>
      </c>
      <c r="H51" s="64"/>
      <c r="I51" s="24"/>
    </row>
    <row r="52" spans="1:11" x14ac:dyDescent="0.25">
      <c r="A52" s="13"/>
      <c r="B52" s="16"/>
      <c r="C52" s="32">
        <f>C51</f>
        <v>9</v>
      </c>
      <c r="D52" s="76">
        <f>2*13*2.25</f>
        <v>58.5</v>
      </c>
      <c r="E52" s="76">
        <f>3.142*(1.75/12)</f>
        <v>0.45820833333333333</v>
      </c>
      <c r="F52" s="76">
        <f>F50</f>
        <v>1.5625E-2</v>
      </c>
      <c r="G52" s="51">
        <f t="shared" si="1"/>
        <v>3.7694794921875001</v>
      </c>
      <c r="H52" s="64"/>
      <c r="I52" s="24"/>
    </row>
    <row r="53" spans="1:11" x14ac:dyDescent="0.25">
      <c r="A53" s="13"/>
      <c r="B53" s="16"/>
      <c r="C53" s="32">
        <f>C46</f>
        <v>18</v>
      </c>
      <c r="D53" s="76">
        <v>1.5</v>
      </c>
      <c r="E53" s="76">
        <v>0.83</v>
      </c>
      <c r="F53" s="76">
        <f>3/4/12</f>
        <v>6.25E-2</v>
      </c>
      <c r="G53" s="51">
        <f t="shared" si="1"/>
        <v>1.400625</v>
      </c>
      <c r="H53" s="64"/>
      <c r="I53" s="24"/>
    </row>
    <row r="54" spans="1:11" x14ac:dyDescent="0.25">
      <c r="A54" s="13"/>
      <c r="B54" s="16"/>
      <c r="C54" s="32">
        <v>1</v>
      </c>
      <c r="D54" s="76">
        <f>16*9</f>
        <v>144</v>
      </c>
      <c r="E54" s="76">
        <v>0.5</v>
      </c>
      <c r="F54" s="76">
        <f>3/16/12</f>
        <v>1.5625E-2</v>
      </c>
      <c r="G54" s="51">
        <f t="shared" si="1"/>
        <v>1.125</v>
      </c>
      <c r="H54" s="64"/>
      <c r="I54" s="24"/>
    </row>
    <row r="55" spans="1:11" x14ac:dyDescent="0.25">
      <c r="A55" s="13"/>
      <c r="B55" s="16"/>
      <c r="C55" s="32">
        <v>1</v>
      </c>
      <c r="D55" s="76">
        <f>18*9</f>
        <v>162</v>
      </c>
      <c r="E55" s="76">
        <v>0.5</v>
      </c>
      <c r="F55" s="76">
        <f>3/16/12</f>
        <v>1.5625E-2</v>
      </c>
      <c r="G55" s="51">
        <f t="shared" ref="G55" si="3">PRODUCT(C55:F55)</f>
        <v>1.265625</v>
      </c>
      <c r="H55" s="64"/>
      <c r="I55" s="24"/>
    </row>
    <row r="56" spans="1:11" x14ac:dyDescent="0.25">
      <c r="A56" s="13"/>
      <c r="B56" s="16"/>
      <c r="C56" s="32">
        <v>1</v>
      </c>
      <c r="D56" s="76">
        <f>13*2.5*9</f>
        <v>292.5</v>
      </c>
      <c r="E56" s="76">
        <v>0.25</v>
      </c>
      <c r="F56" s="76">
        <f>3/16/12</f>
        <v>1.5625E-2</v>
      </c>
      <c r="G56" s="51">
        <f t="shared" ref="G56" si="4">PRODUCT(C56:F56)</f>
        <v>1.142578125</v>
      </c>
      <c r="H56" s="64"/>
      <c r="I56" s="24"/>
    </row>
    <row r="57" spans="1:11" x14ac:dyDescent="0.25">
      <c r="A57" s="13"/>
      <c r="B57" s="4"/>
      <c r="C57" s="32">
        <v>1</v>
      </c>
      <c r="D57" s="76">
        <f>SUM(G46:G56)</f>
        <v>22.3890221875</v>
      </c>
      <c r="E57" s="76">
        <f>490/2.204</f>
        <v>222.32304900181487</v>
      </c>
      <c r="F57" s="76" t="s">
        <v>19</v>
      </c>
      <c r="G57" s="51">
        <f>PRODUCT(C57:F57)*1.15*3</f>
        <v>17172.70508528527</v>
      </c>
      <c r="H57" s="64"/>
      <c r="I57" s="24"/>
    </row>
    <row r="58" spans="1:11" ht="15" customHeight="1" x14ac:dyDescent="0.25">
      <c r="A58" s="13"/>
      <c r="B58" s="10"/>
      <c r="C58" s="779" t="s">
        <v>29</v>
      </c>
      <c r="D58" s="779"/>
      <c r="E58" s="779"/>
      <c r="F58" s="779"/>
      <c r="G58" s="53">
        <f>SUM(G46:G57)</f>
        <v>17195.094107472771</v>
      </c>
      <c r="H58" s="67">
        <f>ROUND(G58*1.001,0)</f>
        <v>17212</v>
      </c>
      <c r="I58" s="26" t="s">
        <v>10</v>
      </c>
    </row>
    <row r="59" spans="1:11" x14ac:dyDescent="0.25">
      <c r="G59" s="56">
        <f>9*16*20.92*2</f>
        <v>6024.9600000000009</v>
      </c>
    </row>
    <row r="60" spans="1:11" x14ac:dyDescent="0.25">
      <c r="G60" s="56">
        <f>G58/G59</f>
        <v>2.8539764757729125</v>
      </c>
    </row>
  </sheetData>
  <mergeCells count="12">
    <mergeCell ref="C58:F58"/>
    <mergeCell ref="A1:I1"/>
    <mergeCell ref="A2:I2"/>
    <mergeCell ref="C9:F9"/>
    <mergeCell ref="C15:F15"/>
    <mergeCell ref="C19:F19"/>
    <mergeCell ref="C23:F23"/>
    <mergeCell ref="C27:F27"/>
    <mergeCell ref="C31:F31"/>
    <mergeCell ref="C35:F35"/>
    <mergeCell ref="C41:F41"/>
    <mergeCell ref="C44:F44"/>
  </mergeCells>
  <printOptions horizontalCentered="1"/>
  <pageMargins left="0.5" right="0.25" top="0.55000000000000004" bottom="0.25" header="0.17" footer="0.17"/>
  <pageSetup paperSize="9" scale="70" fitToHeight="0" orientation="portrait" r:id="rId1"/>
  <headerFooter alignWithMargins="0">
    <oddHeader>&amp;R&amp;"Arial Narrow,Regular"&amp;10&amp;A
 Page &amp;P of &amp;N</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206"/>
  <sheetViews>
    <sheetView view="pageBreakPreview" topLeftCell="A161" zoomScaleSheetLayoutView="100" workbookViewId="0">
      <selection activeCell="I6" sqref="I6"/>
    </sheetView>
  </sheetViews>
  <sheetFormatPr defaultColWidth="23.5703125" defaultRowHeight="15" x14ac:dyDescent="0.25"/>
  <cols>
    <col min="1" max="1" width="5.7109375" style="8" customWidth="1"/>
    <col min="2" max="2" width="52.7109375" style="7" customWidth="1"/>
    <col min="3" max="6" width="10.7109375" style="3" customWidth="1"/>
    <col min="7" max="7" width="13.7109375" style="56" customWidth="1"/>
    <col min="8" max="8" width="13.7109375" style="70" customWidth="1"/>
    <col min="9" max="9" width="7.7109375" style="22" customWidth="1"/>
    <col min="10" max="16384" width="23.5703125" style="5"/>
  </cols>
  <sheetData>
    <row r="1" spans="1:11" s="1" customFormat="1" ht="24.95" customHeight="1" x14ac:dyDescent="0.25">
      <c r="A1" s="778" t="s">
        <v>27</v>
      </c>
      <c r="B1" s="778"/>
      <c r="C1" s="778"/>
      <c r="D1" s="778"/>
      <c r="E1" s="778"/>
      <c r="F1" s="778"/>
      <c r="G1" s="778"/>
      <c r="H1" s="778"/>
      <c r="I1" s="778"/>
    </row>
    <row r="2" spans="1:11" s="1" customFormat="1" ht="15" customHeight="1" x14ac:dyDescent="0.25">
      <c r="A2" s="12"/>
      <c r="B2" s="2"/>
      <c r="C2" s="2"/>
      <c r="D2" s="2"/>
      <c r="E2" s="2"/>
      <c r="F2" s="2"/>
      <c r="G2" s="47"/>
      <c r="H2" s="62"/>
      <c r="I2" s="2"/>
    </row>
    <row r="3" spans="1:11" s="3" customFormat="1" ht="30" x14ac:dyDescent="0.25">
      <c r="A3" s="74" t="s">
        <v>28</v>
      </c>
      <c r="B3" s="75" t="s">
        <v>0</v>
      </c>
      <c r="C3" s="75" t="s">
        <v>13</v>
      </c>
      <c r="D3" s="75" t="s">
        <v>14</v>
      </c>
      <c r="E3" s="75" t="s">
        <v>15</v>
      </c>
      <c r="F3" s="75" t="s">
        <v>16</v>
      </c>
      <c r="G3" s="75" t="s">
        <v>1</v>
      </c>
      <c r="H3" s="68" t="s">
        <v>30</v>
      </c>
      <c r="I3" s="75" t="s">
        <v>2</v>
      </c>
    </row>
    <row r="4" spans="1:11" s="3" customFormat="1" ht="18.75" customHeight="1" x14ac:dyDescent="0.25">
      <c r="A4" s="19" t="s">
        <v>3</v>
      </c>
      <c r="B4" s="20" t="s">
        <v>46</v>
      </c>
      <c r="C4" s="27"/>
      <c r="D4" s="27"/>
      <c r="E4" s="27"/>
      <c r="F4" s="27"/>
      <c r="G4" s="48"/>
      <c r="H4" s="69"/>
      <c r="I4" s="21"/>
    </row>
    <row r="5" spans="1:11" ht="156.75" x14ac:dyDescent="0.25">
      <c r="A5" s="65">
        <v>1.01</v>
      </c>
      <c r="B5" s="66" t="s">
        <v>20</v>
      </c>
      <c r="C5" s="28"/>
      <c r="D5" s="29"/>
      <c r="E5" s="29"/>
      <c r="F5" s="29"/>
      <c r="G5" s="49"/>
      <c r="H5" s="63"/>
      <c r="I5" s="23"/>
    </row>
    <row r="6" spans="1:11" x14ac:dyDescent="0.25">
      <c r="A6" s="13"/>
      <c r="B6" s="4" t="s">
        <v>126</v>
      </c>
      <c r="C6" s="32">
        <v>1</v>
      </c>
      <c r="D6" s="76">
        <f>9*16+1.33+1.33</f>
        <v>146.66000000000003</v>
      </c>
      <c r="E6" s="76">
        <v>5.67</v>
      </c>
      <c r="F6" s="76">
        <v>5</v>
      </c>
      <c r="G6" s="51">
        <f>PRODUCT(C6:F6)</f>
        <v>4157.8110000000006</v>
      </c>
      <c r="H6" s="64"/>
      <c r="I6" s="24"/>
      <c r="J6" s="11"/>
      <c r="K6" s="11"/>
    </row>
    <row r="7" spans="1:11" x14ac:dyDescent="0.25">
      <c r="A7" s="13"/>
      <c r="B7" s="4" t="s">
        <v>126</v>
      </c>
      <c r="C7" s="32">
        <v>1</v>
      </c>
      <c r="D7" s="76">
        <f>18*8+1.33+1.33</f>
        <v>146.66000000000003</v>
      </c>
      <c r="E7" s="76">
        <f>E6</f>
        <v>5.67</v>
      </c>
      <c r="F7" s="76">
        <v>5</v>
      </c>
      <c r="G7" s="51">
        <f t="shared" ref="G7:G9" si="0">PRODUCT(C7:F7)</f>
        <v>4157.8110000000006</v>
      </c>
      <c r="H7" s="64"/>
      <c r="I7" s="24"/>
      <c r="J7" s="11"/>
      <c r="K7" s="11"/>
    </row>
    <row r="8" spans="1:11" x14ac:dyDescent="0.25">
      <c r="A8" s="13"/>
      <c r="B8" s="4" t="s">
        <v>49</v>
      </c>
      <c r="C8" s="32">
        <v>1</v>
      </c>
      <c r="D8" s="76">
        <f>D6+10</f>
        <v>156.66000000000003</v>
      </c>
      <c r="E8" s="76">
        <v>1.67</v>
      </c>
      <c r="F8" s="76">
        <v>1</v>
      </c>
      <c r="G8" s="51">
        <f t="shared" si="0"/>
        <v>261.62220000000002</v>
      </c>
      <c r="H8" s="64"/>
      <c r="I8" s="24"/>
      <c r="J8" s="11"/>
      <c r="K8" s="11"/>
    </row>
    <row r="9" spans="1:11" x14ac:dyDescent="0.25">
      <c r="A9" s="13"/>
      <c r="B9" s="4" t="s">
        <v>49</v>
      </c>
      <c r="C9" s="32">
        <v>1</v>
      </c>
      <c r="D9" s="76">
        <f>D8</f>
        <v>156.66000000000003</v>
      </c>
      <c r="E9" s="76">
        <v>1.67</v>
      </c>
      <c r="F9" s="76">
        <v>1</v>
      </c>
      <c r="G9" s="51">
        <f t="shared" si="0"/>
        <v>261.62220000000002</v>
      </c>
      <c r="H9" s="64"/>
      <c r="I9" s="24"/>
      <c r="J9" s="11"/>
      <c r="K9" s="11"/>
    </row>
    <row r="10" spans="1:11" ht="15" customHeight="1" x14ac:dyDescent="0.25">
      <c r="A10" s="13"/>
      <c r="B10" s="10"/>
      <c r="C10" s="779" t="s">
        <v>29</v>
      </c>
      <c r="D10" s="779"/>
      <c r="E10" s="779"/>
      <c r="F10" s="779"/>
      <c r="G10" s="53">
        <f>SUM(G6:G9)</f>
        <v>8838.8664000000008</v>
      </c>
      <c r="H10" s="67">
        <f>ROUND(G10*1.001,0)</f>
        <v>8848</v>
      </c>
      <c r="I10" s="26" t="s">
        <v>11</v>
      </c>
    </row>
    <row r="11" spans="1:11" ht="128.25" x14ac:dyDescent="0.25">
      <c r="A11" s="57">
        <v>2</v>
      </c>
      <c r="B11" s="59" t="s">
        <v>53</v>
      </c>
      <c r="C11" s="36"/>
      <c r="D11" s="37"/>
      <c r="E11" s="37"/>
      <c r="F11" s="37"/>
      <c r="G11" s="52"/>
      <c r="H11" s="25"/>
      <c r="I11" s="24"/>
    </row>
    <row r="12" spans="1:11" x14ac:dyDescent="0.25">
      <c r="A12" s="13"/>
      <c r="B12" s="4" t="s">
        <v>24</v>
      </c>
      <c r="C12" s="32"/>
      <c r="D12" s="76"/>
      <c r="E12" s="76"/>
      <c r="F12" s="76"/>
      <c r="G12" s="51">
        <f>G10</f>
        <v>8838.8664000000008</v>
      </c>
      <c r="H12" s="64"/>
      <c r="I12" s="24"/>
    </row>
    <row r="13" spans="1:11" x14ac:dyDescent="0.25">
      <c r="A13" s="13"/>
      <c r="B13" s="4" t="s">
        <v>21</v>
      </c>
      <c r="C13" s="32"/>
      <c r="D13" s="76"/>
      <c r="E13" s="76"/>
      <c r="F13" s="76"/>
      <c r="G13" s="51">
        <f>-SUM(G37:G38)</f>
        <v>-548.83105200000011</v>
      </c>
      <c r="H13" s="64"/>
      <c r="I13" s="24"/>
    </row>
    <row r="14" spans="1:11" x14ac:dyDescent="0.25">
      <c r="A14" s="13"/>
      <c r="B14" s="4" t="s">
        <v>22</v>
      </c>
      <c r="C14" s="32"/>
      <c r="D14" s="76"/>
      <c r="E14" s="76"/>
      <c r="F14" s="76"/>
      <c r="G14" s="51">
        <f>-G70</f>
        <v>-7336.8174000000008</v>
      </c>
      <c r="H14" s="64"/>
      <c r="I14" s="24"/>
    </row>
    <row r="15" spans="1:11" x14ac:dyDescent="0.25">
      <c r="A15" s="13"/>
      <c r="B15" s="4" t="s">
        <v>54</v>
      </c>
      <c r="C15" s="32"/>
      <c r="D15" s="76"/>
      <c r="E15" s="76"/>
      <c r="F15" s="76"/>
      <c r="G15" s="51">
        <f>SUM(G12:G14)</f>
        <v>953.21794800000043</v>
      </c>
      <c r="H15" s="64"/>
      <c r="I15" s="24"/>
    </row>
    <row r="16" spans="1:11" x14ac:dyDescent="0.25">
      <c r="A16" s="13"/>
      <c r="B16" s="4" t="s">
        <v>55</v>
      </c>
      <c r="C16" s="32"/>
      <c r="D16" s="76"/>
      <c r="E16" s="76"/>
      <c r="F16" s="76"/>
      <c r="G16" s="51">
        <f>+G12-G15</f>
        <v>7885.6484520000004</v>
      </c>
      <c r="H16" s="64"/>
      <c r="I16" s="24"/>
    </row>
    <row r="17" spans="1:11" x14ac:dyDescent="0.25">
      <c r="A17" s="15"/>
      <c r="B17" s="136"/>
      <c r="C17" s="32">
        <v>1</v>
      </c>
      <c r="D17" s="76">
        <v>1655.88</v>
      </c>
      <c r="E17" s="76"/>
      <c r="F17" s="76">
        <v>4</v>
      </c>
      <c r="G17" s="51">
        <f>SUM(F17*D17*C17,2)</f>
        <v>6625.52</v>
      </c>
      <c r="H17" s="25"/>
      <c r="I17" s="24"/>
    </row>
    <row r="18" spans="1:11" x14ac:dyDescent="0.25">
      <c r="A18" s="15"/>
      <c r="B18" s="136"/>
      <c r="C18" s="32">
        <v>1</v>
      </c>
      <c r="D18" s="76">
        <v>1624.65</v>
      </c>
      <c r="E18" s="76"/>
      <c r="F18" s="76">
        <v>4</v>
      </c>
      <c r="G18" s="51">
        <f>SUM(F18*D18*C18,2)</f>
        <v>6500.6</v>
      </c>
      <c r="H18" s="25"/>
      <c r="I18" s="24"/>
    </row>
    <row r="19" spans="1:11" ht="15" customHeight="1" x14ac:dyDescent="0.25">
      <c r="A19" s="13"/>
      <c r="B19" s="10"/>
      <c r="C19" s="779" t="s">
        <v>29</v>
      </c>
      <c r="D19" s="779"/>
      <c r="E19" s="779"/>
      <c r="F19" s="779"/>
      <c r="G19" s="53">
        <f>+G17+G18-G16</f>
        <v>5240.4715480000004</v>
      </c>
      <c r="H19" s="67">
        <f>ROUND(G19*1.001,0)</f>
        <v>5246</v>
      </c>
      <c r="I19" s="26" t="s">
        <v>11</v>
      </c>
    </row>
    <row r="20" spans="1:11" ht="28.5" x14ac:dyDescent="0.25">
      <c r="A20" s="57">
        <v>3</v>
      </c>
      <c r="B20" s="58" t="s">
        <v>5</v>
      </c>
      <c r="C20" s="38"/>
      <c r="D20" s="39"/>
      <c r="E20" s="39"/>
      <c r="F20" s="39"/>
      <c r="G20" s="54"/>
      <c r="H20" s="25"/>
      <c r="I20" s="24"/>
    </row>
    <row r="21" spans="1:11" x14ac:dyDescent="0.25">
      <c r="A21" s="14"/>
      <c r="B21" s="9" t="s">
        <v>56</v>
      </c>
      <c r="C21" s="30"/>
      <c r="D21" s="31"/>
      <c r="E21" s="31"/>
      <c r="F21" s="31"/>
      <c r="G21" s="50"/>
      <c r="H21" s="25"/>
      <c r="I21" s="24"/>
    </row>
    <row r="22" spans="1:11" x14ac:dyDescent="0.25">
      <c r="A22" s="13"/>
      <c r="B22" s="4"/>
      <c r="C22" s="32">
        <v>1</v>
      </c>
      <c r="D22" s="76">
        <f>D17</f>
        <v>1655.88</v>
      </c>
      <c r="E22" s="76"/>
      <c r="F22" s="76"/>
      <c r="G22" s="51">
        <f>PRODUCT(C22:F22)</f>
        <v>1655.88</v>
      </c>
      <c r="H22" s="77"/>
      <c r="I22" s="24"/>
    </row>
    <row r="23" spans="1:11" x14ac:dyDescent="0.25">
      <c r="A23" s="13"/>
      <c r="B23" s="4"/>
      <c r="C23" s="32">
        <v>1</v>
      </c>
      <c r="D23" s="76">
        <f>D18</f>
        <v>1624.65</v>
      </c>
      <c r="E23" s="76"/>
      <c r="F23" s="76"/>
      <c r="G23" s="51">
        <f>PRODUCT(C23:F23)</f>
        <v>1624.65</v>
      </c>
      <c r="H23" s="72"/>
      <c r="I23" s="73"/>
    </row>
    <row r="24" spans="1:11" ht="15" customHeight="1" x14ac:dyDescent="0.25">
      <c r="A24" s="13"/>
      <c r="B24" s="10"/>
      <c r="C24" s="779" t="s">
        <v>29</v>
      </c>
      <c r="D24" s="779"/>
      <c r="E24" s="779"/>
      <c r="F24" s="779"/>
      <c r="G24" s="53">
        <f>SUM(G22:G23)</f>
        <v>3280.53</v>
      </c>
      <c r="H24" s="67">
        <f>ROUND(G24*1.001,0)</f>
        <v>3284</v>
      </c>
      <c r="I24" s="26" t="s">
        <v>32</v>
      </c>
    </row>
    <row r="25" spans="1:11" ht="42.75" x14ac:dyDescent="0.25">
      <c r="A25" s="57">
        <v>4</v>
      </c>
      <c r="B25" s="58" t="s">
        <v>25</v>
      </c>
      <c r="C25" s="38"/>
      <c r="D25" s="39"/>
      <c r="E25" s="39"/>
      <c r="F25" s="39"/>
      <c r="G25" s="54"/>
      <c r="H25" s="25"/>
      <c r="I25" s="24"/>
    </row>
    <row r="26" spans="1:11" x14ac:dyDescent="0.25">
      <c r="A26" s="14" t="s">
        <v>4</v>
      </c>
      <c r="B26" s="9" t="s">
        <v>17</v>
      </c>
      <c r="C26" s="30"/>
      <c r="D26" s="31"/>
      <c r="E26" s="31"/>
      <c r="F26" s="31"/>
      <c r="G26" s="50"/>
      <c r="H26" s="25"/>
      <c r="I26" s="24"/>
    </row>
    <row r="27" spans="1:11" x14ac:dyDescent="0.25">
      <c r="A27" s="13"/>
      <c r="B27" s="4" t="s">
        <v>18</v>
      </c>
      <c r="C27" s="32">
        <v>1</v>
      </c>
      <c r="D27" s="76">
        <f>D6</f>
        <v>146.66000000000003</v>
      </c>
      <c r="E27" s="76">
        <f>E6</f>
        <v>5.67</v>
      </c>
      <c r="F27" s="76">
        <v>0.5</v>
      </c>
      <c r="G27" s="51">
        <f>PRODUCT(C27:F27)</f>
        <v>415.78110000000004</v>
      </c>
      <c r="H27" s="64"/>
      <c r="I27" s="24"/>
      <c r="J27" s="11"/>
      <c r="K27" s="11"/>
    </row>
    <row r="28" spans="1:11" x14ac:dyDescent="0.25">
      <c r="A28" s="13"/>
      <c r="B28" s="4" t="s">
        <v>47</v>
      </c>
      <c r="C28" s="32">
        <v>1</v>
      </c>
      <c r="D28" s="76">
        <f>D7</f>
        <v>146.66000000000003</v>
      </c>
      <c r="E28" s="76">
        <f>E7</f>
        <v>5.67</v>
      </c>
      <c r="F28" s="76">
        <v>0.5</v>
      </c>
      <c r="G28" s="51">
        <f t="shared" ref="G28" si="1">PRODUCT(C28:F28)</f>
        <v>415.78110000000004</v>
      </c>
      <c r="H28" s="64"/>
      <c r="I28" s="24"/>
      <c r="J28" s="11"/>
      <c r="K28" s="11"/>
    </row>
    <row r="29" spans="1:11" ht="15" customHeight="1" x14ac:dyDescent="0.25">
      <c r="A29" s="13"/>
      <c r="B29" s="10"/>
      <c r="C29" s="779" t="s">
        <v>29</v>
      </c>
      <c r="D29" s="779"/>
      <c r="E29" s="779"/>
      <c r="F29" s="779"/>
      <c r="G29" s="53">
        <f>SUM(G27:G28)</f>
        <v>831.56220000000008</v>
      </c>
      <c r="H29" s="67">
        <f>ROUND(G29*1.001,0)</f>
        <v>832</v>
      </c>
      <c r="I29" s="26" t="s">
        <v>11</v>
      </c>
    </row>
    <row r="30" spans="1:11" x14ac:dyDescent="0.25">
      <c r="A30" s="57">
        <v>5</v>
      </c>
      <c r="B30" s="60" t="s">
        <v>26</v>
      </c>
      <c r="C30" s="45"/>
      <c r="D30" s="46"/>
      <c r="E30" s="46"/>
      <c r="F30" s="46"/>
      <c r="G30" s="54"/>
      <c r="H30" s="25"/>
      <c r="I30" s="24"/>
    </row>
    <row r="31" spans="1:11" x14ac:dyDescent="0.25">
      <c r="A31" s="15"/>
      <c r="B31" s="6" t="s">
        <v>33</v>
      </c>
      <c r="C31" s="42"/>
      <c r="D31" s="43"/>
      <c r="E31" s="43"/>
      <c r="F31" s="43"/>
      <c r="G31" s="50"/>
      <c r="H31" s="25"/>
      <c r="I31" s="24"/>
    </row>
    <row r="32" spans="1:11" x14ac:dyDescent="0.25">
      <c r="A32" s="13"/>
      <c r="B32" s="4" t="s">
        <v>18</v>
      </c>
      <c r="C32" s="32">
        <v>1</v>
      </c>
      <c r="D32" s="76">
        <f>D6</f>
        <v>146.66000000000003</v>
      </c>
      <c r="E32" s="76">
        <f>E6</f>
        <v>5.67</v>
      </c>
      <c r="F32" s="76" t="s">
        <v>19</v>
      </c>
      <c r="G32" s="51">
        <f>PRODUCT(C32:F32)</f>
        <v>831.56220000000008</v>
      </c>
      <c r="H32" s="64"/>
      <c r="I32" s="24"/>
      <c r="J32" s="11"/>
      <c r="K32" s="11"/>
    </row>
    <row r="33" spans="1:11" x14ac:dyDescent="0.25">
      <c r="A33" s="13"/>
      <c r="B33" s="4" t="s">
        <v>47</v>
      </c>
      <c r="C33" s="32">
        <v>1</v>
      </c>
      <c r="D33" s="76">
        <f>D7</f>
        <v>146.66000000000003</v>
      </c>
      <c r="E33" s="76">
        <f>E7</f>
        <v>5.67</v>
      </c>
      <c r="F33" s="76" t="s">
        <v>19</v>
      </c>
      <c r="G33" s="51">
        <f t="shared" ref="G33" si="2">PRODUCT(C33:F33)</f>
        <v>831.56220000000008</v>
      </c>
      <c r="H33" s="64"/>
      <c r="I33" s="24"/>
      <c r="J33" s="11"/>
      <c r="K33" s="11"/>
    </row>
    <row r="34" spans="1:11" ht="15" customHeight="1" x14ac:dyDescent="0.25">
      <c r="A34" s="13"/>
      <c r="B34" s="10"/>
      <c r="C34" s="779" t="s">
        <v>29</v>
      </c>
      <c r="D34" s="779"/>
      <c r="E34" s="779"/>
      <c r="F34" s="779"/>
      <c r="G34" s="53">
        <f>SUM(G32:G33)</f>
        <v>1663.1244000000002</v>
      </c>
      <c r="H34" s="67">
        <f>ROUND(G34*1.001,0)</f>
        <v>1665</v>
      </c>
      <c r="I34" s="26" t="s">
        <v>11</v>
      </c>
    </row>
    <row r="35" spans="1:11" ht="71.25" x14ac:dyDescent="0.25">
      <c r="A35" s="57">
        <v>6</v>
      </c>
      <c r="B35" s="58" t="s">
        <v>6</v>
      </c>
      <c r="C35" s="38"/>
      <c r="D35" s="39"/>
      <c r="E35" s="39"/>
      <c r="F35" s="39"/>
      <c r="G35" s="54"/>
      <c r="H35" s="25"/>
      <c r="I35" s="24"/>
    </row>
    <row r="36" spans="1:11" x14ac:dyDescent="0.25">
      <c r="A36" s="14" t="s">
        <v>4</v>
      </c>
      <c r="B36" s="9" t="s">
        <v>17</v>
      </c>
      <c r="C36" s="30"/>
      <c r="D36" s="31"/>
      <c r="E36" s="31"/>
      <c r="F36" s="31"/>
      <c r="G36" s="50"/>
      <c r="H36" s="25"/>
      <c r="I36" s="24"/>
    </row>
    <row r="37" spans="1:11" x14ac:dyDescent="0.25">
      <c r="A37" s="13"/>
      <c r="B37" s="4" t="s">
        <v>18</v>
      </c>
      <c r="C37" s="32">
        <v>1</v>
      </c>
      <c r="D37" s="76">
        <f>D32</f>
        <v>146.66000000000003</v>
      </c>
      <c r="E37" s="76">
        <f>E32</f>
        <v>5.67</v>
      </c>
      <c r="F37" s="76">
        <v>0.33</v>
      </c>
      <c r="G37" s="51">
        <f>PRODUCT(C37:F37)</f>
        <v>274.41552600000006</v>
      </c>
      <c r="H37" s="64"/>
      <c r="I37" s="24"/>
      <c r="J37" s="11"/>
      <c r="K37" s="11"/>
    </row>
    <row r="38" spans="1:11" x14ac:dyDescent="0.25">
      <c r="A38" s="13"/>
      <c r="B38" s="4" t="s">
        <v>47</v>
      </c>
      <c r="C38" s="32">
        <v>1</v>
      </c>
      <c r="D38" s="76">
        <f>D33</f>
        <v>146.66000000000003</v>
      </c>
      <c r="E38" s="76">
        <f>E33</f>
        <v>5.67</v>
      </c>
      <c r="F38" s="76">
        <v>0.33</v>
      </c>
      <c r="G38" s="51">
        <f t="shared" ref="G38" si="3">PRODUCT(C38:F38)</f>
        <v>274.41552600000006</v>
      </c>
      <c r="H38" s="64"/>
      <c r="I38" s="24"/>
      <c r="J38" s="11"/>
      <c r="K38" s="11"/>
    </row>
    <row r="39" spans="1:11" x14ac:dyDescent="0.25">
      <c r="A39" s="14" t="s">
        <v>48</v>
      </c>
      <c r="B39" s="9" t="s">
        <v>49</v>
      </c>
      <c r="C39" s="34"/>
      <c r="D39" s="35"/>
      <c r="E39" s="35"/>
      <c r="F39" s="35"/>
      <c r="G39" s="52"/>
      <c r="H39" s="25"/>
      <c r="I39" s="24"/>
    </row>
    <row r="40" spans="1:11" x14ac:dyDescent="0.25">
      <c r="A40" s="13"/>
      <c r="B40" s="4" t="s">
        <v>50</v>
      </c>
      <c r="C40" s="32">
        <v>1</v>
      </c>
      <c r="D40" s="76">
        <f>D8</f>
        <v>156.66000000000003</v>
      </c>
      <c r="E40" s="76">
        <f>E8</f>
        <v>1.67</v>
      </c>
      <c r="F40" s="76">
        <v>0.33</v>
      </c>
      <c r="G40" s="51">
        <f>PRODUCT(C40:F40)</f>
        <v>86.335326000000009</v>
      </c>
      <c r="H40" s="64"/>
      <c r="I40" s="24"/>
    </row>
    <row r="41" spans="1:11" x14ac:dyDescent="0.25">
      <c r="A41" s="13"/>
      <c r="B41" s="4" t="s">
        <v>57</v>
      </c>
      <c r="C41" s="32">
        <v>1</v>
      </c>
      <c r="D41" s="76">
        <f>D9</f>
        <v>156.66000000000003</v>
      </c>
      <c r="E41" s="76">
        <f>E9</f>
        <v>1.67</v>
      </c>
      <c r="F41" s="76">
        <v>0.33</v>
      </c>
      <c r="G41" s="51">
        <f>PRODUCT(C41:F41)</f>
        <v>86.335326000000009</v>
      </c>
      <c r="H41" s="64"/>
      <c r="I41" s="24"/>
    </row>
    <row r="42" spans="1:11" x14ac:dyDescent="0.25">
      <c r="A42" s="14" t="s">
        <v>58</v>
      </c>
      <c r="B42" s="9" t="s">
        <v>59</v>
      </c>
      <c r="C42" s="34"/>
      <c r="D42" s="35"/>
      <c r="E42" s="35"/>
      <c r="F42" s="35"/>
      <c r="G42" s="52"/>
      <c r="H42" s="25"/>
      <c r="I42" s="24"/>
    </row>
    <row r="43" spans="1:11" x14ac:dyDescent="0.25">
      <c r="A43" s="13"/>
      <c r="B43" s="4"/>
      <c r="C43" s="32">
        <v>1</v>
      </c>
      <c r="D43" s="76">
        <f>+D22</f>
        <v>1655.88</v>
      </c>
      <c r="E43" s="76">
        <f>+E22</f>
        <v>0</v>
      </c>
      <c r="F43" s="76">
        <v>0.33</v>
      </c>
      <c r="G43" s="51">
        <f>PRODUCT(C43:F43)</f>
        <v>0</v>
      </c>
      <c r="H43" s="64"/>
      <c r="I43" s="24"/>
    </row>
    <row r="44" spans="1:11" x14ac:dyDescent="0.25">
      <c r="A44" s="13"/>
      <c r="B44" s="4"/>
      <c r="C44" s="32">
        <v>1</v>
      </c>
      <c r="D44" s="76">
        <f>+D23</f>
        <v>1624.65</v>
      </c>
      <c r="E44" s="76">
        <f>+E23</f>
        <v>0</v>
      </c>
      <c r="F44" s="76">
        <v>0.33</v>
      </c>
      <c r="G44" s="51">
        <f>PRODUCT(C44:F44)</f>
        <v>0</v>
      </c>
      <c r="H44" s="64"/>
      <c r="I44" s="24"/>
    </row>
    <row r="45" spans="1:11" ht="15" customHeight="1" x14ac:dyDescent="0.25">
      <c r="A45" s="13"/>
      <c r="B45" s="10"/>
      <c r="C45" s="779" t="s">
        <v>29</v>
      </c>
      <c r="D45" s="779"/>
      <c r="E45" s="779"/>
      <c r="F45" s="779"/>
      <c r="G45" s="53">
        <f>SUM(G37:G44)</f>
        <v>721.50170400000013</v>
      </c>
      <c r="H45" s="67">
        <f>ROUND(G45*1.001,0)</f>
        <v>722</v>
      </c>
      <c r="I45" s="26" t="s">
        <v>11</v>
      </c>
    </row>
    <row r="46" spans="1:11" ht="114" x14ac:dyDescent="0.25">
      <c r="A46" s="57">
        <v>7</v>
      </c>
      <c r="B46" s="58" t="s">
        <v>60</v>
      </c>
      <c r="C46" s="38"/>
      <c r="D46" s="39"/>
      <c r="E46" s="39"/>
      <c r="F46" s="39"/>
      <c r="G46" s="54"/>
      <c r="H46" s="25"/>
      <c r="I46" s="24"/>
    </row>
    <row r="47" spans="1:11" x14ac:dyDescent="0.25">
      <c r="A47" s="14" t="s">
        <v>4</v>
      </c>
      <c r="B47" s="9" t="s">
        <v>61</v>
      </c>
      <c r="C47" s="30"/>
      <c r="D47" s="31"/>
      <c r="E47" s="31"/>
      <c r="F47" s="31"/>
      <c r="G47" s="50"/>
      <c r="H47" s="25"/>
      <c r="I47" s="24"/>
    </row>
    <row r="48" spans="1:11" x14ac:dyDescent="0.25">
      <c r="A48" s="13"/>
      <c r="B48" s="4" t="s">
        <v>50</v>
      </c>
      <c r="C48" s="32">
        <v>1</v>
      </c>
      <c r="D48" s="76">
        <f>D40</f>
        <v>156.66000000000003</v>
      </c>
      <c r="E48" s="76">
        <f>E40-0.67</f>
        <v>0.99999999999999989</v>
      </c>
      <c r="F48" s="76">
        <v>0.75</v>
      </c>
      <c r="G48" s="51">
        <f>PRODUCT(C48:F48)</f>
        <v>117.495</v>
      </c>
      <c r="H48" s="64"/>
      <c r="I48" s="24"/>
    </row>
    <row r="49" spans="1:11" x14ac:dyDescent="0.25">
      <c r="A49" s="13"/>
      <c r="B49" s="4" t="s">
        <v>50</v>
      </c>
      <c r="C49" s="32">
        <v>1</v>
      </c>
      <c r="D49" s="76">
        <f>D41</f>
        <v>156.66000000000003</v>
      </c>
      <c r="E49" s="76">
        <f>E41-0.67</f>
        <v>0.99999999999999989</v>
      </c>
      <c r="F49" s="76">
        <v>0.75</v>
      </c>
      <c r="G49" s="51">
        <f>PRODUCT(C49:F49)</f>
        <v>117.495</v>
      </c>
      <c r="H49" s="64"/>
      <c r="I49" s="24"/>
    </row>
    <row r="50" spans="1:11" ht="15" customHeight="1" x14ac:dyDescent="0.25">
      <c r="A50" s="13"/>
      <c r="B50" s="10"/>
      <c r="C50" s="779" t="s">
        <v>29</v>
      </c>
      <c r="D50" s="779"/>
      <c r="E50" s="779"/>
      <c r="F50" s="779"/>
      <c r="G50" s="53">
        <f>SUM(G48:G49)</f>
        <v>234.99</v>
      </c>
      <c r="H50" s="67">
        <f>ROUND(G50*1.001,0)</f>
        <v>235</v>
      </c>
      <c r="I50" s="26" t="s">
        <v>11</v>
      </c>
    </row>
    <row r="51" spans="1:11" ht="171" x14ac:dyDescent="0.25">
      <c r="A51" s="57">
        <v>8</v>
      </c>
      <c r="B51" s="58" t="s">
        <v>7</v>
      </c>
      <c r="C51" s="38"/>
      <c r="D51" s="39"/>
      <c r="E51" s="39"/>
      <c r="F51" s="39"/>
      <c r="G51" s="54"/>
      <c r="H51" s="25"/>
      <c r="I51" s="24"/>
    </row>
    <row r="52" spans="1:11" x14ac:dyDescent="0.25">
      <c r="A52" s="13"/>
      <c r="B52" s="4" t="s">
        <v>18</v>
      </c>
      <c r="C52" s="32">
        <v>1</v>
      </c>
      <c r="D52" s="76">
        <f>D37-0.66</f>
        <v>146.00000000000003</v>
      </c>
      <c r="E52" s="76">
        <v>5</v>
      </c>
      <c r="F52" s="76">
        <v>2</v>
      </c>
      <c r="G52" s="51">
        <f>PRODUCT(C52:F52)</f>
        <v>1460.0000000000002</v>
      </c>
      <c r="H52" s="64"/>
      <c r="I52" s="24"/>
      <c r="J52" s="11"/>
      <c r="K52" s="11"/>
    </row>
    <row r="53" spans="1:11" x14ac:dyDescent="0.25">
      <c r="A53" s="13"/>
      <c r="B53" s="4" t="s">
        <v>47</v>
      </c>
      <c r="C53" s="32">
        <v>1</v>
      </c>
      <c r="D53" s="76">
        <f>D38-0.66</f>
        <v>146.00000000000003</v>
      </c>
      <c r="E53" s="76">
        <v>5</v>
      </c>
      <c r="F53" s="76">
        <v>2</v>
      </c>
      <c r="G53" s="51">
        <f t="shared" ref="G53:G65" si="4">PRODUCT(C53:F53)</f>
        <v>1460.0000000000002</v>
      </c>
      <c r="H53" s="64"/>
      <c r="I53" s="24"/>
      <c r="J53" s="11"/>
      <c r="K53" s="11"/>
    </row>
    <row r="54" spans="1:11" x14ac:dyDescent="0.25">
      <c r="A54" s="13"/>
      <c r="B54" s="4"/>
      <c r="C54" s="32"/>
      <c r="D54" s="76"/>
      <c r="E54" s="76"/>
      <c r="F54" s="76"/>
      <c r="G54" s="51"/>
      <c r="H54" s="64"/>
      <c r="I54" s="24"/>
      <c r="J54" s="11"/>
      <c r="K54" s="11"/>
    </row>
    <row r="55" spans="1:11" x14ac:dyDescent="0.25">
      <c r="A55" s="13"/>
      <c r="B55" s="4" t="s">
        <v>127</v>
      </c>
      <c r="C55" s="32">
        <f>C48</f>
        <v>1</v>
      </c>
      <c r="D55" s="76">
        <f>D40</f>
        <v>156.66000000000003</v>
      </c>
      <c r="E55" s="76">
        <f>E48</f>
        <v>0.99999999999999989</v>
      </c>
      <c r="F55" s="76">
        <v>2</v>
      </c>
      <c r="G55" s="51">
        <f t="shared" si="4"/>
        <v>313.32</v>
      </c>
      <c r="H55" s="64"/>
      <c r="I55" s="24"/>
      <c r="J55" s="11"/>
      <c r="K55" s="11"/>
    </row>
    <row r="56" spans="1:11" x14ac:dyDescent="0.25">
      <c r="A56" s="13"/>
      <c r="B56" s="4" t="s">
        <v>127</v>
      </c>
      <c r="C56" s="32">
        <f>C49</f>
        <v>1</v>
      </c>
      <c r="D56" s="76">
        <f>D41</f>
        <v>156.66000000000003</v>
      </c>
      <c r="E56" s="76">
        <f>E49</f>
        <v>0.99999999999999989</v>
      </c>
      <c r="F56" s="76">
        <v>2</v>
      </c>
      <c r="G56" s="51">
        <f t="shared" si="4"/>
        <v>313.32</v>
      </c>
      <c r="H56" s="64"/>
      <c r="I56" s="24"/>
      <c r="J56" s="11"/>
      <c r="K56" s="11"/>
    </row>
    <row r="57" spans="1:11" x14ac:dyDescent="0.25">
      <c r="A57" s="13"/>
      <c r="B57" s="4" t="s">
        <v>128</v>
      </c>
      <c r="C57" s="32"/>
      <c r="D57" s="76"/>
      <c r="E57" s="76"/>
      <c r="F57" s="76"/>
      <c r="G57" s="51"/>
      <c r="H57" s="64"/>
      <c r="I57" s="24"/>
      <c r="J57" s="11"/>
      <c r="K57" s="11"/>
    </row>
    <row r="58" spans="1:11" x14ac:dyDescent="0.25">
      <c r="A58" s="13"/>
      <c r="B58" s="4" t="s">
        <v>47</v>
      </c>
      <c r="C58" s="32">
        <v>1</v>
      </c>
      <c r="D58" s="76">
        <f>D55+8</f>
        <v>164.66000000000003</v>
      </c>
      <c r="E58" s="76">
        <v>1</v>
      </c>
      <c r="F58" s="76">
        <v>2</v>
      </c>
      <c r="G58" s="51">
        <f t="shared" si="4"/>
        <v>329.32000000000005</v>
      </c>
      <c r="H58" s="64"/>
      <c r="I58" s="24"/>
      <c r="J58" s="11"/>
      <c r="K58" s="11"/>
    </row>
    <row r="59" spans="1:11" x14ac:dyDescent="0.25">
      <c r="A59" s="13"/>
      <c r="B59" s="4" t="s">
        <v>47</v>
      </c>
      <c r="C59" s="32">
        <v>1</v>
      </c>
      <c r="D59" s="76">
        <f>D56+8</f>
        <v>164.66000000000003</v>
      </c>
      <c r="E59" s="76">
        <v>1</v>
      </c>
      <c r="F59" s="76">
        <v>2</v>
      </c>
      <c r="G59" s="51">
        <f t="shared" si="4"/>
        <v>329.32000000000005</v>
      </c>
      <c r="H59" s="64"/>
      <c r="I59" s="24"/>
      <c r="J59" s="11"/>
      <c r="K59" s="11"/>
    </row>
    <row r="60" spans="1:11" x14ac:dyDescent="0.25">
      <c r="A60" s="13"/>
      <c r="B60" s="4" t="s">
        <v>128</v>
      </c>
      <c r="C60" s="32"/>
      <c r="D60" s="76"/>
      <c r="E60" s="76"/>
      <c r="F60" s="76"/>
      <c r="G60" s="51"/>
      <c r="H60" s="64"/>
      <c r="I60" s="24"/>
      <c r="J60" s="11"/>
      <c r="K60" s="11"/>
    </row>
    <row r="61" spans="1:11" x14ac:dyDescent="0.25">
      <c r="A61" s="13"/>
      <c r="B61" s="4" t="s">
        <v>127</v>
      </c>
      <c r="C61" s="32">
        <v>1</v>
      </c>
      <c r="D61" s="76">
        <f>(6.5+6.33+3.67+2.75+2.92+11.25+3.17+2.75+5.5+2.83+8.08+7.33)*1.8</f>
        <v>113.544</v>
      </c>
      <c r="E61" s="76">
        <v>0.67</v>
      </c>
      <c r="F61" s="76">
        <v>2.5</v>
      </c>
      <c r="G61" s="51">
        <f t="shared" si="4"/>
        <v>190.18620000000001</v>
      </c>
      <c r="H61" s="64"/>
      <c r="I61" s="24"/>
      <c r="J61" s="11"/>
      <c r="K61" s="11"/>
    </row>
    <row r="62" spans="1:11" x14ac:dyDescent="0.25">
      <c r="A62" s="13"/>
      <c r="B62" s="4" t="s">
        <v>127</v>
      </c>
      <c r="C62" s="32">
        <v>1</v>
      </c>
      <c r="D62" s="76">
        <f>(6.5+6.33+3.67+2.75+2.92+11.25+3.17+2.75+5.5+2.83+8.08+7.33)*1.8</f>
        <v>113.544</v>
      </c>
      <c r="E62" s="76">
        <v>0.67</v>
      </c>
      <c r="F62" s="76">
        <v>2.5</v>
      </c>
      <c r="G62" s="51">
        <f t="shared" si="4"/>
        <v>190.18620000000001</v>
      </c>
      <c r="H62" s="64"/>
      <c r="I62" s="24"/>
      <c r="J62" s="11"/>
      <c r="K62" s="11"/>
    </row>
    <row r="63" spans="1:11" x14ac:dyDescent="0.25">
      <c r="A63" s="13"/>
      <c r="B63" s="4"/>
      <c r="C63" s="32"/>
      <c r="D63" s="76"/>
      <c r="E63" s="76"/>
      <c r="F63" s="76"/>
      <c r="G63" s="51"/>
      <c r="H63" s="64"/>
      <c r="I63" s="24"/>
      <c r="J63" s="11"/>
      <c r="K63" s="11"/>
    </row>
    <row r="64" spans="1:11" x14ac:dyDescent="0.25">
      <c r="A64" s="13"/>
      <c r="B64" s="4"/>
      <c r="C64" s="32"/>
      <c r="D64" s="76"/>
      <c r="E64" s="76"/>
      <c r="F64" s="76"/>
      <c r="G64" s="51"/>
      <c r="H64" s="64"/>
      <c r="I64" s="24"/>
      <c r="J64" s="11"/>
      <c r="K64" s="11"/>
    </row>
    <row r="65" spans="1:11" x14ac:dyDescent="0.25">
      <c r="A65" s="13"/>
      <c r="B65" s="4" t="s">
        <v>62</v>
      </c>
      <c r="C65" s="32">
        <v>1</v>
      </c>
      <c r="D65" s="76">
        <f>D43</f>
        <v>1655.88</v>
      </c>
      <c r="E65" s="76"/>
      <c r="F65" s="76">
        <v>0.5</v>
      </c>
      <c r="G65" s="51">
        <f t="shared" si="4"/>
        <v>827.94</v>
      </c>
      <c r="H65" s="64"/>
      <c r="I65" s="24"/>
    </row>
    <row r="66" spans="1:11" x14ac:dyDescent="0.25">
      <c r="A66" s="13"/>
      <c r="B66" s="4" t="s">
        <v>62</v>
      </c>
      <c r="C66" s="32">
        <v>1</v>
      </c>
      <c r="D66" s="76">
        <f>D44</f>
        <v>1624.65</v>
      </c>
      <c r="E66" s="76"/>
      <c r="F66" s="76">
        <v>0.5</v>
      </c>
      <c r="G66" s="51">
        <f>PRODUCT(C66:F66)</f>
        <v>812.32500000000005</v>
      </c>
      <c r="H66" s="64"/>
      <c r="I66" s="24"/>
    </row>
    <row r="67" spans="1:11" x14ac:dyDescent="0.25">
      <c r="A67" s="13"/>
      <c r="B67" s="4" t="s">
        <v>129</v>
      </c>
      <c r="C67" s="32">
        <v>19</v>
      </c>
      <c r="D67" s="76">
        <v>1</v>
      </c>
      <c r="E67" s="76">
        <v>2.42</v>
      </c>
      <c r="F67" s="76">
        <v>17.5</v>
      </c>
      <c r="G67" s="51">
        <f t="shared" ref="G67:G69" si="5">PRODUCT(C67:F67)</f>
        <v>804.65</v>
      </c>
      <c r="H67" s="64"/>
      <c r="I67" s="24"/>
    </row>
    <row r="68" spans="1:11" x14ac:dyDescent="0.25">
      <c r="A68" s="13"/>
      <c r="B68" s="4"/>
      <c r="C68" s="32">
        <v>2</v>
      </c>
      <c r="D68" s="76">
        <v>1</v>
      </c>
      <c r="E68" s="76">
        <v>4.5</v>
      </c>
      <c r="F68" s="76">
        <f>F67</f>
        <v>17.5</v>
      </c>
      <c r="G68" s="51">
        <f t="shared" si="5"/>
        <v>157.5</v>
      </c>
      <c r="H68" s="64"/>
      <c r="I68" s="24"/>
    </row>
    <row r="69" spans="1:11" x14ac:dyDescent="0.25">
      <c r="A69" s="13"/>
      <c r="B69" s="4"/>
      <c r="C69" s="32">
        <v>2</v>
      </c>
      <c r="D69" s="76">
        <v>1</v>
      </c>
      <c r="E69" s="76">
        <v>4.25</v>
      </c>
      <c r="F69" s="76">
        <f>F68</f>
        <v>17.5</v>
      </c>
      <c r="G69" s="51">
        <f t="shared" si="5"/>
        <v>148.75</v>
      </c>
      <c r="H69" s="64"/>
      <c r="I69" s="24"/>
    </row>
    <row r="70" spans="1:11" ht="15" customHeight="1" x14ac:dyDescent="0.25">
      <c r="A70" s="13"/>
      <c r="B70" s="10"/>
      <c r="C70" s="779" t="s">
        <v>29</v>
      </c>
      <c r="D70" s="779"/>
      <c r="E70" s="779"/>
      <c r="F70" s="779"/>
      <c r="G70" s="53">
        <f>SUM(G52:G69)</f>
        <v>7336.8174000000008</v>
      </c>
      <c r="H70" s="67">
        <f>ROUND(G70*1.001,0)</f>
        <v>7344</v>
      </c>
      <c r="I70" s="26" t="s">
        <v>11</v>
      </c>
    </row>
    <row r="71" spans="1:11" ht="42.75" x14ac:dyDescent="0.25">
      <c r="A71" s="57">
        <v>9</v>
      </c>
      <c r="B71" s="58" t="s">
        <v>35</v>
      </c>
      <c r="C71" s="40"/>
      <c r="D71" s="41"/>
      <c r="E71" s="41"/>
      <c r="F71" s="41"/>
      <c r="G71" s="55"/>
      <c r="H71" s="25"/>
      <c r="I71" s="24"/>
    </row>
    <row r="72" spans="1:11" x14ac:dyDescent="0.25">
      <c r="A72" s="15"/>
      <c r="B72" s="6" t="s">
        <v>34</v>
      </c>
      <c r="C72" s="42"/>
      <c r="D72" s="43"/>
      <c r="E72" s="43"/>
      <c r="F72" s="43"/>
      <c r="G72" s="50"/>
      <c r="H72" s="25"/>
      <c r="I72" s="24"/>
    </row>
    <row r="73" spans="1:11" x14ac:dyDescent="0.25">
      <c r="A73" s="13"/>
      <c r="B73" s="4"/>
      <c r="C73" s="32">
        <v>1</v>
      </c>
      <c r="D73" s="76">
        <f>SUM(D52)*1</f>
        <v>146.00000000000003</v>
      </c>
      <c r="E73" s="76">
        <f>SUM(E52)*1</f>
        <v>5</v>
      </c>
      <c r="F73" s="76" t="s">
        <v>19</v>
      </c>
      <c r="G73" s="51">
        <f>PRODUCT(C73:F73)</f>
        <v>730.00000000000011</v>
      </c>
      <c r="H73" s="64"/>
      <c r="I73" s="24"/>
      <c r="J73" s="11"/>
      <c r="K73" s="11"/>
    </row>
    <row r="74" spans="1:11" x14ac:dyDescent="0.25">
      <c r="A74" s="13"/>
      <c r="B74" s="4"/>
      <c r="C74" s="32">
        <v>1</v>
      </c>
      <c r="D74" s="76">
        <f>SUM(D53)*1</f>
        <v>146.00000000000003</v>
      </c>
      <c r="E74" s="76">
        <f>SUM(E53)*1</f>
        <v>5</v>
      </c>
      <c r="F74" s="76" t="s">
        <v>19</v>
      </c>
      <c r="G74" s="51">
        <f t="shared" ref="G74" si="6">PRODUCT(C74:F74)</f>
        <v>730.00000000000011</v>
      </c>
      <c r="H74" s="64"/>
      <c r="I74" s="24"/>
      <c r="J74" s="11"/>
      <c r="K74" s="11"/>
    </row>
    <row r="75" spans="1:11" x14ac:dyDescent="0.25">
      <c r="A75" s="15"/>
      <c r="B75" s="6" t="s">
        <v>63</v>
      </c>
      <c r="C75" s="36"/>
      <c r="D75" s="37"/>
      <c r="E75" s="37"/>
      <c r="F75" s="37"/>
      <c r="G75" s="52"/>
      <c r="H75" s="25"/>
      <c r="I75" s="24"/>
    </row>
    <row r="76" spans="1:11" x14ac:dyDescent="0.25">
      <c r="A76" s="13"/>
      <c r="B76" s="4" t="s">
        <v>18</v>
      </c>
      <c r="C76" s="32">
        <f>+C52</f>
        <v>1</v>
      </c>
      <c r="D76" s="76">
        <f>SUM(D32:E32)*2</f>
        <v>304.66000000000003</v>
      </c>
      <c r="E76" s="76" t="s">
        <v>19</v>
      </c>
      <c r="F76" s="76">
        <f>+F52</f>
        <v>2</v>
      </c>
      <c r="G76" s="51">
        <f>PRODUCT(C76:F76)</f>
        <v>609.32000000000005</v>
      </c>
      <c r="H76" s="64"/>
      <c r="I76" s="24"/>
    </row>
    <row r="77" spans="1:11" x14ac:dyDescent="0.25">
      <c r="A77" s="13"/>
      <c r="B77" s="4" t="s">
        <v>47</v>
      </c>
      <c r="C77" s="32">
        <f>+C53</f>
        <v>1</v>
      </c>
      <c r="D77" s="76">
        <f>SUM(D33:E33)*2</f>
        <v>304.66000000000003</v>
      </c>
      <c r="E77" s="76" t="s">
        <v>19</v>
      </c>
      <c r="F77" s="76">
        <f>+F53</f>
        <v>2</v>
      </c>
      <c r="G77" s="51">
        <f t="shared" ref="G77" si="7">PRODUCT(C77:F77)</f>
        <v>609.32000000000005</v>
      </c>
      <c r="H77" s="64"/>
      <c r="I77" s="24"/>
    </row>
    <row r="78" spans="1:11" x14ac:dyDescent="0.25">
      <c r="A78" s="14" t="s">
        <v>48</v>
      </c>
      <c r="B78" s="9" t="s">
        <v>129</v>
      </c>
      <c r="C78" s="34"/>
      <c r="D78" s="35"/>
      <c r="E78" s="35"/>
      <c r="F78" s="35"/>
      <c r="G78" s="52"/>
      <c r="H78" s="25"/>
      <c r="I78" s="24"/>
    </row>
    <row r="79" spans="1:11" x14ac:dyDescent="0.25">
      <c r="A79" s="13"/>
      <c r="B79" s="4"/>
      <c r="C79" s="32">
        <f>C67</f>
        <v>19</v>
      </c>
      <c r="D79" s="76">
        <f>D67+E67+E67+D67</f>
        <v>6.84</v>
      </c>
      <c r="E79" s="76" t="s">
        <v>19</v>
      </c>
      <c r="F79" s="76">
        <v>5</v>
      </c>
      <c r="G79" s="51">
        <f>PRODUCT(C79:F79)</f>
        <v>649.80000000000007</v>
      </c>
      <c r="H79" s="64"/>
      <c r="I79" s="24"/>
    </row>
    <row r="80" spans="1:11" x14ac:dyDescent="0.25">
      <c r="A80" s="13"/>
      <c r="B80" s="4"/>
      <c r="C80" s="32">
        <f t="shared" ref="C80:C81" si="8">C68</f>
        <v>2</v>
      </c>
      <c r="D80" s="76">
        <f t="shared" ref="D80:D81" si="9">D68+E68+E68+D68</f>
        <v>11</v>
      </c>
      <c r="E80" s="76" t="s">
        <v>19</v>
      </c>
      <c r="F80" s="76">
        <v>5</v>
      </c>
      <c r="G80" s="51">
        <f t="shared" ref="G80:G81" si="10">PRODUCT(C80:F80)</f>
        <v>110</v>
      </c>
      <c r="H80" s="64"/>
      <c r="I80" s="24"/>
    </row>
    <row r="81" spans="1:9" x14ac:dyDescent="0.25">
      <c r="A81" s="13"/>
      <c r="B81" s="4"/>
      <c r="C81" s="32">
        <f t="shared" si="8"/>
        <v>2</v>
      </c>
      <c r="D81" s="76">
        <f t="shared" si="9"/>
        <v>10.5</v>
      </c>
      <c r="E81" s="76" t="s">
        <v>19</v>
      </c>
      <c r="F81" s="76">
        <v>5</v>
      </c>
      <c r="G81" s="51">
        <f t="shared" si="10"/>
        <v>105</v>
      </c>
      <c r="H81" s="64"/>
      <c r="I81" s="24"/>
    </row>
    <row r="82" spans="1:9" ht="15" customHeight="1" x14ac:dyDescent="0.25">
      <c r="A82" s="13"/>
      <c r="B82" s="10"/>
      <c r="C82" s="779" t="s">
        <v>29</v>
      </c>
      <c r="D82" s="779"/>
      <c r="E82" s="779"/>
      <c r="F82" s="779"/>
      <c r="G82" s="53">
        <f>SUM(G72:G81)</f>
        <v>3543.4400000000005</v>
      </c>
      <c r="H82" s="67">
        <f>ROUND(G82*1.001,0)</f>
        <v>3547</v>
      </c>
      <c r="I82" s="26" t="s">
        <v>10</v>
      </c>
    </row>
    <row r="83" spans="1:9" ht="42.75" x14ac:dyDescent="0.25">
      <c r="A83" s="57">
        <v>10</v>
      </c>
      <c r="B83" s="61" t="s">
        <v>9</v>
      </c>
      <c r="C83" s="30"/>
      <c r="D83" s="31"/>
      <c r="E83" s="31"/>
      <c r="F83" s="31"/>
      <c r="G83" s="50"/>
      <c r="H83" s="25"/>
      <c r="I83" s="24"/>
    </row>
    <row r="84" spans="1:9" x14ac:dyDescent="0.25">
      <c r="A84" s="13"/>
      <c r="B84" s="4"/>
      <c r="C84" s="32">
        <v>1</v>
      </c>
      <c r="D84" s="76">
        <f>+G70</f>
        <v>7336.8174000000008</v>
      </c>
      <c r="E84" s="76">
        <v>3</v>
      </c>
      <c r="F84" s="76" t="s">
        <v>31</v>
      </c>
      <c r="G84" s="51">
        <f>ROUND(PRODUCT(C84:F84),-3)</f>
        <v>22000</v>
      </c>
      <c r="H84" s="64"/>
      <c r="I84" s="24"/>
    </row>
    <row r="85" spans="1:9" ht="15" customHeight="1" x14ac:dyDescent="0.25">
      <c r="A85" s="13"/>
      <c r="B85" s="10"/>
      <c r="C85" s="779" t="s">
        <v>29</v>
      </c>
      <c r="D85" s="779"/>
      <c r="E85" s="779"/>
      <c r="F85" s="779"/>
      <c r="G85" s="53">
        <f>SUM(G84)</f>
        <v>22000</v>
      </c>
      <c r="H85" s="67">
        <f>ROUND(G85*1.001,0)</f>
        <v>22022</v>
      </c>
      <c r="I85" s="26" t="s">
        <v>12</v>
      </c>
    </row>
    <row r="86" spans="1:9" ht="57" x14ac:dyDescent="0.25">
      <c r="A86" s="71">
        <v>11</v>
      </c>
      <c r="B86" s="61" t="s">
        <v>64</v>
      </c>
      <c r="C86" s="34"/>
      <c r="D86" s="35"/>
      <c r="E86" s="35"/>
      <c r="F86" s="35"/>
      <c r="G86" s="52"/>
      <c r="H86" s="25"/>
      <c r="I86" s="24"/>
    </row>
    <row r="87" spans="1:9" x14ac:dyDescent="0.25">
      <c r="A87" s="13"/>
      <c r="B87" s="4" t="s">
        <v>50</v>
      </c>
      <c r="C87" s="32">
        <v>1</v>
      </c>
      <c r="D87" s="76">
        <f>D55</f>
        <v>156.66000000000003</v>
      </c>
      <c r="E87" s="76">
        <v>0.5</v>
      </c>
      <c r="F87" s="76" t="s">
        <v>19</v>
      </c>
      <c r="G87" s="51">
        <f>PRODUCT(C87:F87)</f>
        <v>78.330000000000013</v>
      </c>
      <c r="H87" s="64"/>
      <c r="I87" s="24"/>
    </row>
    <row r="88" spans="1:9" x14ac:dyDescent="0.25">
      <c r="A88" s="13"/>
      <c r="B88" s="4" t="s">
        <v>57</v>
      </c>
      <c r="C88" s="32">
        <v>1</v>
      </c>
      <c r="D88" s="76">
        <f>D56</f>
        <v>156.66000000000003</v>
      </c>
      <c r="E88" s="76">
        <v>0.5</v>
      </c>
      <c r="F88" s="76" t="s">
        <v>19</v>
      </c>
      <c r="G88" s="51">
        <f>PRODUCT(C88:F88)</f>
        <v>78.330000000000013</v>
      </c>
      <c r="H88" s="64"/>
      <c r="I88" s="24"/>
    </row>
    <row r="89" spans="1:9" ht="15" customHeight="1" x14ac:dyDescent="0.25">
      <c r="A89" s="13"/>
      <c r="B89" s="10"/>
      <c r="C89" s="779" t="s">
        <v>29</v>
      </c>
      <c r="D89" s="779"/>
      <c r="E89" s="779"/>
      <c r="F89" s="779"/>
      <c r="G89" s="53">
        <f>SUM(G87:G88)</f>
        <v>156.66000000000003</v>
      </c>
      <c r="H89" s="67">
        <f>ROUND(G89*1.001,0)</f>
        <v>157</v>
      </c>
      <c r="I89" s="26" t="s">
        <v>10</v>
      </c>
    </row>
    <row r="90" spans="1:9" x14ac:dyDescent="0.25">
      <c r="A90" s="85"/>
      <c r="B90" s="86" t="s">
        <v>65</v>
      </c>
      <c r="C90" s="87"/>
      <c r="D90" s="88"/>
      <c r="E90" s="88"/>
      <c r="F90" s="88"/>
      <c r="G90" s="89"/>
      <c r="H90" s="90"/>
      <c r="I90" s="91"/>
    </row>
    <row r="91" spans="1:9" ht="42.75" x14ac:dyDescent="0.25">
      <c r="A91" s="57">
        <v>11</v>
      </c>
      <c r="B91" s="58" t="s">
        <v>66</v>
      </c>
      <c r="C91" s="38"/>
      <c r="D91" s="39"/>
      <c r="E91" s="39"/>
      <c r="F91" s="39"/>
      <c r="G91" s="54"/>
      <c r="H91" s="25"/>
      <c r="I91" s="24"/>
    </row>
    <row r="92" spans="1:9" x14ac:dyDescent="0.25">
      <c r="A92" s="92" t="s">
        <v>4</v>
      </c>
      <c r="B92" s="81" t="s">
        <v>67</v>
      </c>
      <c r="C92" s="93"/>
      <c r="D92" s="94"/>
      <c r="E92" s="94"/>
      <c r="F92" s="94"/>
      <c r="G92" s="95"/>
      <c r="H92" s="96"/>
      <c r="I92" s="97"/>
    </row>
    <row r="93" spans="1:9" x14ac:dyDescent="0.25">
      <c r="A93" s="98"/>
      <c r="B93" s="105" t="s">
        <v>68</v>
      </c>
      <c r="C93" s="106">
        <v>1</v>
      </c>
      <c r="D93" s="107">
        <f>D87</f>
        <v>156.66000000000003</v>
      </c>
      <c r="E93" s="107">
        <v>0.5</v>
      </c>
      <c r="F93" s="107">
        <v>10</v>
      </c>
      <c r="G93" s="51">
        <f t="shared" ref="G93:G94" si="11">PRODUCT(C93:F93)</f>
        <v>783.30000000000018</v>
      </c>
      <c r="H93" s="108"/>
      <c r="I93" s="109"/>
    </row>
    <row r="94" spans="1:9" x14ac:dyDescent="0.25">
      <c r="A94" s="98"/>
      <c r="B94" s="105" t="s">
        <v>69</v>
      </c>
      <c r="C94" s="106">
        <v>1</v>
      </c>
      <c r="D94" s="107">
        <f>D88</f>
        <v>156.66000000000003</v>
      </c>
      <c r="E94" s="107">
        <v>0.5</v>
      </c>
      <c r="F94" s="107">
        <v>10</v>
      </c>
      <c r="G94" s="51">
        <f t="shared" si="11"/>
        <v>783.30000000000018</v>
      </c>
      <c r="H94" s="108"/>
      <c r="I94" s="109"/>
    </row>
    <row r="95" spans="1:9" x14ac:dyDescent="0.25">
      <c r="A95" s="98"/>
      <c r="B95" s="105"/>
      <c r="C95" s="110"/>
      <c r="D95" s="111"/>
      <c r="E95" s="111"/>
      <c r="F95" s="111"/>
      <c r="G95" s="78"/>
      <c r="H95" s="112"/>
      <c r="I95" s="109"/>
    </row>
    <row r="96" spans="1:9" x14ac:dyDescent="0.25">
      <c r="A96" s="98"/>
      <c r="B96" s="99" t="s">
        <v>130</v>
      </c>
      <c r="C96" s="100"/>
      <c r="D96" s="101"/>
      <c r="E96" s="101"/>
      <c r="F96" s="101"/>
      <c r="G96" s="102"/>
      <c r="H96" s="103"/>
      <c r="I96" s="104"/>
    </row>
    <row r="97" spans="1:9" x14ac:dyDescent="0.25">
      <c r="A97" s="98"/>
      <c r="B97" s="105" t="s">
        <v>68</v>
      </c>
      <c r="C97" s="106">
        <f>-C79</f>
        <v>-19</v>
      </c>
      <c r="D97" s="107">
        <v>0.5</v>
      </c>
      <c r="E97" s="107">
        <f>E67</f>
        <v>2.42</v>
      </c>
      <c r="F97" s="107">
        <v>10</v>
      </c>
      <c r="G97" s="51">
        <f>PRODUCT(C97:F97)</f>
        <v>-229.89999999999998</v>
      </c>
      <c r="H97" s="108"/>
      <c r="I97" s="109"/>
    </row>
    <row r="98" spans="1:9" x14ac:dyDescent="0.25">
      <c r="A98" s="98"/>
      <c r="B98" s="105" t="s">
        <v>68</v>
      </c>
      <c r="C98" s="106">
        <f t="shared" ref="C98:C99" si="12">-C80</f>
        <v>-2</v>
      </c>
      <c r="D98" s="107">
        <v>0.5</v>
      </c>
      <c r="E98" s="107">
        <f t="shared" ref="E98:E99" si="13">E68</f>
        <v>4.5</v>
      </c>
      <c r="F98" s="107">
        <v>10</v>
      </c>
      <c r="G98" s="51">
        <f>PRODUCT(C98:F98)</f>
        <v>-45</v>
      </c>
      <c r="H98" s="108"/>
      <c r="I98" s="109"/>
    </row>
    <row r="99" spans="1:9" x14ac:dyDescent="0.25">
      <c r="A99" s="98"/>
      <c r="B99" s="105" t="s">
        <v>68</v>
      </c>
      <c r="C99" s="106">
        <f t="shared" si="12"/>
        <v>-2</v>
      </c>
      <c r="D99" s="107">
        <v>0.5</v>
      </c>
      <c r="E99" s="107">
        <f t="shared" si="13"/>
        <v>4.25</v>
      </c>
      <c r="F99" s="107">
        <v>10</v>
      </c>
      <c r="G99" s="51">
        <f>PRODUCT(C99:F99)</f>
        <v>-42.5</v>
      </c>
      <c r="H99" s="108"/>
      <c r="I99" s="109"/>
    </row>
    <row r="100" spans="1:9" x14ac:dyDescent="0.25">
      <c r="A100" s="98"/>
      <c r="B100" s="99" t="s">
        <v>131</v>
      </c>
      <c r="C100" s="115"/>
      <c r="D100" s="116"/>
      <c r="E100" s="116"/>
      <c r="F100" s="116"/>
      <c r="G100" s="117"/>
      <c r="H100" s="103"/>
      <c r="I100" s="104"/>
    </row>
    <row r="101" spans="1:9" x14ac:dyDescent="0.25">
      <c r="A101" s="98"/>
      <c r="B101" s="105" t="s">
        <v>71</v>
      </c>
      <c r="C101" s="106">
        <v>11</v>
      </c>
      <c r="D101" s="107">
        <v>4</v>
      </c>
      <c r="E101" s="107">
        <v>0.5</v>
      </c>
      <c r="F101" s="107">
        <v>7</v>
      </c>
      <c r="G101" s="114">
        <f>PRODUCT(C101:F101)</f>
        <v>154</v>
      </c>
      <c r="H101" s="108"/>
      <c r="I101" s="109"/>
    </row>
    <row r="102" spans="1:9" x14ac:dyDescent="0.25">
      <c r="A102" s="98"/>
      <c r="B102" s="105" t="s">
        <v>72</v>
      </c>
      <c r="C102" s="106">
        <v>10</v>
      </c>
      <c r="D102" s="107">
        <v>4</v>
      </c>
      <c r="E102" s="107">
        <v>0.5</v>
      </c>
      <c r="F102" s="107">
        <v>7</v>
      </c>
      <c r="G102" s="114">
        <f>PRODUCT(C102:F102)</f>
        <v>140</v>
      </c>
      <c r="H102" s="108"/>
      <c r="I102" s="109"/>
    </row>
    <row r="103" spans="1:9" x14ac:dyDescent="0.25">
      <c r="A103" s="98"/>
      <c r="B103" s="105" t="s">
        <v>136</v>
      </c>
      <c r="C103" s="106">
        <v>3</v>
      </c>
      <c r="D103" s="107">
        <v>4</v>
      </c>
      <c r="E103" s="107">
        <v>0.5</v>
      </c>
      <c r="F103" s="107">
        <v>8</v>
      </c>
      <c r="G103" s="114">
        <f>PRODUCT(C103:F103)</f>
        <v>48</v>
      </c>
      <c r="H103" s="108"/>
      <c r="I103" s="109"/>
    </row>
    <row r="104" spans="1:9" ht="15" customHeight="1" x14ac:dyDescent="0.25">
      <c r="A104" s="82"/>
      <c r="B104" s="83"/>
      <c r="C104" s="779" t="s">
        <v>29</v>
      </c>
      <c r="D104" s="779"/>
      <c r="E104" s="779"/>
      <c r="F104" s="779"/>
      <c r="G104" s="53">
        <f>SUM(G93:G103)</f>
        <v>1591.2000000000003</v>
      </c>
      <c r="H104" s="67">
        <f>ROUND(G104*1.001,0)</f>
        <v>1593</v>
      </c>
      <c r="I104" s="26" t="s">
        <v>11</v>
      </c>
    </row>
    <row r="105" spans="1:9" ht="28.5" x14ac:dyDescent="0.25">
      <c r="A105" s="57">
        <v>12</v>
      </c>
      <c r="B105" s="58" t="s">
        <v>73</v>
      </c>
      <c r="C105" s="38"/>
      <c r="D105" s="39"/>
      <c r="E105" s="39"/>
      <c r="F105" s="39"/>
      <c r="G105" s="54"/>
      <c r="H105" s="25"/>
      <c r="I105" s="24"/>
    </row>
    <row r="106" spans="1:9" x14ac:dyDescent="0.25">
      <c r="A106" s="92" t="s">
        <v>4</v>
      </c>
      <c r="B106" s="81" t="s">
        <v>74</v>
      </c>
      <c r="C106" s="115"/>
      <c r="D106" s="116"/>
      <c r="E106" s="116"/>
      <c r="F106" s="116"/>
      <c r="G106" s="117"/>
      <c r="H106" s="112"/>
      <c r="I106" s="109"/>
    </row>
    <row r="107" spans="1:9" x14ac:dyDescent="0.25">
      <c r="A107" s="98"/>
      <c r="B107" s="105" t="s">
        <v>75</v>
      </c>
      <c r="C107" s="106">
        <v>1</v>
      </c>
      <c r="D107" s="107">
        <f>D65</f>
        <v>1655.88</v>
      </c>
      <c r="E107" s="107"/>
      <c r="F107" s="107"/>
      <c r="G107" s="51">
        <f t="shared" ref="G107:G110" si="14">PRODUCT(C107:F107)</f>
        <v>1655.88</v>
      </c>
      <c r="H107" s="108"/>
      <c r="I107" s="109"/>
    </row>
    <row r="108" spans="1:9" x14ac:dyDescent="0.25">
      <c r="A108" s="98"/>
      <c r="B108" s="105" t="s">
        <v>75</v>
      </c>
      <c r="C108" s="106">
        <v>1</v>
      </c>
      <c r="D108" s="107">
        <f>D66</f>
        <v>1624.65</v>
      </c>
      <c r="E108" s="107"/>
      <c r="F108" s="107"/>
      <c r="G108" s="51">
        <f t="shared" si="14"/>
        <v>1624.65</v>
      </c>
      <c r="H108" s="108"/>
      <c r="I108" s="109"/>
    </row>
    <row r="109" spans="1:9" x14ac:dyDescent="0.25">
      <c r="A109" s="98"/>
      <c r="B109" s="105" t="s">
        <v>68</v>
      </c>
      <c r="C109" s="106">
        <v>2</v>
      </c>
      <c r="D109" s="107">
        <f>D93</f>
        <v>156.66000000000003</v>
      </c>
      <c r="E109" s="107"/>
      <c r="F109" s="107">
        <v>15</v>
      </c>
      <c r="G109" s="51">
        <f t="shared" si="14"/>
        <v>4699.8000000000011</v>
      </c>
      <c r="H109" s="108"/>
      <c r="I109" s="109"/>
    </row>
    <row r="110" spans="1:9" x14ac:dyDescent="0.25">
      <c r="A110" s="98"/>
      <c r="B110" s="105" t="s">
        <v>69</v>
      </c>
      <c r="C110" s="106">
        <v>2</v>
      </c>
      <c r="D110" s="107">
        <f>D94</f>
        <v>156.66000000000003</v>
      </c>
      <c r="E110" s="107"/>
      <c r="F110" s="107">
        <v>15</v>
      </c>
      <c r="G110" s="51">
        <f t="shared" si="14"/>
        <v>4699.8000000000011</v>
      </c>
      <c r="H110" s="108"/>
      <c r="I110" s="109"/>
    </row>
    <row r="111" spans="1:9" x14ac:dyDescent="0.25">
      <c r="A111" s="98"/>
      <c r="B111" s="99" t="s">
        <v>70</v>
      </c>
      <c r="C111" s="115"/>
      <c r="D111" s="116"/>
      <c r="E111" s="116"/>
      <c r="F111" s="116"/>
      <c r="G111" s="117"/>
      <c r="H111" s="103"/>
      <c r="I111" s="104"/>
    </row>
    <row r="112" spans="1:9" x14ac:dyDescent="0.25">
      <c r="A112" s="98"/>
      <c r="B112" s="105" t="s">
        <v>71</v>
      </c>
      <c r="C112" s="106">
        <f>-C101</f>
        <v>-11</v>
      </c>
      <c r="D112" s="107">
        <f>D101</f>
        <v>4</v>
      </c>
      <c r="E112" s="107"/>
      <c r="F112" s="107">
        <f>F101</f>
        <v>7</v>
      </c>
      <c r="G112" s="114">
        <f>PRODUCT(C112:F112)</f>
        <v>-308</v>
      </c>
      <c r="H112" s="108"/>
      <c r="I112" s="109"/>
    </row>
    <row r="113" spans="1:10" x14ac:dyDescent="0.25">
      <c r="A113" s="98"/>
      <c r="B113" s="105" t="s">
        <v>72</v>
      </c>
      <c r="C113" s="106">
        <f t="shared" ref="C113:C114" si="15">-C102</f>
        <v>-10</v>
      </c>
      <c r="D113" s="107">
        <f t="shared" ref="D113:D114" si="16">D102</f>
        <v>4</v>
      </c>
      <c r="E113" s="107"/>
      <c r="F113" s="107">
        <f t="shared" ref="F113:F114" si="17">F102</f>
        <v>7</v>
      </c>
      <c r="G113" s="114">
        <f>PRODUCT(C113:F113)</f>
        <v>-280</v>
      </c>
      <c r="H113" s="108"/>
      <c r="I113" s="109"/>
    </row>
    <row r="114" spans="1:10" x14ac:dyDescent="0.25">
      <c r="A114" s="98"/>
      <c r="B114" s="105" t="s">
        <v>136</v>
      </c>
      <c r="C114" s="106">
        <f t="shared" si="15"/>
        <v>-3</v>
      </c>
      <c r="D114" s="107">
        <f t="shared" si="16"/>
        <v>4</v>
      </c>
      <c r="E114" s="107"/>
      <c r="F114" s="107">
        <f t="shared" si="17"/>
        <v>8</v>
      </c>
      <c r="G114" s="114">
        <f>PRODUCT(C114:F114)</f>
        <v>-96</v>
      </c>
      <c r="H114" s="108"/>
      <c r="I114" s="109"/>
    </row>
    <row r="115" spans="1:10" ht="15" customHeight="1" x14ac:dyDescent="0.25">
      <c r="A115" s="82"/>
      <c r="B115" s="83"/>
      <c r="C115" s="779" t="s">
        <v>29</v>
      </c>
      <c r="D115" s="779"/>
      <c r="E115" s="779"/>
      <c r="F115" s="779"/>
      <c r="G115" s="53">
        <f>SUM(G107:G114)</f>
        <v>11996.130000000003</v>
      </c>
      <c r="H115" s="67">
        <f>ROUND(G115*1.001,0)</f>
        <v>12008</v>
      </c>
      <c r="I115" s="26" t="s">
        <v>10</v>
      </c>
    </row>
    <row r="116" spans="1:10" x14ac:dyDescent="0.25">
      <c r="A116" s="57">
        <v>14</v>
      </c>
      <c r="B116" s="58" t="s">
        <v>132</v>
      </c>
      <c r="C116" s="38"/>
      <c r="D116" s="39"/>
      <c r="E116" s="39"/>
      <c r="F116" s="39"/>
      <c r="G116" s="120"/>
      <c r="H116" s="112"/>
      <c r="I116" s="121"/>
    </row>
    <row r="117" spans="1:10" x14ac:dyDescent="0.25">
      <c r="A117" s="98"/>
      <c r="B117" s="105" t="s">
        <v>76</v>
      </c>
      <c r="C117" s="106">
        <v>1</v>
      </c>
      <c r="D117" s="107">
        <f>D107</f>
        <v>1655.88</v>
      </c>
      <c r="E117" s="107"/>
      <c r="F117" s="107"/>
      <c r="G117" s="51">
        <f>PRODUCT(C117:F117)</f>
        <v>1655.88</v>
      </c>
      <c r="H117" s="108"/>
      <c r="I117" s="109"/>
    </row>
    <row r="118" spans="1:10" x14ac:dyDescent="0.25">
      <c r="A118" s="98"/>
      <c r="B118" s="105" t="s">
        <v>76</v>
      </c>
      <c r="C118" s="106">
        <v>1</v>
      </c>
      <c r="D118" s="107">
        <f>D108</f>
        <v>1624.65</v>
      </c>
      <c r="E118" s="107"/>
      <c r="F118" s="107"/>
      <c r="G118" s="51">
        <f>PRODUCT(C118:F118)</f>
        <v>1624.65</v>
      </c>
      <c r="H118" s="108"/>
      <c r="I118" s="109"/>
    </row>
    <row r="119" spans="1:10" ht="15" customHeight="1" x14ac:dyDescent="0.25">
      <c r="A119" s="82"/>
      <c r="B119" s="83"/>
      <c r="C119" s="779" t="s">
        <v>29</v>
      </c>
      <c r="D119" s="779"/>
      <c r="E119" s="779"/>
      <c r="F119" s="779"/>
      <c r="G119" s="53">
        <f>SUM(G117:G118)</f>
        <v>3280.53</v>
      </c>
      <c r="H119" s="67">
        <f>ROUND(G119*1.001,0)</f>
        <v>3284</v>
      </c>
      <c r="I119" s="26" t="s">
        <v>32</v>
      </c>
    </row>
    <row r="120" spans="1:10" x14ac:dyDescent="0.25">
      <c r="A120" s="92" t="s">
        <v>48</v>
      </c>
      <c r="B120" s="81" t="s">
        <v>80</v>
      </c>
      <c r="C120" s="110"/>
      <c r="D120" s="111"/>
      <c r="E120" s="111"/>
      <c r="F120" s="111"/>
      <c r="G120" s="113"/>
      <c r="H120" s="112"/>
      <c r="I120" s="109"/>
      <c r="J120" s="11" t="e">
        <f>G119+G122+#REF!</f>
        <v>#REF!</v>
      </c>
    </row>
    <row r="121" spans="1:10" x14ac:dyDescent="0.25">
      <c r="A121" s="98"/>
      <c r="B121" s="105"/>
      <c r="C121" s="106">
        <v>1</v>
      </c>
      <c r="D121" s="107">
        <f>G115</f>
        <v>11996.130000000003</v>
      </c>
      <c r="E121" s="107"/>
      <c r="F121" s="107"/>
      <c r="G121" s="51">
        <f t="shared" ref="G121" si="18">PRODUCT(C121:F121)</f>
        <v>11996.130000000003</v>
      </c>
      <c r="H121" s="108"/>
      <c r="I121" s="109"/>
    </row>
    <row r="122" spans="1:10" ht="15" customHeight="1" x14ac:dyDescent="0.25">
      <c r="A122" s="82"/>
      <c r="B122" s="83"/>
      <c r="C122" s="779" t="s">
        <v>29</v>
      </c>
      <c r="D122" s="779"/>
      <c r="E122" s="779"/>
      <c r="F122" s="779"/>
      <c r="G122" s="53">
        <f>SUM(G121:G121)</f>
        <v>11996.130000000003</v>
      </c>
      <c r="H122" s="67">
        <f>ROUND(G122*1.001,0)</f>
        <v>12008</v>
      </c>
      <c r="I122" s="26" t="s">
        <v>10</v>
      </c>
    </row>
    <row r="123" spans="1:10" ht="114" x14ac:dyDescent="0.25">
      <c r="A123" s="57">
        <v>16</v>
      </c>
      <c r="B123" s="58" t="s">
        <v>83</v>
      </c>
      <c r="C123" s="38"/>
      <c r="D123" s="39"/>
      <c r="E123" s="39"/>
      <c r="F123" s="39"/>
      <c r="G123" s="54"/>
      <c r="H123" s="25"/>
      <c r="I123" s="24"/>
    </row>
    <row r="124" spans="1:10" x14ac:dyDescent="0.25">
      <c r="A124" s="98"/>
      <c r="B124" s="105"/>
      <c r="C124" s="106">
        <v>1</v>
      </c>
      <c r="D124" s="107">
        <f>D117</f>
        <v>1655.88</v>
      </c>
      <c r="E124" s="107"/>
      <c r="F124" s="107"/>
      <c r="G124" s="51">
        <f>PRODUCT(C124:F124)</f>
        <v>1655.88</v>
      </c>
      <c r="H124" s="108"/>
      <c r="I124" s="109"/>
    </row>
    <row r="125" spans="1:10" ht="15" customHeight="1" x14ac:dyDescent="0.25">
      <c r="A125" s="82"/>
      <c r="B125" s="83"/>
      <c r="C125" s="779" t="s">
        <v>29</v>
      </c>
      <c r="D125" s="779"/>
      <c r="E125" s="779"/>
      <c r="F125" s="779"/>
      <c r="G125" s="53">
        <f>SUM(G124:G124)</f>
        <v>1655.88</v>
      </c>
      <c r="H125" s="67">
        <f>ROUND(G125*1.001,0)</f>
        <v>1658</v>
      </c>
      <c r="I125" s="26" t="s">
        <v>10</v>
      </c>
    </row>
    <row r="126" spans="1:10" x14ac:dyDescent="0.25">
      <c r="A126" s="79" t="s">
        <v>48</v>
      </c>
      <c r="B126" s="80" t="s">
        <v>84</v>
      </c>
      <c r="C126" s="40"/>
      <c r="D126" s="41"/>
      <c r="E126" s="41"/>
      <c r="F126" s="41"/>
      <c r="G126" s="55"/>
      <c r="H126" s="25"/>
      <c r="I126" s="24"/>
    </row>
    <row r="127" spans="1:10" x14ac:dyDescent="0.25">
      <c r="A127" s="98"/>
      <c r="B127" s="105"/>
      <c r="C127" s="106">
        <v>1</v>
      </c>
      <c r="D127" s="107">
        <f>D109</f>
        <v>156.66000000000003</v>
      </c>
      <c r="E127" s="107"/>
      <c r="F127" s="107">
        <v>0.5</v>
      </c>
      <c r="G127" s="51">
        <f t="shared" ref="G127" si="19">PRODUCT(C127:F127)</f>
        <v>78.330000000000013</v>
      </c>
      <c r="H127" s="108"/>
      <c r="I127" s="109"/>
    </row>
    <row r="128" spans="1:10" ht="15" customHeight="1" x14ac:dyDescent="0.25">
      <c r="A128" s="82"/>
      <c r="B128" s="83"/>
      <c r="C128" s="779" t="s">
        <v>29</v>
      </c>
      <c r="D128" s="779"/>
      <c r="E128" s="779"/>
      <c r="F128" s="779"/>
      <c r="G128" s="53">
        <f>SUM(G127:G127)</f>
        <v>78.330000000000013</v>
      </c>
      <c r="H128" s="67">
        <f>ROUND(G128*1.001,0)</f>
        <v>78</v>
      </c>
      <c r="I128" s="26" t="s">
        <v>10</v>
      </c>
    </row>
    <row r="129" spans="1:10" x14ac:dyDescent="0.25">
      <c r="A129" s="79" t="s">
        <v>52</v>
      </c>
      <c r="B129" s="58" t="s">
        <v>133</v>
      </c>
      <c r="C129" s="38"/>
      <c r="D129" s="39"/>
      <c r="E129" s="39"/>
      <c r="F129" s="39"/>
      <c r="G129" s="120"/>
      <c r="H129" s="112"/>
      <c r="I129" s="121"/>
    </row>
    <row r="130" spans="1:10" x14ac:dyDescent="0.25">
      <c r="A130" s="98"/>
      <c r="B130" s="105"/>
      <c r="C130" s="106">
        <v>1</v>
      </c>
      <c r="D130" s="107">
        <f>D118</f>
        <v>1624.65</v>
      </c>
      <c r="E130" s="107"/>
      <c r="F130" s="107"/>
      <c r="G130" s="51">
        <f t="shared" ref="G130" si="20">PRODUCT(C130:F130)</f>
        <v>1624.65</v>
      </c>
      <c r="H130" s="108"/>
      <c r="I130" s="109"/>
    </row>
    <row r="131" spans="1:10" ht="15" customHeight="1" x14ac:dyDescent="0.25">
      <c r="A131" s="82"/>
      <c r="B131" s="83"/>
      <c r="C131" s="779" t="s">
        <v>29</v>
      </c>
      <c r="D131" s="779"/>
      <c r="E131" s="779"/>
      <c r="F131" s="779"/>
      <c r="G131" s="53">
        <f>SUM(G130:G130)</f>
        <v>1624.65</v>
      </c>
      <c r="H131" s="67">
        <f>ROUND(G131*1.001,0)</f>
        <v>1626</v>
      </c>
      <c r="I131" s="26" t="s">
        <v>10</v>
      </c>
    </row>
    <row r="132" spans="1:10" ht="99.75" x14ac:dyDescent="0.25">
      <c r="A132" s="57">
        <v>17</v>
      </c>
      <c r="B132" s="58" t="s">
        <v>103</v>
      </c>
      <c r="C132" s="45"/>
      <c r="D132" s="46"/>
      <c r="E132" s="46"/>
      <c r="F132" s="46"/>
      <c r="G132" s="54"/>
      <c r="H132" s="25"/>
      <c r="I132" s="24"/>
    </row>
    <row r="133" spans="1:10" x14ac:dyDescent="0.25">
      <c r="A133" s="98"/>
      <c r="B133" s="105"/>
      <c r="C133" s="106">
        <v>1</v>
      </c>
      <c r="D133" s="107">
        <f>D130</f>
        <v>1624.65</v>
      </c>
      <c r="E133" s="107">
        <v>0.25</v>
      </c>
      <c r="F133" s="107"/>
      <c r="G133" s="51">
        <f>PRODUCT(C133:F133)</f>
        <v>406.16250000000002</v>
      </c>
      <c r="H133" s="108"/>
      <c r="I133" s="109"/>
      <c r="J133" s="5">
        <f>16.17+12.5+10</f>
        <v>38.67</v>
      </c>
    </row>
    <row r="134" spans="1:10" ht="15" customHeight="1" x14ac:dyDescent="0.25">
      <c r="A134" s="13"/>
      <c r="B134" s="10"/>
      <c r="C134" s="779" t="s">
        <v>29</v>
      </c>
      <c r="D134" s="779"/>
      <c r="E134" s="779"/>
      <c r="F134" s="779"/>
      <c r="G134" s="53">
        <f>SUM(G133:G133)</f>
        <v>406.16250000000002</v>
      </c>
      <c r="H134" s="67">
        <f>ROUND(G134*1.001,0)</f>
        <v>407</v>
      </c>
      <c r="I134" s="26" t="s">
        <v>11</v>
      </c>
    </row>
    <row r="135" spans="1:10" x14ac:dyDescent="0.25">
      <c r="A135" s="126"/>
      <c r="B135" s="86" t="s">
        <v>87</v>
      </c>
      <c r="C135" s="87"/>
      <c r="D135" s="88"/>
      <c r="E135" s="88"/>
      <c r="F135" s="88"/>
      <c r="G135" s="127"/>
      <c r="H135" s="128"/>
      <c r="I135" s="129"/>
    </row>
    <row r="136" spans="1:10" ht="256.5" x14ac:dyDescent="0.25">
      <c r="A136" s="15">
        <v>25</v>
      </c>
      <c r="B136" s="6" t="s">
        <v>88</v>
      </c>
      <c r="C136" s="38"/>
      <c r="D136" s="39"/>
      <c r="E136" s="39"/>
      <c r="F136" s="39"/>
      <c r="G136" s="120"/>
      <c r="H136" s="112"/>
      <c r="I136" s="121"/>
    </row>
    <row r="137" spans="1:10" x14ac:dyDescent="0.25">
      <c r="A137" s="84" t="s">
        <v>4</v>
      </c>
      <c r="B137" s="81" t="s">
        <v>89</v>
      </c>
      <c r="C137" s="38"/>
      <c r="D137" s="39"/>
      <c r="E137" s="39"/>
      <c r="F137" s="39"/>
      <c r="G137" s="120"/>
      <c r="H137" s="112"/>
      <c r="I137" s="121"/>
    </row>
    <row r="138" spans="1:10" x14ac:dyDescent="0.25">
      <c r="A138" s="98"/>
      <c r="B138" s="105"/>
      <c r="C138" s="106">
        <v>3</v>
      </c>
      <c r="D138" s="107">
        <v>4</v>
      </c>
      <c r="E138" s="107"/>
      <c r="F138" s="107">
        <v>8</v>
      </c>
      <c r="G138" s="114">
        <f>PRODUCT(C138:F138)</f>
        <v>96</v>
      </c>
      <c r="H138" s="108"/>
      <c r="I138" s="109"/>
    </row>
    <row r="139" spans="1:10" ht="15" customHeight="1" x14ac:dyDescent="0.25">
      <c r="A139" s="82"/>
      <c r="B139" s="83"/>
      <c r="C139" s="779" t="s">
        <v>29</v>
      </c>
      <c r="D139" s="779"/>
      <c r="E139" s="779"/>
      <c r="F139" s="779"/>
      <c r="G139" s="53">
        <f>SUM(G138:G138)</f>
        <v>96</v>
      </c>
      <c r="H139" s="67">
        <f>ROUND(G139*1.001,0)</f>
        <v>96</v>
      </c>
      <c r="I139" s="26" t="s">
        <v>10</v>
      </c>
    </row>
    <row r="140" spans="1:10" x14ac:dyDescent="0.25">
      <c r="A140" s="84" t="s">
        <v>48</v>
      </c>
      <c r="B140" s="81" t="s">
        <v>90</v>
      </c>
      <c r="C140" s="38"/>
      <c r="D140" s="39"/>
      <c r="E140" s="39"/>
      <c r="F140" s="39"/>
      <c r="G140" s="120"/>
      <c r="H140" s="112"/>
      <c r="I140" s="121"/>
    </row>
    <row r="141" spans="1:10" x14ac:dyDescent="0.25">
      <c r="A141" s="98"/>
      <c r="B141" s="105"/>
      <c r="C141" s="106">
        <v>3</v>
      </c>
      <c r="D141" s="107" t="s">
        <v>19</v>
      </c>
      <c r="E141" s="107" t="s">
        <v>19</v>
      </c>
      <c r="F141" s="107" t="s">
        <v>19</v>
      </c>
      <c r="G141" s="114">
        <f>PRODUCT(C141:F141)</f>
        <v>3</v>
      </c>
      <c r="H141" s="108"/>
      <c r="I141" s="109"/>
    </row>
    <row r="142" spans="1:10" ht="15" customHeight="1" x14ac:dyDescent="0.25">
      <c r="A142" s="82"/>
      <c r="B142" s="83"/>
      <c r="C142" s="779" t="s">
        <v>29</v>
      </c>
      <c r="D142" s="779"/>
      <c r="E142" s="779"/>
      <c r="F142" s="779"/>
      <c r="G142" s="53">
        <f>SUM(G141:G141)</f>
        <v>3</v>
      </c>
      <c r="H142" s="67">
        <f>ROUND(G142*1.001,0)</f>
        <v>3</v>
      </c>
      <c r="I142" s="26" t="s">
        <v>86</v>
      </c>
    </row>
    <row r="143" spans="1:10" x14ac:dyDescent="0.25">
      <c r="A143" s="84" t="s">
        <v>51</v>
      </c>
      <c r="B143" s="81" t="s">
        <v>91</v>
      </c>
      <c r="C143" s="38"/>
      <c r="D143" s="39"/>
      <c r="E143" s="39"/>
      <c r="F143" s="39"/>
      <c r="G143" s="120"/>
      <c r="H143" s="112"/>
      <c r="I143" s="121"/>
    </row>
    <row r="144" spans="1:10" x14ac:dyDescent="0.25">
      <c r="A144" s="98"/>
      <c r="B144" s="105"/>
      <c r="C144" s="106">
        <v>3</v>
      </c>
      <c r="D144" s="107" t="s">
        <v>19</v>
      </c>
      <c r="E144" s="107" t="s">
        <v>19</v>
      </c>
      <c r="F144" s="107" t="s">
        <v>19</v>
      </c>
      <c r="G144" s="114">
        <f>PRODUCT(C144:F144)</f>
        <v>3</v>
      </c>
      <c r="H144" s="108"/>
      <c r="I144" s="109"/>
    </row>
    <row r="145" spans="1:9" ht="15" customHeight="1" x14ac:dyDescent="0.25">
      <c r="A145" s="82"/>
      <c r="B145" s="83"/>
      <c r="C145" s="779" t="s">
        <v>29</v>
      </c>
      <c r="D145" s="779"/>
      <c r="E145" s="779"/>
      <c r="F145" s="779"/>
      <c r="G145" s="53">
        <f>SUM(G144:G144)</f>
        <v>3</v>
      </c>
      <c r="H145" s="67">
        <f>ROUND(G145*1.001,0)</f>
        <v>3</v>
      </c>
      <c r="I145" s="26" t="s">
        <v>86</v>
      </c>
    </row>
    <row r="146" spans="1:9" x14ac:dyDescent="0.25">
      <c r="A146" s="84" t="s">
        <v>52</v>
      </c>
      <c r="B146" s="81" t="s">
        <v>92</v>
      </c>
      <c r="C146" s="38"/>
      <c r="D146" s="39"/>
      <c r="E146" s="39"/>
      <c r="F146" s="39"/>
      <c r="G146" s="120"/>
      <c r="H146" s="112"/>
      <c r="I146" s="121"/>
    </row>
    <row r="147" spans="1:9" x14ac:dyDescent="0.25">
      <c r="A147" s="98"/>
      <c r="B147" s="105"/>
      <c r="C147" s="106">
        <v>3</v>
      </c>
      <c r="D147" s="107" t="s">
        <v>19</v>
      </c>
      <c r="E147" s="107" t="s">
        <v>19</v>
      </c>
      <c r="F147" s="107" t="s">
        <v>19</v>
      </c>
      <c r="G147" s="114">
        <f>PRODUCT(C147:F147)</f>
        <v>3</v>
      </c>
      <c r="H147" s="108"/>
      <c r="I147" s="109"/>
    </row>
    <row r="148" spans="1:9" ht="15" customHeight="1" x14ac:dyDescent="0.25">
      <c r="A148" s="82"/>
      <c r="B148" s="83"/>
      <c r="C148" s="779" t="s">
        <v>29</v>
      </c>
      <c r="D148" s="779"/>
      <c r="E148" s="779"/>
      <c r="F148" s="779"/>
      <c r="G148" s="53">
        <f>SUM(G147:G147)</f>
        <v>3</v>
      </c>
      <c r="H148" s="67">
        <f>ROUND(G148*1.001,0)</f>
        <v>3</v>
      </c>
      <c r="I148" s="26" t="s">
        <v>86</v>
      </c>
    </row>
    <row r="149" spans="1:9" ht="85.5" x14ac:dyDescent="0.25">
      <c r="A149" s="15">
        <v>26</v>
      </c>
      <c r="B149" s="6" t="s">
        <v>93</v>
      </c>
      <c r="C149" s="38"/>
      <c r="D149" s="39"/>
      <c r="E149" s="39"/>
      <c r="F149" s="39"/>
      <c r="G149" s="120"/>
      <c r="H149" s="112"/>
      <c r="I149" s="121"/>
    </row>
    <row r="150" spans="1:9" x14ac:dyDescent="0.25">
      <c r="A150" s="15"/>
      <c r="B150" s="81" t="s">
        <v>94</v>
      </c>
      <c r="C150" s="38"/>
      <c r="D150" s="39"/>
      <c r="E150" s="39"/>
      <c r="F150" s="39"/>
      <c r="G150" s="120"/>
      <c r="H150" s="112"/>
      <c r="I150" s="121"/>
    </row>
    <row r="151" spans="1:9" x14ac:dyDescent="0.25">
      <c r="A151" s="98"/>
      <c r="B151" s="105"/>
      <c r="C151" s="106">
        <v>3</v>
      </c>
      <c r="D151" s="107">
        <f>D138+D138+F138+F138</f>
        <v>24</v>
      </c>
      <c r="E151" s="107"/>
      <c r="F151" s="107"/>
      <c r="G151" s="114">
        <f>PRODUCT(C151:F151)</f>
        <v>72</v>
      </c>
      <c r="H151" s="108"/>
      <c r="I151" s="109"/>
    </row>
    <row r="152" spans="1:9" ht="15" customHeight="1" x14ac:dyDescent="0.25">
      <c r="A152" s="82"/>
      <c r="B152" s="83"/>
      <c r="C152" s="779" t="s">
        <v>29</v>
      </c>
      <c r="D152" s="779"/>
      <c r="E152" s="779"/>
      <c r="F152" s="779"/>
      <c r="G152" s="53">
        <f>SUM(G151:G151)</f>
        <v>72</v>
      </c>
      <c r="H152" s="67">
        <f>ROUND(G152*1.001,0)</f>
        <v>72</v>
      </c>
      <c r="I152" s="26" t="s">
        <v>85</v>
      </c>
    </row>
    <row r="153" spans="1:9" ht="114" x14ac:dyDescent="0.25">
      <c r="A153" s="15">
        <v>27</v>
      </c>
      <c r="B153" s="6" t="s">
        <v>95</v>
      </c>
      <c r="C153" s="40"/>
      <c r="D153" s="41"/>
      <c r="E153" s="41"/>
      <c r="F153" s="41"/>
      <c r="G153" s="124"/>
      <c r="H153" s="112"/>
      <c r="I153" s="121"/>
    </row>
    <row r="154" spans="1:9" x14ac:dyDescent="0.25">
      <c r="A154" s="15"/>
      <c r="B154" s="81" t="s">
        <v>96</v>
      </c>
      <c r="C154" s="38"/>
      <c r="D154" s="39"/>
      <c r="E154" s="39"/>
      <c r="F154" s="39"/>
      <c r="G154" s="120"/>
      <c r="H154" s="112"/>
      <c r="I154" s="121"/>
    </row>
    <row r="155" spans="1:9" x14ac:dyDescent="0.25">
      <c r="A155" s="98"/>
      <c r="B155" s="105"/>
      <c r="C155" s="106">
        <f>C151*2</f>
        <v>6</v>
      </c>
      <c r="D155" s="107">
        <f>D151</f>
        <v>24</v>
      </c>
      <c r="E155" s="107"/>
      <c r="F155" s="107"/>
      <c r="G155" s="114">
        <f>+D155*C155</f>
        <v>144</v>
      </c>
      <c r="H155" s="108"/>
      <c r="I155" s="109"/>
    </row>
    <row r="156" spans="1:9" ht="15" customHeight="1" x14ac:dyDescent="0.25">
      <c r="A156" s="82"/>
      <c r="B156" s="83"/>
      <c r="C156" s="779" t="s">
        <v>29</v>
      </c>
      <c r="D156" s="779"/>
      <c r="E156" s="779"/>
      <c r="F156" s="779"/>
      <c r="G156" s="53">
        <f>SUM(G155:G155)</f>
        <v>144</v>
      </c>
      <c r="H156" s="67">
        <f>ROUND(G156*1.001,0)</f>
        <v>144</v>
      </c>
      <c r="I156" s="26" t="s">
        <v>85</v>
      </c>
    </row>
    <row r="157" spans="1:9" ht="142.5" x14ac:dyDescent="0.25">
      <c r="A157" s="15">
        <v>29</v>
      </c>
      <c r="B157" s="6" t="s">
        <v>97</v>
      </c>
      <c r="C157" s="38"/>
      <c r="D157" s="39"/>
      <c r="E157" s="39"/>
      <c r="F157" s="39"/>
      <c r="G157" s="120"/>
      <c r="H157" s="112"/>
      <c r="I157" s="121"/>
    </row>
    <row r="158" spans="1:9" x14ac:dyDescent="0.25">
      <c r="A158" s="92" t="s">
        <v>4</v>
      </c>
      <c r="B158" s="130" t="s">
        <v>98</v>
      </c>
      <c r="C158" s="115"/>
      <c r="D158" s="116"/>
      <c r="E158" s="116"/>
      <c r="F158" s="116"/>
      <c r="G158" s="117"/>
      <c r="H158" s="103"/>
      <c r="I158" s="104"/>
    </row>
    <row r="159" spans="1:9" x14ac:dyDescent="0.25">
      <c r="A159" s="98"/>
      <c r="B159" s="105" t="s">
        <v>134</v>
      </c>
      <c r="C159" s="106">
        <v>11</v>
      </c>
      <c r="D159" s="107">
        <v>4</v>
      </c>
      <c r="E159" s="107"/>
      <c r="F159" s="107">
        <v>7</v>
      </c>
      <c r="G159" s="114">
        <f>PRODUCT(C159:F159)</f>
        <v>308</v>
      </c>
      <c r="H159" s="108"/>
      <c r="I159" s="109"/>
    </row>
    <row r="160" spans="1:9" x14ac:dyDescent="0.25">
      <c r="A160" s="98"/>
      <c r="B160" s="99"/>
      <c r="C160" s="132"/>
      <c r="D160" s="118"/>
      <c r="E160" s="118"/>
      <c r="F160" s="118"/>
      <c r="G160" s="119"/>
      <c r="H160" s="103"/>
      <c r="I160" s="104"/>
    </row>
    <row r="161" spans="1:9" x14ac:dyDescent="0.25">
      <c r="A161" s="98"/>
      <c r="B161" s="105" t="s">
        <v>135</v>
      </c>
      <c r="C161" s="106">
        <v>10</v>
      </c>
      <c r="D161" s="107">
        <v>4</v>
      </c>
      <c r="E161" s="107"/>
      <c r="F161" s="107">
        <v>7</v>
      </c>
      <c r="G161" s="114">
        <f>PRODUCT(C161:F161)</f>
        <v>280</v>
      </c>
      <c r="H161" s="108"/>
      <c r="I161" s="109"/>
    </row>
    <row r="162" spans="1:9" ht="15" customHeight="1" x14ac:dyDescent="0.25">
      <c r="A162" s="82"/>
      <c r="B162" s="83"/>
      <c r="C162" s="779" t="s">
        <v>29</v>
      </c>
      <c r="D162" s="779"/>
      <c r="E162" s="779"/>
      <c r="F162" s="779"/>
      <c r="G162" s="53">
        <f>SUM(G159:G161)</f>
        <v>588</v>
      </c>
      <c r="H162" s="67">
        <f>ROUND(G162*1.001,0)</f>
        <v>589</v>
      </c>
      <c r="I162" s="26" t="s">
        <v>10</v>
      </c>
    </row>
    <row r="163" spans="1:9" ht="71.25" x14ac:dyDescent="0.25">
      <c r="A163" s="57">
        <v>30</v>
      </c>
      <c r="B163" s="58" t="s">
        <v>99</v>
      </c>
      <c r="C163" s="40"/>
      <c r="D163" s="41"/>
      <c r="E163" s="41"/>
      <c r="F163" s="41"/>
      <c r="G163" s="124"/>
      <c r="H163" s="122"/>
      <c r="I163" s="123"/>
    </row>
    <row r="164" spans="1:9" x14ac:dyDescent="0.25">
      <c r="A164" s="98"/>
      <c r="B164" s="105"/>
      <c r="C164" s="106">
        <v>1</v>
      </c>
      <c r="D164" s="107"/>
      <c r="E164" s="107"/>
      <c r="F164" s="107">
        <v>0.5</v>
      </c>
      <c r="G164" s="114">
        <f>PRODUCT(C164:F164)</f>
        <v>0.5</v>
      </c>
      <c r="H164" s="108"/>
      <c r="I164" s="109"/>
    </row>
    <row r="165" spans="1:9" ht="15" customHeight="1" x14ac:dyDescent="0.25">
      <c r="A165" s="82"/>
      <c r="B165" s="83"/>
      <c r="C165" s="779" t="s">
        <v>29</v>
      </c>
      <c r="D165" s="779"/>
      <c r="E165" s="779"/>
      <c r="F165" s="779"/>
      <c r="G165" s="53">
        <f>SUM(G164:G164)</f>
        <v>0.5</v>
      </c>
      <c r="H165" s="67">
        <f>ROUND(G165*1.001,0)</f>
        <v>1</v>
      </c>
      <c r="I165" s="26" t="s">
        <v>11</v>
      </c>
    </row>
    <row r="166" spans="1:9" x14ac:dyDescent="0.25">
      <c r="A166" s="57">
        <v>34</v>
      </c>
      <c r="B166" s="58" t="s">
        <v>137</v>
      </c>
      <c r="C166" s="40"/>
      <c r="D166" s="41"/>
      <c r="E166" s="41"/>
      <c r="F166" s="41"/>
      <c r="G166" s="124"/>
      <c r="H166" s="122"/>
      <c r="I166" s="123"/>
    </row>
    <row r="167" spans="1:9" x14ac:dyDescent="0.25">
      <c r="A167" s="98"/>
      <c r="B167" s="105"/>
      <c r="C167" s="106">
        <v>1</v>
      </c>
      <c r="D167" s="107">
        <f>D124</f>
        <v>1655.88</v>
      </c>
      <c r="E167" s="107"/>
      <c r="F167" s="107">
        <v>0.25</v>
      </c>
      <c r="G167" s="51">
        <f t="shared" ref="G167:G168" si="21">PRODUCT(C167:F167)</f>
        <v>413.97</v>
      </c>
      <c r="H167" s="108"/>
      <c r="I167" s="109"/>
    </row>
    <row r="168" spans="1:9" x14ac:dyDescent="0.25">
      <c r="A168" s="98"/>
      <c r="B168" s="105"/>
      <c r="C168" s="106">
        <v>1</v>
      </c>
      <c r="D168" s="107">
        <f>D130</f>
        <v>1624.65</v>
      </c>
      <c r="E168" s="107"/>
      <c r="F168" s="107">
        <v>0.25</v>
      </c>
      <c r="G168" s="51">
        <f t="shared" si="21"/>
        <v>406.16250000000002</v>
      </c>
      <c r="H168" s="108"/>
      <c r="I168" s="109"/>
    </row>
    <row r="169" spans="1:9" ht="15" customHeight="1" x14ac:dyDescent="0.25">
      <c r="A169" s="82"/>
      <c r="B169" s="83"/>
      <c r="C169" s="779" t="s">
        <v>29</v>
      </c>
      <c r="D169" s="779"/>
      <c r="E169" s="779"/>
      <c r="F169" s="779"/>
      <c r="G169" s="53">
        <f>SUM(G167:G168)</f>
        <v>820.13250000000005</v>
      </c>
      <c r="H169" s="67">
        <f>ROUND(G169*1.001,0)</f>
        <v>821</v>
      </c>
      <c r="I169" s="26" t="s">
        <v>104</v>
      </c>
    </row>
    <row r="171" spans="1:9" x14ac:dyDescent="0.25">
      <c r="H171" s="70">
        <f>SUM(H6:H169)</f>
        <v>88296</v>
      </c>
    </row>
    <row r="172" spans="1:9" x14ac:dyDescent="0.25">
      <c r="H172" s="70" t="e">
        <f>SUM(#REF!,#REF!,#REF!,H127:H127,#REF!,#REF!,)</f>
        <v>#REF!</v>
      </c>
    </row>
    <row r="173" spans="1:9" x14ac:dyDescent="0.25">
      <c r="H173" s="70" t="e">
        <f>H171-H172</f>
        <v>#REF!</v>
      </c>
    </row>
    <row r="174" spans="1:9" ht="142.5" hidden="1" x14ac:dyDescent="0.25">
      <c r="A174" s="15">
        <v>1.2100000000000002</v>
      </c>
      <c r="B174" s="6" t="s">
        <v>106</v>
      </c>
      <c r="C174" s="38"/>
      <c r="D174" s="39"/>
      <c r="E174" s="39"/>
      <c r="F174" s="39"/>
      <c r="G174" s="54"/>
      <c r="H174" s="26"/>
      <c r="I174" s="26"/>
    </row>
    <row r="175" spans="1:9" ht="7.5" hidden="1" customHeight="1" x14ac:dyDescent="0.25">
      <c r="A175" s="15"/>
      <c r="B175" s="6"/>
      <c r="C175" s="38"/>
      <c r="D175" s="39"/>
      <c r="E175" s="39"/>
      <c r="F175" s="39"/>
      <c r="G175" s="54"/>
      <c r="H175" s="24"/>
      <c r="I175" s="24"/>
    </row>
    <row r="176" spans="1:9" ht="114" hidden="1" x14ac:dyDescent="0.25">
      <c r="A176" s="15">
        <v>1.2200000000000002</v>
      </c>
      <c r="B176" s="6" t="s">
        <v>107</v>
      </c>
      <c r="C176" s="38"/>
      <c r="D176" s="39"/>
      <c r="E176" s="39"/>
      <c r="F176" s="39"/>
      <c r="G176" s="120"/>
      <c r="H176" s="121"/>
      <c r="I176" s="121"/>
    </row>
    <row r="177" spans="1:9" ht="28.5" hidden="1" x14ac:dyDescent="0.25">
      <c r="A177" s="15" t="s">
        <v>4</v>
      </c>
      <c r="B177" s="6" t="s">
        <v>108</v>
      </c>
      <c r="C177" s="38"/>
      <c r="D177" s="39"/>
      <c r="E177" s="39"/>
      <c r="F177" s="39"/>
      <c r="G177" s="54"/>
      <c r="H177" s="26" t="s">
        <v>10</v>
      </c>
      <c r="I177" s="26" t="s">
        <v>10</v>
      </c>
    </row>
    <row r="178" spans="1:9" ht="28.5" hidden="1" x14ac:dyDescent="0.25">
      <c r="A178" s="15" t="s">
        <v>48</v>
      </c>
      <c r="B178" s="6" t="s">
        <v>109</v>
      </c>
      <c r="C178" s="38"/>
      <c r="D178" s="39"/>
      <c r="E178" s="39"/>
      <c r="F178" s="39"/>
      <c r="G178" s="120"/>
      <c r="H178" s="133" t="s">
        <v>10</v>
      </c>
      <c r="I178" s="133" t="s">
        <v>10</v>
      </c>
    </row>
    <row r="179" spans="1:9" ht="88.5" hidden="1" customHeight="1" x14ac:dyDescent="0.25">
      <c r="A179" s="15">
        <v>1.2700000000000002</v>
      </c>
      <c r="B179" s="6" t="s">
        <v>110</v>
      </c>
      <c r="C179" s="38"/>
      <c r="D179" s="39"/>
      <c r="E179" s="39"/>
      <c r="F179" s="39"/>
      <c r="G179" s="120"/>
      <c r="H179" s="121"/>
      <c r="I179" s="121"/>
    </row>
    <row r="180" spans="1:9" ht="7.5" hidden="1" customHeight="1" x14ac:dyDescent="0.25">
      <c r="A180" s="15"/>
      <c r="B180" s="6"/>
      <c r="C180" s="38"/>
      <c r="D180" s="39"/>
      <c r="E180" s="39"/>
      <c r="F180" s="39"/>
      <c r="G180" s="120"/>
      <c r="H180" s="121"/>
      <c r="I180" s="121"/>
    </row>
    <row r="181" spans="1:9" ht="88.5" hidden="1" customHeight="1" x14ac:dyDescent="0.25">
      <c r="A181" s="15">
        <v>1.2800000000000002</v>
      </c>
      <c r="B181" s="6" t="s">
        <v>103</v>
      </c>
      <c r="C181" s="38"/>
      <c r="D181" s="39"/>
      <c r="E181" s="39"/>
      <c r="F181" s="39"/>
      <c r="G181" s="120"/>
      <c r="H181" s="133" t="s">
        <v>10</v>
      </c>
      <c r="I181" s="133" t="s">
        <v>10</v>
      </c>
    </row>
    <row r="182" spans="1:9" ht="7.5" hidden="1" customHeight="1" x14ac:dyDescent="0.25">
      <c r="A182" s="15"/>
      <c r="B182" s="6"/>
      <c r="C182" s="38"/>
      <c r="D182" s="39"/>
      <c r="E182" s="39"/>
      <c r="F182" s="39"/>
      <c r="G182" s="120"/>
      <c r="H182" s="121"/>
      <c r="I182" s="121"/>
    </row>
    <row r="183" spans="1:9" ht="99.75" hidden="1" x14ac:dyDescent="0.25">
      <c r="A183" s="15">
        <v>1.2900000000000003</v>
      </c>
      <c r="B183" s="6" t="s">
        <v>111</v>
      </c>
      <c r="C183" s="38"/>
      <c r="D183" s="39"/>
      <c r="E183" s="39"/>
      <c r="F183" s="39"/>
      <c r="G183" s="120"/>
      <c r="H183" s="133" t="s">
        <v>10</v>
      </c>
      <c r="I183" s="133" t="s">
        <v>10</v>
      </c>
    </row>
    <row r="184" spans="1:9" ht="7.5" hidden="1" customHeight="1" x14ac:dyDescent="0.25">
      <c r="A184" s="15"/>
      <c r="B184" s="6"/>
      <c r="C184" s="38"/>
      <c r="D184" s="39"/>
      <c r="E184" s="39"/>
      <c r="F184" s="39"/>
      <c r="G184" s="120"/>
      <c r="H184" s="121"/>
      <c r="I184" s="121"/>
    </row>
    <row r="185" spans="1:9" ht="42.75" hidden="1" x14ac:dyDescent="0.25">
      <c r="A185" s="15">
        <v>1.3000000000000003</v>
      </c>
      <c r="B185" s="6" t="s">
        <v>112</v>
      </c>
      <c r="C185" s="38"/>
      <c r="D185" s="39"/>
      <c r="E185" s="39"/>
      <c r="F185" s="39"/>
      <c r="G185" s="120"/>
      <c r="H185" s="133" t="s">
        <v>113</v>
      </c>
      <c r="I185" s="133" t="s">
        <v>113</v>
      </c>
    </row>
    <row r="186" spans="1:9" ht="7.5" hidden="1" customHeight="1" x14ac:dyDescent="0.25">
      <c r="A186" s="15"/>
      <c r="B186" s="6"/>
      <c r="C186" s="38"/>
      <c r="D186" s="39"/>
      <c r="E186" s="39"/>
      <c r="F186" s="39"/>
      <c r="G186" s="120"/>
      <c r="H186" s="121"/>
      <c r="I186" s="121"/>
    </row>
    <row r="187" spans="1:9" ht="71.25" hidden="1" x14ac:dyDescent="0.25">
      <c r="A187" s="15">
        <v>1.3500000000000003</v>
      </c>
      <c r="B187" s="6" t="s">
        <v>99</v>
      </c>
      <c r="C187" s="38"/>
      <c r="D187" s="39"/>
      <c r="E187" s="39"/>
      <c r="F187" s="39"/>
      <c r="G187" s="120"/>
      <c r="H187" s="133" t="s">
        <v>114</v>
      </c>
      <c r="I187" s="133" t="s">
        <v>114</v>
      </c>
    </row>
    <row r="188" spans="1:9" ht="7.5" hidden="1" customHeight="1" x14ac:dyDescent="0.25">
      <c r="A188" s="15"/>
      <c r="B188" s="6"/>
      <c r="C188" s="38"/>
      <c r="D188" s="39"/>
      <c r="E188" s="39"/>
      <c r="F188" s="39"/>
      <c r="G188" s="120"/>
      <c r="H188" s="133"/>
      <c r="I188" s="133"/>
    </row>
    <row r="189" spans="1:9" ht="71.25" hidden="1" x14ac:dyDescent="0.25">
      <c r="A189" s="15">
        <v>1.3600000000000003</v>
      </c>
      <c r="B189" s="6" t="s">
        <v>100</v>
      </c>
      <c r="C189" s="38"/>
      <c r="D189" s="39"/>
      <c r="E189" s="39"/>
      <c r="F189" s="39"/>
      <c r="G189" s="120"/>
      <c r="H189" s="133" t="s">
        <v>114</v>
      </c>
      <c r="I189" s="133" t="s">
        <v>114</v>
      </c>
    </row>
    <row r="190" spans="1:9" ht="7.5" hidden="1" customHeight="1" x14ac:dyDescent="0.25">
      <c r="A190" s="15"/>
      <c r="B190" s="6"/>
      <c r="C190" s="38"/>
      <c r="D190" s="39"/>
      <c r="E190" s="39"/>
      <c r="F190" s="39"/>
      <c r="G190" s="120"/>
      <c r="H190" s="133"/>
      <c r="I190" s="133"/>
    </row>
    <row r="191" spans="1:9" ht="57" hidden="1" x14ac:dyDescent="0.25">
      <c r="A191" s="15">
        <v>1.3700000000000003</v>
      </c>
      <c r="B191" s="6" t="s">
        <v>101</v>
      </c>
      <c r="C191" s="38"/>
      <c r="D191" s="39"/>
      <c r="E191" s="39"/>
      <c r="F191" s="39"/>
      <c r="G191" s="120"/>
      <c r="H191" s="133" t="s">
        <v>32</v>
      </c>
      <c r="I191" s="133" t="s">
        <v>32</v>
      </c>
    </row>
    <row r="192" spans="1:9" ht="7.5" hidden="1" customHeight="1" x14ac:dyDescent="0.25">
      <c r="A192" s="15"/>
      <c r="B192" s="6"/>
      <c r="C192" s="38"/>
      <c r="D192" s="39"/>
      <c r="E192" s="39"/>
      <c r="F192" s="39"/>
      <c r="G192" s="120"/>
      <c r="H192" s="133"/>
      <c r="I192" s="133"/>
    </row>
    <row r="193" spans="1:10" hidden="1" x14ac:dyDescent="0.25">
      <c r="A193" s="15">
        <v>1.3800000000000003</v>
      </c>
      <c r="B193" s="6" t="s">
        <v>102</v>
      </c>
      <c r="C193" s="38"/>
      <c r="D193" s="39"/>
      <c r="E193" s="39"/>
      <c r="F193" s="39"/>
      <c r="G193" s="120"/>
      <c r="H193" s="133" t="s">
        <v>32</v>
      </c>
      <c r="I193" s="133" t="s">
        <v>32</v>
      </c>
    </row>
    <row r="194" spans="1:10" ht="103.5" hidden="1" customHeight="1" x14ac:dyDescent="0.25">
      <c r="A194" s="15" t="s">
        <v>4</v>
      </c>
      <c r="B194" s="6" t="s">
        <v>115</v>
      </c>
      <c r="C194" s="40"/>
      <c r="D194" s="41"/>
      <c r="E194" s="41"/>
      <c r="F194" s="41"/>
      <c r="G194" s="124"/>
      <c r="H194" s="121" t="s">
        <v>10</v>
      </c>
      <c r="I194" s="121" t="s">
        <v>10</v>
      </c>
    </row>
    <row r="195" spans="1:10" ht="114" hidden="1" x14ac:dyDescent="0.25">
      <c r="A195" s="15" t="s">
        <v>48</v>
      </c>
      <c r="B195" s="6" t="s">
        <v>116</v>
      </c>
      <c r="C195" s="38"/>
      <c r="D195" s="39"/>
      <c r="E195" s="39"/>
      <c r="F195" s="39"/>
      <c r="G195" s="120"/>
      <c r="H195" s="121" t="s">
        <v>10</v>
      </c>
      <c r="I195" s="121" t="s">
        <v>10</v>
      </c>
    </row>
    <row r="196" spans="1:10" ht="99.75" hidden="1" x14ac:dyDescent="0.25">
      <c r="A196" s="15" t="s">
        <v>51</v>
      </c>
      <c r="B196" s="6" t="s">
        <v>117</v>
      </c>
      <c r="C196" s="38"/>
      <c r="D196" s="39"/>
      <c r="E196" s="39"/>
      <c r="F196" s="39"/>
      <c r="G196" s="120"/>
      <c r="H196" s="121" t="s">
        <v>10</v>
      </c>
      <c r="I196" s="121" t="s">
        <v>10</v>
      </c>
    </row>
    <row r="197" spans="1:10" ht="99.75" hidden="1" x14ac:dyDescent="0.25">
      <c r="A197" s="15" t="s">
        <v>52</v>
      </c>
      <c r="B197" s="6" t="s">
        <v>118</v>
      </c>
      <c r="C197" s="38"/>
      <c r="D197" s="39"/>
      <c r="E197" s="39"/>
      <c r="F197" s="39"/>
      <c r="G197" s="120"/>
      <c r="H197" s="121" t="s">
        <v>10</v>
      </c>
      <c r="I197" s="121" t="s">
        <v>10</v>
      </c>
    </row>
    <row r="198" spans="1:10" ht="75.75" hidden="1" customHeight="1" x14ac:dyDescent="0.25">
      <c r="A198" s="15" t="s">
        <v>58</v>
      </c>
      <c r="B198" s="6" t="s">
        <v>119</v>
      </c>
      <c r="C198" s="38"/>
      <c r="D198" s="39"/>
      <c r="E198" s="39"/>
      <c r="F198" s="39"/>
      <c r="G198" s="120"/>
      <c r="H198" s="121" t="s">
        <v>10</v>
      </c>
      <c r="I198" s="121" t="s">
        <v>10</v>
      </c>
    </row>
    <row r="199" spans="1:10" ht="7.5" hidden="1" customHeight="1" x14ac:dyDescent="0.25">
      <c r="A199" s="15"/>
      <c r="B199" s="6"/>
      <c r="C199" s="38"/>
      <c r="D199" s="39"/>
      <c r="E199" s="39"/>
      <c r="F199" s="39"/>
      <c r="G199" s="120"/>
      <c r="H199" s="121"/>
      <c r="I199" s="121"/>
    </row>
    <row r="200" spans="1:10" ht="7.5" hidden="1" customHeight="1" x14ac:dyDescent="0.25">
      <c r="A200" s="15"/>
      <c r="B200" s="6"/>
      <c r="C200" s="40"/>
      <c r="D200" s="41"/>
      <c r="E200" s="41"/>
      <c r="F200" s="41"/>
      <c r="G200" s="124"/>
      <c r="H200" s="121"/>
      <c r="I200" s="121"/>
    </row>
    <row r="201" spans="1:10" ht="199.5" hidden="1" x14ac:dyDescent="0.25">
      <c r="A201" s="15">
        <v>1.4400000000000004</v>
      </c>
      <c r="B201" s="6" t="s">
        <v>120</v>
      </c>
      <c r="C201" s="38"/>
      <c r="D201" s="39"/>
      <c r="E201" s="39"/>
      <c r="F201" s="39"/>
      <c r="G201" s="120"/>
      <c r="H201" s="133" t="s">
        <v>10</v>
      </c>
      <c r="I201" s="133" t="s">
        <v>10</v>
      </c>
    </row>
    <row r="202" spans="1:10" ht="7.5" hidden="1" customHeight="1" x14ac:dyDescent="0.25">
      <c r="A202" s="15"/>
      <c r="B202" s="6"/>
      <c r="C202" s="38"/>
      <c r="D202" s="39"/>
      <c r="E202" s="39"/>
      <c r="F202" s="39"/>
      <c r="G202" s="120"/>
      <c r="H202" s="121"/>
      <c r="I202" s="121"/>
    </row>
    <row r="203" spans="1:10" ht="99.75" hidden="1" x14ac:dyDescent="0.25">
      <c r="A203" s="134">
        <v>1.4500000000000004</v>
      </c>
      <c r="B203" s="135" t="s">
        <v>121</v>
      </c>
      <c r="C203" s="42"/>
      <c r="D203" s="43"/>
      <c r="E203" s="43"/>
      <c r="F203" s="43"/>
      <c r="G203" s="125"/>
      <c r="H203" s="133" t="s">
        <v>122</v>
      </c>
      <c r="I203" s="133" t="s">
        <v>122</v>
      </c>
      <c r="J203" s="5">
        <f>23*6</f>
        <v>138</v>
      </c>
    </row>
    <row r="204" spans="1:10" ht="57" hidden="1" x14ac:dyDescent="0.25">
      <c r="A204" s="15" t="s">
        <v>48</v>
      </c>
      <c r="B204" s="6" t="s">
        <v>123</v>
      </c>
      <c r="C204" s="38"/>
      <c r="D204" s="39"/>
      <c r="E204" s="39"/>
      <c r="F204" s="39"/>
      <c r="G204" s="120"/>
      <c r="H204" s="121"/>
      <c r="I204" s="121"/>
    </row>
    <row r="205" spans="1:10" ht="57" hidden="1" x14ac:dyDescent="0.25">
      <c r="A205" s="15" t="s">
        <v>51</v>
      </c>
      <c r="B205" s="6" t="s">
        <v>124</v>
      </c>
      <c r="C205" s="38"/>
      <c r="D205" s="39"/>
      <c r="E205" s="39"/>
      <c r="F205" s="39"/>
      <c r="G205" s="120"/>
      <c r="H205" s="121"/>
      <c r="I205" s="121"/>
    </row>
    <row r="206" spans="1:10" ht="7.5" customHeight="1" x14ac:dyDescent="0.25">
      <c r="A206" s="15"/>
      <c r="B206" s="6"/>
      <c r="C206" s="38"/>
      <c r="D206" s="39"/>
      <c r="E206" s="39"/>
      <c r="F206" s="39"/>
      <c r="G206" s="120"/>
      <c r="H206" s="121"/>
      <c r="I206" s="121"/>
    </row>
  </sheetData>
  <mergeCells count="29">
    <mergeCell ref="C169:F169"/>
    <mergeCell ref="C152:F152"/>
    <mergeCell ref="C156:F156"/>
    <mergeCell ref="C162:F162"/>
    <mergeCell ref="C165:F165"/>
    <mergeCell ref="C148:F148"/>
    <mergeCell ref="C104:F104"/>
    <mergeCell ref="C115:F115"/>
    <mergeCell ref="C119:F119"/>
    <mergeCell ref="C122:F122"/>
    <mergeCell ref="C125:F125"/>
    <mergeCell ref="C128:F128"/>
    <mergeCell ref="C131:F131"/>
    <mergeCell ref="C134:F134"/>
    <mergeCell ref="C139:F139"/>
    <mergeCell ref="C142:F142"/>
    <mergeCell ref="C145:F145"/>
    <mergeCell ref="C89:F89"/>
    <mergeCell ref="A1:I1"/>
    <mergeCell ref="C10:F10"/>
    <mergeCell ref="C19:F19"/>
    <mergeCell ref="C24:F24"/>
    <mergeCell ref="C29:F29"/>
    <mergeCell ref="C34:F34"/>
    <mergeCell ref="C45:F45"/>
    <mergeCell ref="C50:F50"/>
    <mergeCell ref="C70:F70"/>
    <mergeCell ref="C82:F82"/>
    <mergeCell ref="C85:F85"/>
  </mergeCells>
  <printOptions horizontalCentered="1"/>
  <pageMargins left="0.5" right="0.25" top="0.55000000000000004" bottom="0.25" header="0.17" footer="0.17"/>
  <pageSetup paperSize="9" scale="70" fitToHeight="0" orientation="portrait" r:id="rId1"/>
  <headerFooter alignWithMargins="0">
    <oddHeader>&amp;R&amp;"Arial Narrow,Regular"&amp;10&amp;A
 Page &amp;P of &amp;N</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J30"/>
  <sheetViews>
    <sheetView view="pageBreakPreview" topLeftCell="A15" zoomScaleSheetLayoutView="100" workbookViewId="0">
      <selection activeCell="I6" sqref="I6"/>
    </sheetView>
  </sheetViews>
  <sheetFormatPr defaultColWidth="23.5703125" defaultRowHeight="15" x14ac:dyDescent="0.25"/>
  <cols>
    <col min="1" max="1" width="5.7109375" style="8" customWidth="1"/>
    <col min="2" max="2" width="52.7109375" style="7" customWidth="1"/>
    <col min="3" max="6" width="10.7109375" style="3" customWidth="1"/>
    <col min="7" max="7" width="13.7109375" style="56" customWidth="1"/>
    <col min="8" max="8" width="13.7109375" style="70" customWidth="1"/>
    <col min="9" max="9" width="7.7109375" style="22" customWidth="1"/>
    <col min="10" max="16384" width="23.5703125" style="5"/>
  </cols>
  <sheetData>
    <row r="1" spans="1:9" s="1" customFormat="1" ht="24.95" customHeight="1" x14ac:dyDescent="0.25">
      <c r="A1" s="778" t="s">
        <v>27</v>
      </c>
      <c r="B1" s="778"/>
      <c r="C1" s="778"/>
      <c r="D1" s="778"/>
      <c r="E1" s="778"/>
      <c r="F1" s="778"/>
      <c r="G1" s="778"/>
      <c r="H1" s="778"/>
      <c r="I1" s="778"/>
    </row>
    <row r="2" spans="1:9" s="1" customFormat="1" ht="15" customHeight="1" x14ac:dyDescent="0.25">
      <c r="A2" s="12"/>
      <c r="B2" s="2"/>
      <c r="C2" s="2"/>
      <c r="D2" s="2"/>
      <c r="E2" s="2"/>
      <c r="F2" s="2"/>
      <c r="G2" s="47"/>
      <c r="H2" s="62"/>
      <c r="I2" s="2"/>
    </row>
    <row r="3" spans="1:9" s="3" customFormat="1" ht="30" x14ac:dyDescent="0.25">
      <c r="A3" s="74" t="s">
        <v>28</v>
      </c>
      <c r="B3" s="75" t="s">
        <v>0</v>
      </c>
      <c r="C3" s="75" t="s">
        <v>13</v>
      </c>
      <c r="D3" s="75" t="s">
        <v>14</v>
      </c>
      <c r="E3" s="75" t="s">
        <v>15</v>
      </c>
      <c r="F3" s="75" t="s">
        <v>16</v>
      </c>
      <c r="G3" s="75" t="s">
        <v>1</v>
      </c>
      <c r="H3" s="68" t="s">
        <v>30</v>
      </c>
      <c r="I3" s="75" t="s">
        <v>2</v>
      </c>
    </row>
    <row r="4" spans="1:9" s="3" customFormat="1" ht="18.75" customHeight="1" x14ac:dyDescent="0.25">
      <c r="A4" s="19" t="s">
        <v>3</v>
      </c>
      <c r="B4" s="20" t="s">
        <v>46</v>
      </c>
      <c r="C4" s="27"/>
      <c r="D4" s="27"/>
      <c r="E4" s="27"/>
      <c r="F4" s="27"/>
      <c r="G4" s="48"/>
      <c r="H4" s="69"/>
      <c r="I4" s="21"/>
    </row>
    <row r="5" spans="1:9" ht="71.25" x14ac:dyDescent="0.25">
      <c r="A5" s="57">
        <v>30</v>
      </c>
      <c r="B5" s="58" t="s">
        <v>99</v>
      </c>
      <c r="C5" s="40"/>
      <c r="D5" s="41"/>
      <c r="E5" s="41"/>
      <c r="F5" s="41"/>
      <c r="G5" s="124"/>
      <c r="H5" s="122"/>
      <c r="I5" s="123"/>
    </row>
    <row r="6" spans="1:9" x14ac:dyDescent="0.25">
      <c r="A6" s="98"/>
      <c r="B6" s="105"/>
      <c r="C6" s="106">
        <v>1</v>
      </c>
      <c r="D6" s="107">
        <v>70520.160000000003</v>
      </c>
      <c r="E6" s="107"/>
      <c r="F6" s="107">
        <v>0.5</v>
      </c>
      <c r="G6" s="114">
        <f>PRODUCT(C6:F6)</f>
        <v>35260.080000000002</v>
      </c>
      <c r="H6" s="108"/>
      <c r="I6" s="109"/>
    </row>
    <row r="7" spans="1:9" ht="15" customHeight="1" x14ac:dyDescent="0.25">
      <c r="A7" s="82"/>
      <c r="B7" s="83"/>
      <c r="C7" s="779" t="s">
        <v>29</v>
      </c>
      <c r="D7" s="779"/>
      <c r="E7" s="779"/>
      <c r="F7" s="779"/>
      <c r="G7" s="53">
        <f>SUM(G6:G6)</f>
        <v>35260.080000000002</v>
      </c>
      <c r="H7" s="67">
        <f>ROUND(G7*1.001,0)</f>
        <v>35295</v>
      </c>
      <c r="I7" s="26" t="s">
        <v>11</v>
      </c>
    </row>
    <row r="8" spans="1:9" ht="71.25" x14ac:dyDescent="0.25">
      <c r="A8" s="57">
        <v>31</v>
      </c>
      <c r="B8" s="58" t="s">
        <v>100</v>
      </c>
      <c r="C8" s="40"/>
      <c r="D8" s="41"/>
      <c r="E8" s="41"/>
      <c r="F8" s="41"/>
      <c r="G8" s="124"/>
      <c r="H8" s="122"/>
      <c r="I8" s="123"/>
    </row>
    <row r="9" spans="1:9" x14ac:dyDescent="0.25">
      <c r="A9" s="98"/>
      <c r="B9" s="105"/>
      <c r="C9" s="106">
        <v>1</v>
      </c>
      <c r="D9" s="107">
        <v>70520.160000000003</v>
      </c>
      <c r="E9" s="107"/>
      <c r="F9" s="107">
        <v>0.25</v>
      </c>
      <c r="G9" s="114">
        <f>PRODUCT(C9:F9)</f>
        <v>17630.04</v>
      </c>
      <c r="H9" s="108"/>
      <c r="I9" s="109"/>
    </row>
    <row r="10" spans="1:9" ht="15" customHeight="1" x14ac:dyDescent="0.25">
      <c r="A10" s="82"/>
      <c r="B10" s="83"/>
      <c r="C10" s="779" t="s">
        <v>29</v>
      </c>
      <c r="D10" s="779"/>
      <c r="E10" s="779"/>
      <c r="F10" s="779"/>
      <c r="G10" s="53">
        <f>SUM(G9:G9)</f>
        <v>17630.04</v>
      </c>
      <c r="H10" s="67">
        <f>ROUND(G10*1.001,0)</f>
        <v>17648</v>
      </c>
      <c r="I10" s="26" t="s">
        <v>11</v>
      </c>
    </row>
    <row r="11" spans="1:9" ht="57" x14ac:dyDescent="0.25">
      <c r="A11" s="57">
        <v>32</v>
      </c>
      <c r="B11" s="58" t="s">
        <v>101</v>
      </c>
      <c r="C11" s="40"/>
      <c r="D11" s="41"/>
      <c r="E11" s="41"/>
      <c r="F11" s="41"/>
      <c r="G11" s="124"/>
      <c r="H11" s="122"/>
      <c r="I11" s="123"/>
    </row>
    <row r="12" spans="1:9" x14ac:dyDescent="0.25">
      <c r="A12" s="98"/>
      <c r="B12" s="105"/>
      <c r="C12" s="106">
        <v>1</v>
      </c>
      <c r="D12" s="107">
        <f>D9</f>
        <v>70520.160000000003</v>
      </c>
      <c r="E12" s="107"/>
      <c r="F12" s="107"/>
      <c r="G12" s="114">
        <f>PRODUCT(C12:F12)</f>
        <v>70520.160000000003</v>
      </c>
      <c r="H12" s="108"/>
      <c r="I12" s="109"/>
    </row>
    <row r="13" spans="1:9" ht="15" customHeight="1" x14ac:dyDescent="0.25">
      <c r="A13" s="82"/>
      <c r="B13" s="83"/>
      <c r="C13" s="779" t="s">
        <v>29</v>
      </c>
      <c r="D13" s="779"/>
      <c r="E13" s="779"/>
      <c r="F13" s="779"/>
      <c r="G13" s="53">
        <f>SUM(G12:G12)</f>
        <v>70520.160000000003</v>
      </c>
      <c r="H13" s="67">
        <f>ROUND(G13*1.001,0)</f>
        <v>70591</v>
      </c>
      <c r="I13" s="26" t="s">
        <v>10</v>
      </c>
    </row>
    <row r="14" spans="1:9" x14ac:dyDescent="0.25">
      <c r="A14" s="57">
        <v>33</v>
      </c>
      <c r="B14" s="58" t="s">
        <v>102</v>
      </c>
      <c r="C14" s="40"/>
      <c r="D14" s="41"/>
      <c r="E14" s="41"/>
      <c r="F14" s="41"/>
      <c r="G14" s="124"/>
      <c r="H14" s="122"/>
      <c r="I14" s="123"/>
    </row>
    <row r="15" spans="1:9" x14ac:dyDescent="0.25">
      <c r="A15" s="98"/>
      <c r="B15" s="105"/>
      <c r="C15" s="131">
        <v>0.2</v>
      </c>
      <c r="D15" s="107">
        <f>D12</f>
        <v>70520.160000000003</v>
      </c>
      <c r="E15" s="107"/>
      <c r="F15" s="107"/>
      <c r="G15" s="114">
        <f>PRODUCT(C15:F15)</f>
        <v>14104.032000000001</v>
      </c>
      <c r="H15" s="108"/>
      <c r="I15" s="109"/>
    </row>
    <row r="16" spans="1:9" ht="15" customHeight="1" x14ac:dyDescent="0.25">
      <c r="A16" s="82"/>
      <c r="B16" s="83"/>
      <c r="C16" s="779" t="s">
        <v>29</v>
      </c>
      <c r="D16" s="779"/>
      <c r="E16" s="779"/>
      <c r="F16" s="779"/>
      <c r="G16" s="53">
        <f>SUM(G15:G15)</f>
        <v>14104.032000000001</v>
      </c>
      <c r="H16" s="67">
        <f>ROUND(G16*1.001,0)</f>
        <v>14118</v>
      </c>
      <c r="I16" s="26" t="s">
        <v>10</v>
      </c>
    </row>
    <row r="17" spans="1:10" x14ac:dyDescent="0.25">
      <c r="A17" s="57">
        <v>34</v>
      </c>
      <c r="B17" s="58" t="s">
        <v>138</v>
      </c>
      <c r="C17" s="40"/>
      <c r="D17" s="41"/>
      <c r="E17" s="41"/>
      <c r="F17" s="41"/>
      <c r="G17" s="124"/>
      <c r="H17" s="122"/>
      <c r="I17" s="123"/>
    </row>
    <row r="18" spans="1:10" x14ac:dyDescent="0.25">
      <c r="A18" s="98"/>
      <c r="B18" s="105" t="s">
        <v>139</v>
      </c>
      <c r="C18" s="106">
        <v>1</v>
      </c>
      <c r="D18" s="107">
        <v>106661.1</v>
      </c>
      <c r="E18" s="107"/>
      <c r="F18" s="107">
        <v>0.5</v>
      </c>
      <c r="G18" s="51">
        <f t="shared" ref="G18:G19" si="0">PRODUCT(C18:F18)</f>
        <v>53330.55</v>
      </c>
      <c r="H18" s="108"/>
      <c r="I18" s="109"/>
    </row>
    <row r="19" spans="1:10" x14ac:dyDescent="0.25">
      <c r="A19" s="98"/>
      <c r="B19" s="105" t="s">
        <v>140</v>
      </c>
      <c r="C19" s="106">
        <v>1</v>
      </c>
      <c r="D19" s="107">
        <v>43953</v>
      </c>
      <c r="E19" s="107"/>
      <c r="F19" s="107">
        <v>0.5</v>
      </c>
      <c r="G19" s="51">
        <f t="shared" si="0"/>
        <v>21976.5</v>
      </c>
      <c r="H19" s="108"/>
      <c r="I19" s="109"/>
    </row>
    <row r="20" spans="1:10" ht="15" customHeight="1" x14ac:dyDescent="0.25">
      <c r="A20" s="82"/>
      <c r="B20" s="83"/>
      <c r="C20" s="779" t="s">
        <v>29</v>
      </c>
      <c r="D20" s="779"/>
      <c r="E20" s="779"/>
      <c r="F20" s="779"/>
      <c r="G20" s="53">
        <f>SUM(G18:G19)</f>
        <v>75307.05</v>
      </c>
      <c r="H20" s="67">
        <f>ROUND(G20*1.001,0)</f>
        <v>75382</v>
      </c>
      <c r="I20" s="26" t="s">
        <v>104</v>
      </c>
    </row>
    <row r="21" spans="1:10" x14ac:dyDescent="0.25">
      <c r="A21" s="57">
        <v>35</v>
      </c>
      <c r="B21" s="58" t="s">
        <v>141</v>
      </c>
      <c r="C21" s="40"/>
      <c r="D21" s="41"/>
      <c r="E21" s="41"/>
      <c r="F21" s="41"/>
      <c r="G21" s="124"/>
      <c r="H21" s="122"/>
      <c r="I21" s="123"/>
    </row>
    <row r="22" spans="1:10" x14ac:dyDescent="0.25">
      <c r="A22" s="98"/>
      <c r="B22" s="81" t="s">
        <v>142</v>
      </c>
      <c r="C22" s="115"/>
      <c r="D22" s="116"/>
      <c r="E22" s="116"/>
      <c r="F22" s="116"/>
      <c r="G22" s="117"/>
      <c r="H22" s="112"/>
      <c r="I22" s="109"/>
      <c r="J22" s="11" t="e">
        <f>G21+G24+#REF!</f>
        <v>#REF!</v>
      </c>
    </row>
    <row r="23" spans="1:10" x14ac:dyDescent="0.25">
      <c r="A23" s="98"/>
      <c r="B23" s="105" t="s">
        <v>76</v>
      </c>
      <c r="C23" s="106">
        <v>1</v>
      </c>
      <c r="D23" s="107">
        <f>D18</f>
        <v>106661.1</v>
      </c>
      <c r="E23" s="107"/>
      <c r="F23" s="107"/>
      <c r="G23" s="51">
        <f t="shared" ref="G23" si="1">PRODUCT(C23:F23)</f>
        <v>106661.1</v>
      </c>
      <c r="H23" s="108"/>
      <c r="I23" s="109"/>
    </row>
    <row r="24" spans="1:10" ht="15" customHeight="1" x14ac:dyDescent="0.25">
      <c r="A24" s="82"/>
      <c r="B24" s="83"/>
      <c r="C24" s="779" t="s">
        <v>29</v>
      </c>
      <c r="D24" s="779"/>
      <c r="E24" s="779"/>
      <c r="F24" s="779"/>
      <c r="G24" s="53">
        <f>SUM(G23:G23)</f>
        <v>106661.1</v>
      </c>
      <c r="H24" s="67">
        <f>ROUND(G24*1.001,0)</f>
        <v>106768</v>
      </c>
      <c r="I24" s="26" t="s">
        <v>105</v>
      </c>
    </row>
    <row r="25" spans="1:10" x14ac:dyDescent="0.25">
      <c r="A25" s="98"/>
      <c r="B25" s="81" t="s">
        <v>143</v>
      </c>
      <c r="C25" s="115"/>
      <c r="D25" s="116"/>
      <c r="E25" s="116"/>
      <c r="F25" s="116"/>
      <c r="G25" s="117"/>
      <c r="H25" s="112"/>
      <c r="I25" s="109"/>
      <c r="J25" s="11" t="e">
        <f>G24+G27+#REF!</f>
        <v>#REF!</v>
      </c>
    </row>
    <row r="26" spans="1:10" x14ac:dyDescent="0.25">
      <c r="A26" s="98"/>
      <c r="B26" s="105" t="s">
        <v>76</v>
      </c>
      <c r="C26" s="106">
        <v>1</v>
      </c>
      <c r="D26" s="107">
        <f>D19</f>
        <v>43953</v>
      </c>
      <c r="E26" s="107"/>
      <c r="F26" s="107"/>
      <c r="G26" s="51">
        <f t="shared" ref="G26" si="2">PRODUCT(C26:F26)</f>
        <v>43953</v>
      </c>
      <c r="H26" s="108"/>
      <c r="I26" s="109"/>
    </row>
    <row r="27" spans="1:10" ht="15" customHeight="1" x14ac:dyDescent="0.25">
      <c r="A27" s="82"/>
      <c r="B27" s="83"/>
      <c r="C27" s="779" t="s">
        <v>29</v>
      </c>
      <c r="D27" s="779"/>
      <c r="E27" s="779"/>
      <c r="F27" s="779"/>
      <c r="G27" s="53">
        <f>SUM(G26:G26)</f>
        <v>43953</v>
      </c>
      <c r="H27" s="67">
        <f>ROUND(G27*1.001,0)</f>
        <v>43997</v>
      </c>
      <c r="I27" s="26" t="s">
        <v>105</v>
      </c>
    </row>
    <row r="28" spans="1:10" x14ac:dyDescent="0.25">
      <c r="A28" s="57">
        <v>35</v>
      </c>
      <c r="B28" s="58" t="s">
        <v>145</v>
      </c>
      <c r="C28" s="40"/>
      <c r="D28" s="41"/>
      <c r="E28" s="41"/>
      <c r="F28" s="41"/>
      <c r="G28" s="124"/>
      <c r="H28" s="122"/>
      <c r="I28" s="123"/>
    </row>
    <row r="29" spans="1:10" x14ac:dyDescent="0.25">
      <c r="A29" s="98"/>
      <c r="B29" s="105"/>
      <c r="C29" s="106">
        <v>1</v>
      </c>
      <c r="D29" s="107">
        <f>(2*3087)+(2*1073)+668+703+703+703+1742+572+(123*6)+(227*4)+353.67+290+62+82+600+268</f>
        <v>16712.669999999998</v>
      </c>
      <c r="E29" s="107"/>
      <c r="F29" s="107"/>
      <c r="G29" s="51">
        <f t="shared" ref="G29" si="3">PRODUCT(C29:F29)</f>
        <v>16712.669999999998</v>
      </c>
      <c r="H29" s="108"/>
      <c r="I29" s="109"/>
    </row>
    <row r="30" spans="1:10" ht="15" customHeight="1" x14ac:dyDescent="0.25">
      <c r="A30" s="82"/>
      <c r="B30" s="83"/>
      <c r="C30" s="779" t="s">
        <v>29</v>
      </c>
      <c r="D30" s="779"/>
      <c r="E30" s="779"/>
      <c r="F30" s="779"/>
      <c r="G30" s="53">
        <f>SUM(G29:G29)</f>
        <v>16712.669999999998</v>
      </c>
      <c r="H30" s="67">
        <f>ROUND(G30*1.1,0)</f>
        <v>18384</v>
      </c>
      <c r="I30" s="26" t="s">
        <v>85</v>
      </c>
    </row>
  </sheetData>
  <mergeCells count="9">
    <mergeCell ref="C27:F27"/>
    <mergeCell ref="C30:F30"/>
    <mergeCell ref="A1:I1"/>
    <mergeCell ref="C7:F7"/>
    <mergeCell ref="C10:F10"/>
    <mergeCell ref="C13:F13"/>
    <mergeCell ref="C16:F16"/>
    <mergeCell ref="C20:F20"/>
    <mergeCell ref="C24:F24"/>
  </mergeCells>
  <printOptions horizontalCentered="1"/>
  <pageMargins left="0.5" right="0.25" top="0.55000000000000004" bottom="0.25" header="0.17" footer="0.17"/>
  <pageSetup paperSize="9" scale="70" fitToHeight="0" orientation="portrait" r:id="rId1"/>
  <headerFooter alignWithMargins="0">
    <oddHeader>&amp;R&amp;"Arial Narrow,Regular"&amp;10&amp;A
 Page &amp;P of &amp;N</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44"/>
  <sheetViews>
    <sheetView view="pageBreakPreview" zoomScaleSheetLayoutView="100" workbookViewId="0">
      <selection activeCell="I6" sqref="I6"/>
    </sheetView>
  </sheetViews>
  <sheetFormatPr defaultColWidth="23.5703125" defaultRowHeight="15" x14ac:dyDescent="0.25"/>
  <cols>
    <col min="1" max="1" width="5.7109375" style="8" customWidth="1"/>
    <col min="2" max="2" width="52.7109375" style="7" customWidth="1"/>
    <col min="3" max="6" width="10.7109375" style="3" customWidth="1"/>
    <col min="7" max="7" width="13.7109375" style="56" customWidth="1"/>
    <col min="8" max="8" width="13.7109375" style="70" customWidth="1"/>
    <col min="9" max="9" width="7.7109375" style="22" customWidth="1"/>
    <col min="10" max="16384" width="23.5703125" style="5"/>
  </cols>
  <sheetData>
    <row r="1" spans="1:11" s="1" customFormat="1" ht="24.95" customHeight="1" x14ac:dyDescent="0.25">
      <c r="A1" s="778" t="s">
        <v>27</v>
      </c>
      <c r="B1" s="778"/>
      <c r="C1" s="778"/>
      <c r="D1" s="778"/>
      <c r="E1" s="778"/>
      <c r="F1" s="778"/>
      <c r="G1" s="778"/>
      <c r="H1" s="778"/>
      <c r="I1" s="778"/>
    </row>
    <row r="2" spans="1:11" s="1" customFormat="1" ht="15" customHeight="1" x14ac:dyDescent="0.25">
      <c r="A2" s="12"/>
      <c r="B2" s="2"/>
      <c r="C2" s="2"/>
      <c r="D2" s="2"/>
      <c r="E2" s="2"/>
      <c r="F2" s="2"/>
      <c r="G2" s="47"/>
      <c r="H2" s="62"/>
      <c r="I2" s="2"/>
    </row>
    <row r="3" spans="1:11" s="3" customFormat="1" ht="30" x14ac:dyDescent="0.25">
      <c r="A3" s="74" t="s">
        <v>28</v>
      </c>
      <c r="B3" s="75" t="s">
        <v>0</v>
      </c>
      <c r="C3" s="75" t="s">
        <v>13</v>
      </c>
      <c r="D3" s="75" t="s">
        <v>14</v>
      </c>
      <c r="E3" s="75" t="s">
        <v>15</v>
      </c>
      <c r="F3" s="75" t="s">
        <v>16</v>
      </c>
      <c r="G3" s="75" t="s">
        <v>1</v>
      </c>
      <c r="H3" s="68" t="s">
        <v>30</v>
      </c>
      <c r="I3" s="75" t="s">
        <v>2</v>
      </c>
      <c r="J3" s="3">
        <v>6</v>
      </c>
    </row>
    <row r="4" spans="1:11" s="3" customFormat="1" ht="18.75" customHeight="1" x14ac:dyDescent="0.25">
      <c r="A4" s="19" t="s">
        <v>3</v>
      </c>
      <c r="B4" s="20" t="s">
        <v>46</v>
      </c>
      <c r="C4" s="27"/>
      <c r="D4" s="27"/>
      <c r="E4" s="27"/>
      <c r="F4" s="27"/>
      <c r="G4" s="48"/>
      <c r="H4" s="69"/>
      <c r="I4" s="21"/>
    </row>
    <row r="5" spans="1:11" ht="156.75" x14ac:dyDescent="0.25">
      <c r="A5" s="65">
        <v>1.01</v>
      </c>
      <c r="B5" s="66" t="s">
        <v>20</v>
      </c>
      <c r="C5" s="28"/>
      <c r="D5" s="29"/>
      <c r="E5" s="29"/>
      <c r="F5" s="29"/>
      <c r="G5" s="49"/>
      <c r="H5" s="63"/>
      <c r="I5" s="23"/>
    </row>
    <row r="6" spans="1:11" x14ac:dyDescent="0.25">
      <c r="A6" s="13"/>
      <c r="B6" s="4" t="s">
        <v>126</v>
      </c>
      <c r="C6" s="32">
        <v>1</v>
      </c>
      <c r="D6" s="76">
        <f>27+1+1</f>
        <v>29</v>
      </c>
      <c r="E6" s="76">
        <f>D6</f>
        <v>29</v>
      </c>
      <c r="F6" s="76">
        <v>5</v>
      </c>
      <c r="G6" s="51">
        <f>PRODUCT(C6:F6)</f>
        <v>4205</v>
      </c>
      <c r="H6" s="64"/>
      <c r="I6" s="24"/>
      <c r="J6" s="11"/>
      <c r="K6" s="11"/>
    </row>
    <row r="7" spans="1:11" ht="15" customHeight="1" x14ac:dyDescent="0.25">
      <c r="A7" s="13"/>
      <c r="B7" s="10"/>
      <c r="C7" s="779" t="s">
        <v>29</v>
      </c>
      <c r="D7" s="779"/>
      <c r="E7" s="779"/>
      <c r="F7" s="779"/>
      <c r="G7" s="53">
        <f>SUM(G6:G6)</f>
        <v>4205</v>
      </c>
      <c r="H7" s="67">
        <f>ROUND(G7*1.001*J$3,0)</f>
        <v>25255</v>
      </c>
      <c r="I7" s="26" t="s">
        <v>11</v>
      </c>
    </row>
    <row r="8" spans="1:11" ht="28.5" x14ac:dyDescent="0.25">
      <c r="A8" s="57">
        <v>3</v>
      </c>
      <c r="B8" s="58" t="s">
        <v>5</v>
      </c>
      <c r="C8" s="38"/>
      <c r="D8" s="39"/>
      <c r="E8" s="39"/>
      <c r="F8" s="39"/>
      <c r="G8" s="54"/>
      <c r="H8" s="25"/>
      <c r="I8" s="24"/>
    </row>
    <row r="9" spans="1:11" x14ac:dyDescent="0.25">
      <c r="A9" s="14"/>
      <c r="B9" s="9" t="s">
        <v>56</v>
      </c>
      <c r="C9" s="30"/>
      <c r="D9" s="31"/>
      <c r="E9" s="31"/>
      <c r="F9" s="31"/>
      <c r="G9" s="50"/>
      <c r="H9" s="25"/>
      <c r="I9" s="24"/>
    </row>
    <row r="10" spans="1:11" x14ac:dyDescent="0.25">
      <c r="A10" s="13"/>
      <c r="B10" s="4"/>
      <c r="C10" s="32">
        <v>1</v>
      </c>
      <c r="D10" s="76">
        <f>D6*E6</f>
        <v>841</v>
      </c>
      <c r="E10" s="76"/>
      <c r="F10" s="76"/>
      <c r="G10" s="51">
        <f>PRODUCT(C10:F10)</f>
        <v>841</v>
      </c>
      <c r="H10" s="77"/>
      <c r="I10" s="24"/>
    </row>
    <row r="11" spans="1:11" ht="15" customHeight="1" x14ac:dyDescent="0.25">
      <c r="A11" s="13"/>
      <c r="B11" s="10"/>
      <c r="C11" s="779" t="s">
        <v>29</v>
      </c>
      <c r="D11" s="779"/>
      <c r="E11" s="779"/>
      <c r="F11" s="779"/>
      <c r="G11" s="53">
        <f>SUM(G10:G10)</f>
        <v>841</v>
      </c>
      <c r="H11" s="67">
        <f>ROUND(G11*1.001*J$3,0)</f>
        <v>5051</v>
      </c>
      <c r="I11" s="26" t="s">
        <v>32</v>
      </c>
    </row>
    <row r="12" spans="1:11" ht="42.75" x14ac:dyDescent="0.25">
      <c r="A12" s="57">
        <v>4</v>
      </c>
      <c r="B12" s="58" t="s">
        <v>25</v>
      </c>
      <c r="C12" s="38"/>
      <c r="D12" s="39"/>
      <c r="E12" s="39"/>
      <c r="F12" s="39"/>
      <c r="G12" s="54"/>
      <c r="H12" s="25"/>
      <c r="I12" s="24"/>
    </row>
    <row r="13" spans="1:11" x14ac:dyDescent="0.25">
      <c r="A13" s="14" t="s">
        <v>4</v>
      </c>
      <c r="B13" s="9" t="s">
        <v>17</v>
      </c>
      <c r="C13" s="30"/>
      <c r="D13" s="31"/>
      <c r="E13" s="31"/>
      <c r="F13" s="31"/>
      <c r="G13" s="50"/>
      <c r="H13" s="25"/>
      <c r="I13" s="24"/>
    </row>
    <row r="14" spans="1:11" x14ac:dyDescent="0.25">
      <c r="A14" s="13"/>
      <c r="B14" s="4" t="s">
        <v>18</v>
      </c>
      <c r="C14" s="32">
        <v>1</v>
      </c>
      <c r="D14" s="76">
        <f>D6</f>
        <v>29</v>
      </c>
      <c r="E14" s="76">
        <f>E6</f>
        <v>29</v>
      </c>
      <c r="F14" s="76">
        <v>0.5</v>
      </c>
      <c r="G14" s="51">
        <f>PRODUCT(C14:F14)</f>
        <v>420.5</v>
      </c>
      <c r="H14" s="64"/>
      <c r="I14" s="24"/>
      <c r="J14" s="11"/>
      <c r="K14" s="11"/>
    </row>
    <row r="15" spans="1:11" ht="15" customHeight="1" x14ac:dyDescent="0.25">
      <c r="A15" s="13"/>
      <c r="B15" s="10"/>
      <c r="C15" s="779" t="s">
        <v>29</v>
      </c>
      <c r="D15" s="779"/>
      <c r="E15" s="779"/>
      <c r="F15" s="779"/>
      <c r="G15" s="53">
        <f>SUM(G14:G14)</f>
        <v>420.5</v>
      </c>
      <c r="H15" s="67">
        <f>ROUND(G15*1.001*J$3,0)</f>
        <v>2526</v>
      </c>
      <c r="I15" s="26" t="s">
        <v>11</v>
      </c>
    </row>
    <row r="16" spans="1:11" x14ac:dyDescent="0.25">
      <c r="A16" s="57">
        <v>5</v>
      </c>
      <c r="B16" s="60" t="s">
        <v>26</v>
      </c>
      <c r="C16" s="45"/>
      <c r="D16" s="46"/>
      <c r="E16" s="46"/>
      <c r="F16" s="46"/>
      <c r="G16" s="54"/>
      <c r="H16" s="25"/>
      <c r="I16" s="24"/>
    </row>
    <row r="17" spans="1:11" x14ac:dyDescent="0.25">
      <c r="A17" s="15"/>
      <c r="B17" s="6" t="s">
        <v>33</v>
      </c>
      <c r="C17" s="42"/>
      <c r="D17" s="43"/>
      <c r="E17" s="43"/>
      <c r="F17" s="43"/>
      <c r="G17" s="50"/>
      <c r="H17" s="25"/>
      <c r="I17" s="24"/>
    </row>
    <row r="18" spans="1:11" x14ac:dyDescent="0.25">
      <c r="A18" s="13"/>
      <c r="B18" s="4" t="s">
        <v>18</v>
      </c>
      <c r="C18" s="32">
        <v>1</v>
      </c>
      <c r="D18" s="76">
        <f>D6</f>
        <v>29</v>
      </c>
      <c r="E18" s="76">
        <f>E6</f>
        <v>29</v>
      </c>
      <c r="F18" s="76" t="s">
        <v>19</v>
      </c>
      <c r="G18" s="51">
        <f>PRODUCT(C18:F18)</f>
        <v>841</v>
      </c>
      <c r="H18" s="64"/>
      <c r="I18" s="24"/>
      <c r="J18" s="11"/>
      <c r="K18" s="11"/>
    </row>
    <row r="19" spans="1:11" ht="15" customHeight="1" x14ac:dyDescent="0.25">
      <c r="A19" s="13"/>
      <c r="B19" s="10"/>
      <c r="C19" s="779" t="s">
        <v>29</v>
      </c>
      <c r="D19" s="779"/>
      <c r="E19" s="779"/>
      <c r="F19" s="779"/>
      <c r="G19" s="53">
        <f>SUM(G18:G18)</f>
        <v>841</v>
      </c>
      <c r="H19" s="67">
        <f>ROUND(G19*1.001*J$3,0)</f>
        <v>5051</v>
      </c>
      <c r="I19" s="26" t="s">
        <v>11</v>
      </c>
    </row>
    <row r="20" spans="1:11" ht="71.25" x14ac:dyDescent="0.25">
      <c r="A20" s="57">
        <v>6</v>
      </c>
      <c r="B20" s="58" t="s">
        <v>6</v>
      </c>
      <c r="C20" s="38"/>
      <c r="D20" s="39"/>
      <c r="E20" s="39"/>
      <c r="F20" s="39"/>
      <c r="G20" s="54"/>
      <c r="H20" s="25"/>
      <c r="I20" s="24"/>
    </row>
    <row r="21" spans="1:11" x14ac:dyDescent="0.25">
      <c r="A21" s="14" t="s">
        <v>4</v>
      </c>
      <c r="B21" s="9" t="s">
        <v>17</v>
      </c>
      <c r="C21" s="30"/>
      <c r="D21" s="31"/>
      <c r="E21" s="31"/>
      <c r="F21" s="31"/>
      <c r="G21" s="50"/>
      <c r="H21" s="25"/>
      <c r="I21" s="24"/>
    </row>
    <row r="22" spans="1:11" x14ac:dyDescent="0.25">
      <c r="A22" s="13"/>
      <c r="B22" s="4" t="s">
        <v>18</v>
      </c>
      <c r="C22" s="32">
        <v>1</v>
      </c>
      <c r="D22" s="76">
        <f>D18</f>
        <v>29</v>
      </c>
      <c r="E22" s="76">
        <f>E18</f>
        <v>29</v>
      </c>
      <c r="F22" s="76">
        <v>0.33</v>
      </c>
      <c r="G22" s="51">
        <f>PRODUCT(C22:F22)</f>
        <v>277.53000000000003</v>
      </c>
      <c r="H22" s="64"/>
      <c r="I22" s="24"/>
      <c r="J22" s="11"/>
      <c r="K22" s="11"/>
    </row>
    <row r="23" spans="1:11" ht="15" customHeight="1" x14ac:dyDescent="0.25">
      <c r="A23" s="13"/>
      <c r="B23" s="10"/>
      <c r="C23" s="779" t="s">
        <v>29</v>
      </c>
      <c r="D23" s="779"/>
      <c r="E23" s="779"/>
      <c r="F23" s="779"/>
      <c r="G23" s="53">
        <f>SUM(G22:G22)</f>
        <v>277.53000000000003</v>
      </c>
      <c r="H23" s="67">
        <f>ROUND(G23*1.001*J$3,0)</f>
        <v>1667</v>
      </c>
      <c r="I23" s="26" t="s">
        <v>11</v>
      </c>
    </row>
    <row r="24" spans="1:11" ht="171" x14ac:dyDescent="0.25">
      <c r="A24" s="57">
        <v>8</v>
      </c>
      <c r="B24" s="58" t="s">
        <v>7</v>
      </c>
      <c r="C24" s="38"/>
      <c r="D24" s="39"/>
      <c r="E24" s="39"/>
      <c r="F24" s="39"/>
      <c r="G24" s="54"/>
      <c r="H24" s="25"/>
      <c r="I24" s="24"/>
    </row>
    <row r="25" spans="1:11" x14ac:dyDescent="0.25">
      <c r="A25" s="13"/>
      <c r="B25" s="4"/>
      <c r="C25" s="32">
        <v>1</v>
      </c>
      <c r="D25" s="76">
        <f>D22-0.67</f>
        <v>28.33</v>
      </c>
      <c r="E25" s="76">
        <f>E22-0.67</f>
        <v>28.33</v>
      </c>
      <c r="F25" s="76">
        <v>0.67</v>
      </c>
      <c r="G25" s="51">
        <f>PRODUCT(C25:F25)</f>
        <v>537.73456299999998</v>
      </c>
      <c r="H25" s="64"/>
      <c r="I25" s="24"/>
      <c r="J25" s="11"/>
      <c r="K25" s="11"/>
    </row>
    <row r="26" spans="1:11" x14ac:dyDescent="0.25">
      <c r="A26" s="13"/>
      <c r="B26" s="4"/>
      <c r="C26" s="32">
        <v>1</v>
      </c>
      <c r="D26" s="76">
        <f>218-88-22</f>
        <v>108</v>
      </c>
      <c r="E26" s="76">
        <v>0.67</v>
      </c>
      <c r="F26" s="76">
        <v>2</v>
      </c>
      <c r="G26" s="51">
        <f>PRODUCT(C26:F26)</f>
        <v>144.72</v>
      </c>
      <c r="H26" s="64"/>
      <c r="I26" s="24"/>
      <c r="J26" s="11"/>
      <c r="K26" s="11"/>
    </row>
    <row r="27" spans="1:11" x14ac:dyDescent="0.25">
      <c r="A27" s="13"/>
      <c r="B27" s="4"/>
      <c r="C27" s="32">
        <v>1</v>
      </c>
      <c r="D27" s="76">
        <v>88</v>
      </c>
      <c r="E27" s="76">
        <v>0.67</v>
      </c>
      <c r="F27" s="76">
        <v>4</v>
      </c>
      <c r="G27" s="51">
        <f>PRODUCT(C27:F27)</f>
        <v>235.84</v>
      </c>
      <c r="H27" s="64"/>
      <c r="I27" s="24"/>
      <c r="J27" s="11"/>
      <c r="K27" s="11"/>
    </row>
    <row r="28" spans="1:11" x14ac:dyDescent="0.25">
      <c r="A28" s="13"/>
      <c r="B28" s="4"/>
      <c r="C28" s="32">
        <v>1</v>
      </c>
      <c r="D28" s="76">
        <v>22</v>
      </c>
      <c r="E28" s="76">
        <v>0.67</v>
      </c>
      <c r="F28" s="76">
        <v>5</v>
      </c>
      <c r="G28" s="51">
        <f>PRODUCT(C28:F28)</f>
        <v>73.7</v>
      </c>
      <c r="H28" s="64"/>
      <c r="I28" s="24"/>
      <c r="J28" s="11"/>
      <c r="K28" s="11"/>
    </row>
    <row r="29" spans="1:11" ht="15" customHeight="1" x14ac:dyDescent="0.25">
      <c r="A29" s="13"/>
      <c r="B29" s="10"/>
      <c r="C29" s="779" t="s">
        <v>29</v>
      </c>
      <c r="D29" s="779"/>
      <c r="E29" s="779"/>
      <c r="F29" s="779"/>
      <c r="G29" s="53">
        <f>SUM(G25:G28)</f>
        <v>991.99456300000008</v>
      </c>
      <c r="H29" s="67">
        <f>ROUND(G29*1.001*J$3,0)</f>
        <v>5958</v>
      </c>
      <c r="I29" s="26" t="s">
        <v>11</v>
      </c>
    </row>
    <row r="30" spans="1:11" ht="42.75" x14ac:dyDescent="0.25">
      <c r="A30" s="57">
        <v>9</v>
      </c>
      <c r="B30" s="58" t="s">
        <v>35</v>
      </c>
      <c r="C30" s="40"/>
      <c r="D30" s="41"/>
      <c r="E30" s="41"/>
      <c r="F30" s="41"/>
      <c r="G30" s="55"/>
      <c r="H30" s="25"/>
      <c r="I30" s="24"/>
    </row>
    <row r="31" spans="1:11" x14ac:dyDescent="0.25">
      <c r="A31" s="15"/>
      <c r="B31" s="6" t="s">
        <v>34</v>
      </c>
      <c r="C31" s="42"/>
      <c r="D31" s="43"/>
      <c r="E31" s="43"/>
      <c r="F31" s="43"/>
      <c r="G31" s="50"/>
      <c r="H31" s="25"/>
      <c r="I31" s="24"/>
    </row>
    <row r="32" spans="1:11" x14ac:dyDescent="0.25">
      <c r="A32" s="13"/>
      <c r="B32" s="4"/>
      <c r="C32" s="32">
        <v>1</v>
      </c>
      <c r="D32" s="76">
        <f>SUM(D25)*1</f>
        <v>28.33</v>
      </c>
      <c r="E32" s="76">
        <f>SUM(E25)*1</f>
        <v>28.33</v>
      </c>
      <c r="F32" s="76" t="s">
        <v>19</v>
      </c>
      <c r="G32" s="51">
        <f>PRODUCT(C32:F32)</f>
        <v>802.58889999999985</v>
      </c>
      <c r="H32" s="64"/>
      <c r="I32" s="24"/>
      <c r="J32" s="11"/>
      <c r="K32" s="11"/>
    </row>
    <row r="33" spans="1:11" x14ac:dyDescent="0.25">
      <c r="A33" s="13"/>
      <c r="B33" s="4"/>
      <c r="C33" s="32">
        <v>1</v>
      </c>
      <c r="D33" s="76">
        <f>SUM(D26)*1</f>
        <v>108</v>
      </c>
      <c r="E33" s="76">
        <f>SUM(E26)*1</f>
        <v>0.67</v>
      </c>
      <c r="F33" s="76" t="s">
        <v>19</v>
      </c>
      <c r="G33" s="51">
        <f t="shared" ref="G33" si="0">PRODUCT(C33:F33)</f>
        <v>72.36</v>
      </c>
      <c r="H33" s="64"/>
      <c r="I33" s="24"/>
      <c r="J33" s="11"/>
      <c r="K33" s="11"/>
    </row>
    <row r="34" spans="1:11" ht="15" customHeight="1" x14ac:dyDescent="0.25">
      <c r="A34" s="13"/>
      <c r="B34" s="10"/>
      <c r="C34" s="779" t="s">
        <v>29</v>
      </c>
      <c r="D34" s="779"/>
      <c r="E34" s="779"/>
      <c r="F34" s="779"/>
      <c r="G34" s="53">
        <f>SUM(G31:G33)</f>
        <v>874.94889999999987</v>
      </c>
      <c r="H34" s="67">
        <f>ROUND(G34*1.001*J$3,0)</f>
        <v>5255</v>
      </c>
      <c r="I34" s="26" t="s">
        <v>10</v>
      </c>
    </row>
    <row r="35" spans="1:11" ht="42.75" x14ac:dyDescent="0.25">
      <c r="A35" s="57">
        <v>10</v>
      </c>
      <c r="B35" s="61" t="s">
        <v>9</v>
      </c>
      <c r="C35" s="30"/>
      <c r="D35" s="31"/>
      <c r="E35" s="31"/>
      <c r="F35" s="31"/>
      <c r="G35" s="50"/>
      <c r="H35" s="25"/>
      <c r="I35" s="24"/>
    </row>
    <row r="36" spans="1:11" x14ac:dyDescent="0.25">
      <c r="A36" s="13"/>
      <c r="B36" s="4"/>
      <c r="C36" s="32">
        <v>1</v>
      </c>
      <c r="D36" s="76">
        <f>+G29</f>
        <v>991.99456300000008</v>
      </c>
      <c r="E36" s="76">
        <v>2</v>
      </c>
      <c r="F36" s="76" t="s">
        <v>31</v>
      </c>
      <c r="G36" s="51">
        <f>ROUND(PRODUCT(C36:F36),-3)</f>
        <v>2000</v>
      </c>
      <c r="H36" s="64"/>
      <c r="I36" s="24"/>
    </row>
    <row r="37" spans="1:11" ht="15" customHeight="1" x14ac:dyDescent="0.25">
      <c r="A37" s="13"/>
      <c r="B37" s="10"/>
      <c r="C37" s="779" t="s">
        <v>29</v>
      </c>
      <c r="D37" s="779"/>
      <c r="E37" s="779"/>
      <c r="F37" s="779"/>
      <c r="G37" s="53">
        <f>SUM(G36)</f>
        <v>2000</v>
      </c>
      <c r="H37" s="67">
        <f>ROUND(G37*1.001*J$3,0)</f>
        <v>12012</v>
      </c>
      <c r="I37" s="26" t="s">
        <v>12</v>
      </c>
    </row>
    <row r="38" spans="1:11" x14ac:dyDescent="0.25">
      <c r="A38" s="57">
        <v>16</v>
      </c>
      <c r="B38" s="58" t="s">
        <v>144</v>
      </c>
      <c r="C38" s="38"/>
      <c r="D38" s="39"/>
      <c r="E38" s="39"/>
      <c r="F38" s="39"/>
      <c r="G38" s="54"/>
      <c r="H38" s="25"/>
      <c r="I38" s="24"/>
    </row>
    <row r="39" spans="1:11" x14ac:dyDescent="0.25">
      <c r="A39" s="98"/>
      <c r="B39" s="105"/>
      <c r="C39" s="106">
        <v>1</v>
      </c>
      <c r="D39" s="107">
        <v>27</v>
      </c>
      <c r="E39" s="107">
        <v>27</v>
      </c>
      <c r="F39" s="107"/>
      <c r="G39" s="51">
        <f>PRODUCT(C39:F39)</f>
        <v>729</v>
      </c>
      <c r="H39" s="108"/>
      <c r="I39" s="109"/>
    </row>
    <row r="40" spans="1:11" x14ac:dyDescent="0.25">
      <c r="A40" s="98"/>
      <c r="B40" s="105"/>
      <c r="C40" s="106">
        <v>2</v>
      </c>
      <c r="D40" s="107">
        <f>D26</f>
        <v>108</v>
      </c>
      <c r="E40" s="107"/>
      <c r="F40" s="107">
        <f>F26</f>
        <v>2</v>
      </c>
      <c r="G40" s="51">
        <f t="shared" ref="G40:G43" si="1">PRODUCT(C40:F40)</f>
        <v>432</v>
      </c>
      <c r="H40" s="108"/>
      <c r="I40" s="109"/>
    </row>
    <row r="41" spans="1:11" x14ac:dyDescent="0.25">
      <c r="A41" s="98"/>
      <c r="B41" s="105"/>
      <c r="C41" s="106">
        <v>2</v>
      </c>
      <c r="D41" s="107">
        <f t="shared" ref="D41:F42" si="2">D27</f>
        <v>88</v>
      </c>
      <c r="E41" s="107"/>
      <c r="F41" s="107">
        <f t="shared" si="2"/>
        <v>4</v>
      </c>
      <c r="G41" s="51">
        <f t="shared" si="1"/>
        <v>704</v>
      </c>
      <c r="H41" s="108"/>
      <c r="I41" s="109"/>
    </row>
    <row r="42" spans="1:11" x14ac:dyDescent="0.25">
      <c r="A42" s="98"/>
      <c r="B42" s="105"/>
      <c r="C42" s="106">
        <v>2</v>
      </c>
      <c r="D42" s="107">
        <f t="shared" si="2"/>
        <v>22</v>
      </c>
      <c r="E42" s="107"/>
      <c r="F42" s="107">
        <f t="shared" si="2"/>
        <v>5</v>
      </c>
      <c r="G42" s="51">
        <f t="shared" si="1"/>
        <v>220</v>
      </c>
      <c r="H42" s="108"/>
      <c r="I42" s="109"/>
    </row>
    <row r="43" spans="1:11" x14ac:dyDescent="0.25">
      <c r="A43" s="98"/>
      <c r="B43" s="105"/>
      <c r="C43" s="106">
        <v>1</v>
      </c>
      <c r="D43" s="107">
        <f>D40+D41+D42</f>
        <v>218</v>
      </c>
      <c r="E43" s="107">
        <v>1</v>
      </c>
      <c r="F43" s="107"/>
      <c r="G43" s="51">
        <f t="shared" si="1"/>
        <v>218</v>
      </c>
      <c r="H43" s="108"/>
      <c r="I43" s="109"/>
    </row>
    <row r="44" spans="1:11" ht="15" customHeight="1" x14ac:dyDescent="0.25">
      <c r="A44" s="82"/>
      <c r="B44" s="83"/>
      <c r="C44" s="779" t="s">
        <v>29</v>
      </c>
      <c r="D44" s="779"/>
      <c r="E44" s="779"/>
      <c r="F44" s="779"/>
      <c r="G44" s="53">
        <f>SUM(G39:G43)</f>
        <v>2303</v>
      </c>
      <c r="H44" s="67">
        <f>ROUND(G44*1.001*J$3,0)</f>
        <v>13832</v>
      </c>
      <c r="I44" s="26" t="s">
        <v>10</v>
      </c>
    </row>
  </sheetData>
  <mergeCells count="10">
    <mergeCell ref="C44:F44"/>
    <mergeCell ref="C23:F23"/>
    <mergeCell ref="C29:F29"/>
    <mergeCell ref="C34:F34"/>
    <mergeCell ref="C37:F37"/>
    <mergeCell ref="A1:I1"/>
    <mergeCell ref="C7:F7"/>
    <mergeCell ref="C11:F11"/>
    <mergeCell ref="C15:F15"/>
    <mergeCell ref="C19:F19"/>
  </mergeCells>
  <printOptions horizontalCentered="1"/>
  <pageMargins left="0.5" right="0.25" top="0.55000000000000004" bottom="0.25" header="0.17" footer="0.17"/>
  <pageSetup paperSize="9" scale="70" fitToHeight="0" orientation="portrait" r:id="rId1"/>
  <headerFooter alignWithMargins="0">
    <oddHeader>&amp;R&amp;"Arial Narrow,Regular"&amp;10&amp;A
 Page &amp;P of &amp;N</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K131"/>
  <sheetViews>
    <sheetView view="pageBreakPreview" topLeftCell="A6" zoomScaleSheetLayoutView="100" workbookViewId="0">
      <selection activeCell="I6" sqref="I6"/>
    </sheetView>
  </sheetViews>
  <sheetFormatPr defaultColWidth="23.5703125" defaultRowHeight="15" x14ac:dyDescent="0.25"/>
  <cols>
    <col min="1" max="1" width="5.7109375" style="8" customWidth="1"/>
    <col min="2" max="2" width="52.7109375" style="7" customWidth="1"/>
    <col min="3" max="6" width="10.7109375" style="3" customWidth="1"/>
    <col min="7" max="7" width="13.7109375" style="56" customWidth="1"/>
    <col min="8" max="8" width="13.7109375" style="70" customWidth="1"/>
    <col min="9" max="9" width="7.7109375" style="22" customWidth="1"/>
    <col min="10" max="16384" width="23.5703125" style="5"/>
  </cols>
  <sheetData>
    <row r="1" spans="1:11" s="1" customFormat="1" ht="24.95" customHeight="1" x14ac:dyDescent="0.25">
      <c r="A1" s="778" t="s">
        <v>27</v>
      </c>
      <c r="B1" s="778"/>
      <c r="C1" s="778"/>
      <c r="D1" s="778"/>
      <c r="E1" s="778"/>
      <c r="F1" s="778"/>
      <c r="G1" s="778"/>
      <c r="H1" s="778"/>
      <c r="I1" s="778"/>
    </row>
    <row r="2" spans="1:11" s="1" customFormat="1" ht="15" customHeight="1" x14ac:dyDescent="0.25">
      <c r="A2" s="12"/>
      <c r="B2" s="2"/>
      <c r="C2" s="2"/>
      <c r="D2" s="2"/>
      <c r="E2" s="2"/>
      <c r="F2" s="2"/>
      <c r="G2" s="47"/>
      <c r="H2" s="62"/>
      <c r="I2" s="2"/>
    </row>
    <row r="3" spans="1:11" s="3" customFormat="1" ht="30" x14ac:dyDescent="0.25">
      <c r="A3" s="74" t="s">
        <v>28</v>
      </c>
      <c r="B3" s="75" t="s">
        <v>0</v>
      </c>
      <c r="C3" s="75" t="s">
        <v>13</v>
      </c>
      <c r="D3" s="75" t="s">
        <v>14</v>
      </c>
      <c r="E3" s="75" t="s">
        <v>15</v>
      </c>
      <c r="F3" s="75" t="s">
        <v>16</v>
      </c>
      <c r="G3" s="75" t="s">
        <v>1</v>
      </c>
      <c r="H3" s="68" t="s">
        <v>30</v>
      </c>
      <c r="I3" s="75" t="s">
        <v>2</v>
      </c>
    </row>
    <row r="4" spans="1:11" s="3" customFormat="1" ht="18.75" customHeight="1" x14ac:dyDescent="0.25">
      <c r="A4" s="19" t="s">
        <v>3</v>
      </c>
      <c r="B4" s="20" t="s">
        <v>46</v>
      </c>
      <c r="C4" s="27"/>
      <c r="D4" s="27"/>
      <c r="E4" s="27"/>
      <c r="F4" s="27"/>
      <c r="G4" s="48"/>
      <c r="H4" s="69"/>
      <c r="I4" s="21"/>
    </row>
    <row r="5" spans="1:11" ht="156.75" x14ac:dyDescent="0.25">
      <c r="A5" s="65">
        <v>1</v>
      </c>
      <c r="B5" s="66" t="s">
        <v>20</v>
      </c>
      <c r="C5" s="28"/>
      <c r="D5" s="29"/>
      <c r="E5" s="29"/>
      <c r="F5" s="29"/>
      <c r="G5" s="49"/>
      <c r="H5" s="63"/>
      <c r="I5" s="23"/>
    </row>
    <row r="6" spans="1:11" x14ac:dyDescent="0.25">
      <c r="A6" s="14" t="s">
        <v>4</v>
      </c>
      <c r="B6" s="9" t="s">
        <v>147</v>
      </c>
      <c r="C6" s="30"/>
      <c r="D6" s="31"/>
      <c r="E6" s="31"/>
      <c r="F6" s="31"/>
      <c r="G6" s="50"/>
      <c r="H6" s="25"/>
      <c r="I6" s="24"/>
    </row>
    <row r="7" spans="1:11" x14ac:dyDescent="0.25">
      <c r="A7" s="13"/>
      <c r="B7" s="4"/>
      <c r="C7" s="32">
        <v>1</v>
      </c>
      <c r="D7" s="76">
        <f>21.67+1+1</f>
        <v>23.67</v>
      </c>
      <c r="E7" s="76">
        <f>15+0.83+0.83+2</f>
        <v>18.66</v>
      </c>
      <c r="F7" s="76">
        <f>12.92+0.33+0.5</f>
        <v>13.75</v>
      </c>
      <c r="G7" s="51">
        <f>PRODUCT(C7:F7)</f>
        <v>6073.1302500000002</v>
      </c>
      <c r="H7" s="64"/>
      <c r="I7" s="24"/>
      <c r="J7" s="11"/>
      <c r="K7" s="11"/>
    </row>
    <row r="8" spans="1:11" x14ac:dyDescent="0.25">
      <c r="A8" s="13"/>
      <c r="B8" s="4"/>
      <c r="C8" s="138"/>
      <c r="D8" s="139"/>
      <c r="E8" s="139"/>
      <c r="F8" s="139"/>
      <c r="G8" s="78"/>
      <c r="H8" s="25"/>
      <c r="I8" s="24"/>
    </row>
    <row r="9" spans="1:11" ht="15" customHeight="1" x14ac:dyDescent="0.25">
      <c r="A9" s="13"/>
      <c r="B9" s="10"/>
      <c r="C9" s="779" t="s">
        <v>29</v>
      </c>
      <c r="D9" s="779"/>
      <c r="E9" s="779"/>
      <c r="F9" s="779"/>
      <c r="G9" s="53">
        <f>SUM(G7:G8)</f>
        <v>6073.1302500000002</v>
      </c>
      <c r="H9" s="67">
        <f>ROUND(G9*1.001,0)</f>
        <v>6079</v>
      </c>
      <c r="I9" s="26" t="s">
        <v>11</v>
      </c>
    </row>
    <row r="10" spans="1:11" ht="128.25" x14ac:dyDescent="0.25">
      <c r="A10" s="57">
        <v>2</v>
      </c>
      <c r="B10" s="59" t="s">
        <v>53</v>
      </c>
      <c r="C10" s="36"/>
      <c r="D10" s="37"/>
      <c r="E10" s="37"/>
      <c r="F10" s="37"/>
      <c r="G10" s="52"/>
      <c r="H10" s="25"/>
      <c r="I10" s="24"/>
    </row>
    <row r="11" spans="1:11" x14ac:dyDescent="0.25">
      <c r="A11" s="14"/>
      <c r="B11" s="9"/>
      <c r="C11" s="32">
        <v>1</v>
      </c>
      <c r="D11" s="76">
        <f>+D7</f>
        <v>23.67</v>
      </c>
      <c r="E11" s="76">
        <f>+E7</f>
        <v>18.66</v>
      </c>
      <c r="F11" s="76">
        <f>+F7</f>
        <v>13.75</v>
      </c>
      <c r="G11" s="51">
        <f>PRODUCT(C11:F11)</f>
        <v>6073.1302500000002</v>
      </c>
      <c r="H11" s="64"/>
      <c r="I11" s="24"/>
    </row>
    <row r="12" spans="1:11" x14ac:dyDescent="0.25">
      <c r="A12" s="14"/>
      <c r="B12" s="9" t="s">
        <v>148</v>
      </c>
      <c r="C12" s="32">
        <v>-1</v>
      </c>
      <c r="D12" s="76">
        <v>21.67</v>
      </c>
      <c r="E12" s="76">
        <f>15+0.83+0.83</f>
        <v>16.66</v>
      </c>
      <c r="F12" s="76">
        <f>+F11</f>
        <v>13.75</v>
      </c>
      <c r="G12" s="51">
        <f>PRODUCT(C12:F12)</f>
        <v>-4964.0552500000003</v>
      </c>
      <c r="H12" s="64"/>
      <c r="I12" s="24"/>
    </row>
    <row r="13" spans="1:11" ht="15" customHeight="1" x14ac:dyDescent="0.25">
      <c r="A13" s="13"/>
      <c r="B13" s="10"/>
      <c r="C13" s="779" t="s">
        <v>29</v>
      </c>
      <c r="D13" s="779"/>
      <c r="E13" s="779"/>
      <c r="F13" s="779"/>
      <c r="G13" s="53">
        <f>SUM(G11:G12)</f>
        <v>1109.0749999999998</v>
      </c>
      <c r="H13" s="67">
        <f>ROUND(G13*1.001,0)</f>
        <v>1110</v>
      </c>
      <c r="I13" s="26" t="s">
        <v>11</v>
      </c>
    </row>
    <row r="14" spans="1:11" ht="42.75" x14ac:dyDescent="0.25">
      <c r="A14" s="57">
        <v>3</v>
      </c>
      <c r="B14" s="58" t="s">
        <v>25</v>
      </c>
      <c r="C14" s="38"/>
      <c r="D14" s="39"/>
      <c r="E14" s="39"/>
      <c r="F14" s="39"/>
      <c r="G14" s="54"/>
      <c r="H14" s="25"/>
      <c r="I14" s="24"/>
    </row>
    <row r="15" spans="1:11" x14ac:dyDescent="0.25">
      <c r="A15" s="14"/>
      <c r="B15" s="9"/>
      <c r="C15" s="30"/>
      <c r="D15" s="31"/>
      <c r="E15" s="31"/>
      <c r="F15" s="31"/>
      <c r="G15" s="50"/>
      <c r="H15" s="25"/>
      <c r="I15" s="24"/>
    </row>
    <row r="16" spans="1:11" x14ac:dyDescent="0.25">
      <c r="A16" s="14"/>
      <c r="B16" s="9"/>
      <c r="C16" s="32">
        <v>1</v>
      </c>
      <c r="D16" s="76">
        <f>+D7</f>
        <v>23.67</v>
      </c>
      <c r="E16" s="76">
        <f>+E7</f>
        <v>18.66</v>
      </c>
      <c r="F16" s="76">
        <v>0.5</v>
      </c>
      <c r="G16" s="51">
        <f>PRODUCT(C16:F16)</f>
        <v>220.84110000000001</v>
      </c>
      <c r="H16" s="64"/>
      <c r="I16" s="24"/>
    </row>
    <row r="17" spans="1:11" ht="15" customHeight="1" x14ac:dyDescent="0.25">
      <c r="A17" s="13"/>
      <c r="B17" s="10"/>
      <c r="C17" s="779" t="s">
        <v>29</v>
      </c>
      <c r="D17" s="779"/>
      <c r="E17" s="779"/>
      <c r="F17" s="779"/>
      <c r="G17" s="53">
        <f>SUM(G16:G16)</f>
        <v>220.84110000000001</v>
      </c>
      <c r="H17" s="67">
        <f>ROUND(G17*1.001,0)</f>
        <v>221</v>
      </c>
      <c r="I17" s="26" t="s">
        <v>11</v>
      </c>
    </row>
    <row r="18" spans="1:11" ht="71.25" x14ac:dyDescent="0.25">
      <c r="A18" s="57">
        <v>4</v>
      </c>
      <c r="B18" s="58" t="s">
        <v>6</v>
      </c>
      <c r="C18" s="38"/>
      <c r="D18" s="39"/>
      <c r="E18" s="39"/>
      <c r="F18" s="39"/>
      <c r="G18" s="54"/>
      <c r="H18" s="25"/>
      <c r="I18" s="24"/>
    </row>
    <row r="19" spans="1:11" x14ac:dyDescent="0.25">
      <c r="A19" s="14" t="s">
        <v>4</v>
      </c>
      <c r="B19" s="9" t="s">
        <v>147</v>
      </c>
      <c r="C19" s="34"/>
      <c r="D19" s="35"/>
      <c r="E19" s="35"/>
      <c r="F19" s="35"/>
      <c r="G19" s="52"/>
      <c r="H19" s="25"/>
      <c r="I19" s="24"/>
    </row>
    <row r="20" spans="1:11" x14ac:dyDescent="0.25">
      <c r="A20" s="13"/>
      <c r="B20" s="4"/>
      <c r="C20" s="32">
        <v>1</v>
      </c>
      <c r="D20" s="76">
        <f>+D7</f>
        <v>23.67</v>
      </c>
      <c r="E20" s="76">
        <f>+E7</f>
        <v>18.66</v>
      </c>
      <c r="F20" s="76">
        <v>0.33</v>
      </c>
      <c r="G20" s="140">
        <f>PRODUCT(C20:F20)</f>
        <v>145.75512600000002</v>
      </c>
      <c r="H20" s="64"/>
      <c r="I20" s="24"/>
    </row>
    <row r="21" spans="1:11" x14ac:dyDescent="0.25">
      <c r="A21" s="57">
        <v>5</v>
      </c>
      <c r="B21" s="58" t="s">
        <v>149</v>
      </c>
      <c r="C21" s="38"/>
      <c r="D21" s="39"/>
      <c r="E21" s="39"/>
      <c r="F21" s="39"/>
      <c r="G21" s="54"/>
      <c r="H21" s="25"/>
      <c r="I21" s="24"/>
    </row>
    <row r="22" spans="1:11" x14ac:dyDescent="0.25">
      <c r="A22" s="14" t="s">
        <v>4</v>
      </c>
      <c r="B22" s="9" t="s">
        <v>147</v>
      </c>
      <c r="C22" s="34"/>
      <c r="D22" s="35"/>
      <c r="E22" s="35"/>
      <c r="F22" s="35"/>
      <c r="G22" s="52"/>
      <c r="H22" s="25"/>
      <c r="I22" s="24"/>
    </row>
    <row r="23" spans="1:11" x14ac:dyDescent="0.25">
      <c r="A23" s="13"/>
      <c r="B23" s="4"/>
      <c r="C23" s="32">
        <f>+C20</f>
        <v>1</v>
      </c>
      <c r="D23" s="76">
        <f>+D20</f>
        <v>23.67</v>
      </c>
      <c r="E23" s="76">
        <f>+E20</f>
        <v>18.66</v>
      </c>
      <c r="F23" s="76"/>
      <c r="G23" s="140">
        <f>PRODUCT(C23:F23)</f>
        <v>441.68220000000002</v>
      </c>
      <c r="H23" s="64"/>
      <c r="I23" s="24"/>
    </row>
    <row r="24" spans="1:11" ht="15" customHeight="1" x14ac:dyDescent="0.25">
      <c r="A24" s="13"/>
      <c r="B24" s="10"/>
      <c r="C24" s="780" t="s">
        <v>29</v>
      </c>
      <c r="D24" s="781"/>
      <c r="E24" s="781"/>
      <c r="F24" s="782"/>
      <c r="G24" s="53">
        <f>SUM(G23:G23)</f>
        <v>441.68220000000002</v>
      </c>
      <c r="H24" s="67">
        <f>ROUND(G24*1.001,0)</f>
        <v>442</v>
      </c>
      <c r="I24" s="26" t="s">
        <v>10</v>
      </c>
    </row>
    <row r="25" spans="1:11" ht="171" x14ac:dyDescent="0.25">
      <c r="A25" s="57">
        <v>7</v>
      </c>
      <c r="B25" s="58" t="s">
        <v>7</v>
      </c>
      <c r="C25" s="38"/>
      <c r="D25" s="39"/>
      <c r="E25" s="39"/>
      <c r="F25" s="39"/>
      <c r="G25" s="54"/>
      <c r="H25" s="25"/>
      <c r="I25" s="24"/>
    </row>
    <row r="26" spans="1:11" x14ac:dyDescent="0.25">
      <c r="A26" s="15" t="s">
        <v>4</v>
      </c>
      <c r="B26" s="141" t="s">
        <v>150</v>
      </c>
      <c r="C26" s="142"/>
      <c r="D26" s="143"/>
      <c r="E26" s="143"/>
      <c r="F26" s="143"/>
      <c r="G26" s="50"/>
      <c r="H26" s="25"/>
      <c r="I26" s="24"/>
    </row>
    <row r="27" spans="1:11" x14ac:dyDescent="0.25">
      <c r="A27" s="13"/>
      <c r="B27" s="4"/>
      <c r="C27" s="32">
        <v>1</v>
      </c>
      <c r="D27" s="76">
        <f>+D12+2</f>
        <v>23.67</v>
      </c>
      <c r="E27" s="76">
        <f>+E12+2</f>
        <v>18.66</v>
      </c>
      <c r="F27" s="76">
        <v>1.25</v>
      </c>
      <c r="G27" s="51">
        <f>PRODUCT(C27:F27)</f>
        <v>552.10275000000001</v>
      </c>
      <c r="H27" s="64"/>
      <c r="I27" s="24"/>
      <c r="J27" s="11"/>
      <c r="K27" s="11"/>
    </row>
    <row r="28" spans="1:11" x14ac:dyDescent="0.25">
      <c r="A28" s="13"/>
      <c r="B28" s="4" t="s">
        <v>151</v>
      </c>
      <c r="C28" s="32">
        <v>1</v>
      </c>
      <c r="D28" s="76">
        <f>20+15+20+15</f>
        <v>70</v>
      </c>
      <c r="E28" s="783">
        <v>1</v>
      </c>
      <c r="F28" s="784"/>
      <c r="G28" s="51">
        <f>PRODUCT(C28:F28)</f>
        <v>70</v>
      </c>
      <c r="H28" s="64"/>
      <c r="I28" s="24"/>
      <c r="J28" s="11">
        <f>+J27/2</f>
        <v>0</v>
      </c>
      <c r="K28" s="11"/>
    </row>
    <row r="29" spans="1:11" x14ac:dyDescent="0.25">
      <c r="A29" s="15" t="s">
        <v>48</v>
      </c>
      <c r="B29" s="141" t="s">
        <v>152</v>
      </c>
      <c r="C29" s="142"/>
      <c r="D29" s="143"/>
      <c r="E29" s="143"/>
      <c r="F29" s="143"/>
      <c r="G29" s="50"/>
      <c r="H29" s="25"/>
      <c r="I29" s="24"/>
    </row>
    <row r="30" spans="1:11" x14ac:dyDescent="0.25">
      <c r="A30" s="13"/>
      <c r="B30" s="4"/>
      <c r="C30" s="32">
        <v>2</v>
      </c>
      <c r="D30" s="76">
        <f>+D27-2</f>
        <v>21.67</v>
      </c>
      <c r="E30" s="76">
        <v>0.83</v>
      </c>
      <c r="F30" s="76">
        <v>11</v>
      </c>
      <c r="G30" s="51">
        <f>PRODUCT(C30:F30)</f>
        <v>395.69420000000002</v>
      </c>
      <c r="H30" s="64"/>
      <c r="I30" s="24"/>
      <c r="J30" s="11"/>
      <c r="K30" s="11"/>
    </row>
    <row r="31" spans="1:11" x14ac:dyDescent="0.25">
      <c r="A31" s="13"/>
      <c r="B31" s="4"/>
      <c r="C31" s="32">
        <v>2</v>
      </c>
      <c r="D31" s="76">
        <v>15</v>
      </c>
      <c r="E31" s="76">
        <v>0.83</v>
      </c>
      <c r="F31" s="76">
        <v>11</v>
      </c>
      <c r="G31" s="51">
        <f>PRODUCT(C31:F31)</f>
        <v>273.89999999999998</v>
      </c>
      <c r="H31" s="64"/>
      <c r="I31" s="24"/>
      <c r="J31" s="11"/>
      <c r="K31" s="11"/>
    </row>
    <row r="32" spans="1:11" x14ac:dyDescent="0.25">
      <c r="A32" s="15" t="s">
        <v>51</v>
      </c>
      <c r="B32" s="141" t="s">
        <v>153</v>
      </c>
      <c r="C32" s="142"/>
      <c r="D32" s="143"/>
      <c r="E32" s="143"/>
      <c r="F32" s="143"/>
      <c r="G32" s="50"/>
      <c r="H32" s="25"/>
      <c r="I32" s="24"/>
    </row>
    <row r="33" spans="1:11" x14ac:dyDescent="0.25">
      <c r="A33" s="13"/>
      <c r="B33" s="4"/>
      <c r="C33" s="32">
        <v>1</v>
      </c>
      <c r="D33" s="76">
        <f>20+0.83+0.83</f>
        <v>21.659999999999997</v>
      </c>
      <c r="E33" s="76">
        <f>15+0.83+0.83</f>
        <v>16.66</v>
      </c>
      <c r="F33" s="76">
        <v>0.67</v>
      </c>
      <c r="G33" s="51">
        <f>PRODUCT(C33:F33)</f>
        <v>241.77325199999996</v>
      </c>
      <c r="H33" s="64"/>
      <c r="I33" s="24"/>
      <c r="J33" s="11"/>
      <c r="K33" s="11"/>
    </row>
    <row r="34" spans="1:11" x14ac:dyDescent="0.25">
      <c r="A34" s="13"/>
      <c r="B34" s="4" t="s">
        <v>154</v>
      </c>
      <c r="C34" s="32">
        <v>-1</v>
      </c>
      <c r="D34" s="76">
        <v>2.5</v>
      </c>
      <c r="E34" s="76">
        <v>2.5</v>
      </c>
      <c r="F34" s="76">
        <v>0.67</v>
      </c>
      <c r="G34" s="51">
        <f>PRODUCT(C34:F34)</f>
        <v>-4.1875</v>
      </c>
      <c r="H34" s="64"/>
      <c r="I34" s="24"/>
      <c r="J34" s="11"/>
      <c r="K34" s="11"/>
    </row>
    <row r="35" spans="1:11" x14ac:dyDescent="0.25">
      <c r="A35" s="15" t="s">
        <v>52</v>
      </c>
      <c r="B35" s="141" t="s">
        <v>155</v>
      </c>
      <c r="C35" s="142"/>
      <c r="D35" s="143"/>
      <c r="E35" s="143"/>
      <c r="F35" s="143"/>
      <c r="G35" s="50"/>
      <c r="H35" s="25"/>
      <c r="I35" s="24"/>
    </row>
    <row r="36" spans="1:11" x14ac:dyDescent="0.25">
      <c r="A36" s="13"/>
      <c r="B36" s="4" t="s">
        <v>156</v>
      </c>
      <c r="C36" s="32">
        <v>1</v>
      </c>
      <c r="D36" s="76">
        <v>20</v>
      </c>
      <c r="E36" s="76">
        <v>1</v>
      </c>
      <c r="F36" s="76">
        <f>2.5-0.67</f>
        <v>1.83</v>
      </c>
      <c r="G36" s="51">
        <f>PRODUCT(C36:F36)</f>
        <v>36.6</v>
      </c>
      <c r="H36" s="64"/>
      <c r="I36" s="24"/>
      <c r="J36" s="11"/>
      <c r="K36" s="11"/>
    </row>
    <row r="37" spans="1:11" x14ac:dyDescent="0.25">
      <c r="A37" s="13"/>
      <c r="B37" s="4" t="s">
        <v>157</v>
      </c>
      <c r="C37" s="32">
        <v>2</v>
      </c>
      <c r="D37" s="76">
        <v>9.17</v>
      </c>
      <c r="E37" s="76">
        <v>1</v>
      </c>
      <c r="F37" s="76">
        <f>+F36</f>
        <v>1.83</v>
      </c>
      <c r="G37" s="51">
        <f>PRODUCT(C37:F37)</f>
        <v>33.562200000000004</v>
      </c>
      <c r="H37" s="64"/>
      <c r="I37" s="24"/>
      <c r="J37" s="11"/>
      <c r="K37" s="11"/>
    </row>
    <row r="38" spans="1:11" x14ac:dyDescent="0.25">
      <c r="A38" s="15" t="s">
        <v>58</v>
      </c>
      <c r="B38" s="141" t="s">
        <v>158</v>
      </c>
      <c r="C38" s="142"/>
      <c r="D38" s="143"/>
      <c r="E38" s="143"/>
      <c r="F38" s="143"/>
      <c r="G38" s="50"/>
      <c r="H38" s="25"/>
      <c r="I38" s="24"/>
    </row>
    <row r="39" spans="1:11" x14ac:dyDescent="0.25">
      <c r="A39" s="13"/>
      <c r="B39" s="4" t="s">
        <v>159</v>
      </c>
      <c r="C39" s="32">
        <v>2</v>
      </c>
      <c r="D39" s="76">
        <f>15-4</f>
        <v>11</v>
      </c>
      <c r="E39" s="76">
        <v>0.67</v>
      </c>
      <c r="F39" s="76">
        <f>1.5-0.42</f>
        <v>1.08</v>
      </c>
      <c r="G39" s="51">
        <f>PRODUCT(C39:F39)</f>
        <v>15.919200000000002</v>
      </c>
      <c r="H39" s="64"/>
      <c r="I39" s="24"/>
      <c r="J39" s="11"/>
      <c r="K39" s="11"/>
    </row>
    <row r="40" spans="1:11" x14ac:dyDescent="0.25">
      <c r="A40" s="13"/>
      <c r="B40" s="4" t="s">
        <v>160</v>
      </c>
      <c r="C40" s="32">
        <v>2</v>
      </c>
      <c r="D40" s="76">
        <f>13-4-0.67-0.67</f>
        <v>7.66</v>
      </c>
      <c r="E40" s="76">
        <v>0.75</v>
      </c>
      <c r="F40" s="76">
        <f>1.5-0.42</f>
        <v>1.08</v>
      </c>
      <c r="G40" s="51">
        <f>PRODUCT(C40:F40)</f>
        <v>12.4092</v>
      </c>
      <c r="H40" s="64"/>
      <c r="I40" s="24"/>
      <c r="J40" s="11"/>
      <c r="K40" s="11"/>
    </row>
    <row r="41" spans="1:11" x14ac:dyDescent="0.25">
      <c r="A41" s="15" t="s">
        <v>161</v>
      </c>
      <c r="B41" s="141" t="s">
        <v>162</v>
      </c>
      <c r="C41" s="142"/>
      <c r="D41" s="143"/>
      <c r="E41" s="143"/>
      <c r="F41" s="143"/>
      <c r="G41" s="50"/>
      <c r="H41" s="25"/>
      <c r="I41" s="24"/>
    </row>
    <row r="42" spans="1:11" x14ac:dyDescent="0.25">
      <c r="A42" s="13"/>
      <c r="B42" s="4"/>
      <c r="C42" s="32">
        <v>4</v>
      </c>
      <c r="D42" s="76">
        <v>1.5</v>
      </c>
      <c r="E42" s="76">
        <v>0.67</v>
      </c>
      <c r="F42" s="76">
        <v>8</v>
      </c>
      <c r="G42" s="51">
        <f>PRODUCT(C42:F42)</f>
        <v>32.160000000000004</v>
      </c>
      <c r="H42" s="64"/>
      <c r="I42" s="24"/>
      <c r="J42" s="11"/>
      <c r="K42" s="11"/>
    </row>
    <row r="43" spans="1:11" x14ac:dyDescent="0.25">
      <c r="A43" s="15" t="s">
        <v>163</v>
      </c>
      <c r="B43" s="141" t="s">
        <v>164</v>
      </c>
      <c r="C43" s="142"/>
      <c r="D43" s="143"/>
      <c r="E43" s="143"/>
      <c r="F43" s="143"/>
      <c r="G43" s="50"/>
      <c r="H43" s="25"/>
      <c r="I43" s="24"/>
    </row>
    <row r="44" spans="1:11" x14ac:dyDescent="0.25">
      <c r="A44" s="13"/>
      <c r="B44" s="4"/>
      <c r="C44" s="32">
        <v>1</v>
      </c>
      <c r="D44" s="76">
        <v>15</v>
      </c>
      <c r="E44" s="76">
        <v>13</v>
      </c>
      <c r="F44" s="76">
        <v>0.42</v>
      </c>
      <c r="G44" s="51">
        <f>PRODUCT(C44:F44)</f>
        <v>81.899999999999991</v>
      </c>
      <c r="H44" s="64"/>
      <c r="I44" s="24"/>
      <c r="J44" s="11"/>
      <c r="K44" s="11"/>
    </row>
    <row r="45" spans="1:11" x14ac:dyDescent="0.25">
      <c r="A45" s="13"/>
      <c r="B45" s="4"/>
      <c r="C45" s="32"/>
      <c r="D45" s="76"/>
      <c r="E45" s="144"/>
      <c r="F45" s="145"/>
      <c r="G45" s="51"/>
      <c r="H45" s="64"/>
      <c r="I45" s="24"/>
      <c r="J45" s="11"/>
      <c r="K45" s="11"/>
    </row>
    <row r="46" spans="1:11" ht="15" customHeight="1" x14ac:dyDescent="0.25">
      <c r="A46" s="13"/>
      <c r="B46" s="10"/>
      <c r="C46" s="779" t="s">
        <v>29</v>
      </c>
      <c r="D46" s="779"/>
      <c r="E46" s="779"/>
      <c r="F46" s="779"/>
      <c r="G46" s="53">
        <f>SUM(G27:G45)</f>
        <v>1741.8333020000002</v>
      </c>
      <c r="H46" s="67">
        <f>ROUND(G46*1.001,0)</f>
        <v>1744</v>
      </c>
      <c r="I46" s="26" t="s">
        <v>11</v>
      </c>
    </row>
    <row r="47" spans="1:11" ht="42.75" x14ac:dyDescent="0.25">
      <c r="A47" s="57">
        <v>8</v>
      </c>
      <c r="B47" s="58" t="s">
        <v>35</v>
      </c>
      <c r="C47" s="40"/>
      <c r="D47" s="41"/>
      <c r="E47" s="41"/>
      <c r="F47" s="41"/>
      <c r="G47" s="55"/>
      <c r="H47" s="25"/>
      <c r="I47" s="24"/>
    </row>
    <row r="48" spans="1:11" x14ac:dyDescent="0.25">
      <c r="A48" s="15"/>
      <c r="B48" s="81" t="s">
        <v>165</v>
      </c>
      <c r="C48" s="42"/>
      <c r="D48" s="43"/>
      <c r="E48" s="43"/>
      <c r="F48" s="43"/>
      <c r="G48" s="50"/>
      <c r="H48" s="25"/>
      <c r="I48" s="24"/>
    </row>
    <row r="49" spans="1:11" x14ac:dyDescent="0.25">
      <c r="A49" s="13"/>
      <c r="B49" s="4" t="s">
        <v>166</v>
      </c>
      <c r="C49" s="32">
        <v>1</v>
      </c>
      <c r="D49" s="76">
        <f>(21.67+2+15+0.83+0.83+2)*2</f>
        <v>84.66</v>
      </c>
      <c r="E49" s="76">
        <f>1.25+1</f>
        <v>2.25</v>
      </c>
      <c r="F49" s="76" t="s">
        <v>19</v>
      </c>
      <c r="G49" s="51">
        <f>PRODUCT(C49:F49)</f>
        <v>190.48499999999999</v>
      </c>
      <c r="H49" s="64"/>
      <c r="I49" s="24"/>
      <c r="J49" s="11"/>
      <c r="K49" s="11"/>
    </row>
    <row r="50" spans="1:11" x14ac:dyDescent="0.25">
      <c r="A50" s="13"/>
      <c r="B50" s="4" t="s">
        <v>167</v>
      </c>
      <c r="C50" s="32">
        <v>1</v>
      </c>
      <c r="D50" s="76">
        <f>(21.67+15+0.83+0.83)*2</f>
        <v>76.66</v>
      </c>
      <c r="E50" s="76"/>
      <c r="F50" s="76">
        <v>11</v>
      </c>
      <c r="G50" s="51">
        <f>PRODUCT(C50:F50)</f>
        <v>843.26</v>
      </c>
      <c r="H50" s="64"/>
      <c r="I50" s="24"/>
      <c r="J50" s="11"/>
      <c r="K50" s="11"/>
    </row>
    <row r="51" spans="1:11" ht="15" customHeight="1" x14ac:dyDescent="0.25">
      <c r="A51" s="13"/>
      <c r="B51" s="10"/>
      <c r="C51" s="779" t="s">
        <v>29</v>
      </c>
      <c r="D51" s="779"/>
      <c r="E51" s="779"/>
      <c r="F51" s="779"/>
      <c r="G51" s="53">
        <f>SUM(G49:G50)</f>
        <v>1033.7449999999999</v>
      </c>
      <c r="H51" s="67">
        <f>ROUND(G51*1.001,0)</f>
        <v>1035</v>
      </c>
      <c r="I51" s="26" t="s">
        <v>10</v>
      </c>
    </row>
    <row r="52" spans="1:11" ht="42.75" x14ac:dyDescent="0.25">
      <c r="A52" s="57">
        <v>9</v>
      </c>
      <c r="B52" s="61" t="s">
        <v>9</v>
      </c>
      <c r="C52" s="30"/>
      <c r="D52" s="31"/>
      <c r="E52" s="31"/>
      <c r="F52" s="31"/>
      <c r="G52" s="50"/>
      <c r="H52" s="25"/>
      <c r="I52" s="24"/>
    </row>
    <row r="53" spans="1:11" x14ac:dyDescent="0.25">
      <c r="A53" s="13"/>
      <c r="B53" s="4"/>
      <c r="C53" s="32">
        <v>1</v>
      </c>
      <c r="D53" s="76">
        <f>+H46</f>
        <v>1744</v>
      </c>
      <c r="E53" s="76">
        <v>4</v>
      </c>
      <c r="F53" s="76" t="s">
        <v>31</v>
      </c>
      <c r="G53" s="51">
        <f>ROUND(PRODUCT(C53:F53),)</f>
        <v>6976</v>
      </c>
      <c r="H53" s="64"/>
      <c r="I53" s="24"/>
    </row>
    <row r="54" spans="1:11" ht="15" customHeight="1" x14ac:dyDescent="0.25">
      <c r="A54" s="13"/>
      <c r="B54" s="10"/>
      <c r="C54" s="779" t="s">
        <v>29</v>
      </c>
      <c r="D54" s="779"/>
      <c r="E54" s="779"/>
      <c r="F54" s="779"/>
      <c r="G54" s="53">
        <f>SUM(G53)</f>
        <v>6976</v>
      </c>
      <c r="H54" s="67">
        <f>ROUND(G54*1.001,0)</f>
        <v>6983</v>
      </c>
      <c r="I54" s="26" t="s">
        <v>12</v>
      </c>
    </row>
    <row r="55" spans="1:11" x14ac:dyDescent="0.25">
      <c r="A55" s="85"/>
      <c r="B55" s="86" t="s">
        <v>65</v>
      </c>
      <c r="C55" s="87"/>
      <c r="D55" s="88"/>
      <c r="E55" s="88"/>
      <c r="F55" s="88"/>
      <c r="G55" s="89"/>
      <c r="H55" s="90"/>
      <c r="I55" s="91"/>
    </row>
    <row r="56" spans="1:11" ht="42.75" x14ac:dyDescent="0.25">
      <c r="A56" s="57">
        <v>10</v>
      </c>
      <c r="B56" s="58" t="s">
        <v>66</v>
      </c>
      <c r="C56" s="38"/>
      <c r="D56" s="39"/>
      <c r="E56" s="39"/>
      <c r="F56" s="39"/>
      <c r="G56" s="54"/>
      <c r="H56" s="25"/>
      <c r="I56" s="24"/>
    </row>
    <row r="57" spans="1:11" x14ac:dyDescent="0.25">
      <c r="A57" s="92" t="s">
        <v>4</v>
      </c>
      <c r="B57" s="81" t="s">
        <v>168</v>
      </c>
      <c r="C57" s="93"/>
      <c r="D57" s="94"/>
      <c r="E57" s="94"/>
      <c r="F57" s="94"/>
      <c r="G57" s="95"/>
      <c r="H57" s="96"/>
      <c r="I57" s="97"/>
    </row>
    <row r="58" spans="1:11" x14ac:dyDescent="0.25">
      <c r="A58" s="98"/>
      <c r="B58" s="99" t="s">
        <v>168</v>
      </c>
      <c r="C58" s="100"/>
      <c r="D58" s="101"/>
      <c r="E58" s="101"/>
      <c r="F58" s="101"/>
      <c r="G58" s="102"/>
      <c r="H58" s="103"/>
      <c r="I58" s="104"/>
    </row>
    <row r="59" spans="1:11" x14ac:dyDescent="0.25">
      <c r="A59" s="98"/>
      <c r="B59" s="105" t="s">
        <v>68</v>
      </c>
      <c r="C59" s="106">
        <v>1</v>
      </c>
      <c r="D59" s="107">
        <f>15-4-0.67-0.67</f>
        <v>9.66</v>
      </c>
      <c r="E59" s="107">
        <v>0.67</v>
      </c>
      <c r="F59" s="107">
        <f>10-1.5</f>
        <v>8.5</v>
      </c>
      <c r="G59" s="51">
        <f t="shared" ref="G59:G61" si="0">PRODUCT(C59:F59)</f>
        <v>55.013700000000007</v>
      </c>
      <c r="H59" s="108"/>
      <c r="I59" s="109"/>
    </row>
    <row r="60" spans="1:11" x14ac:dyDescent="0.25">
      <c r="A60" s="98"/>
      <c r="B60" s="105" t="s">
        <v>68</v>
      </c>
      <c r="C60" s="106">
        <v>1</v>
      </c>
      <c r="D60" s="107">
        <f>15-4-3</f>
        <v>8</v>
      </c>
      <c r="E60" s="107">
        <v>0.67</v>
      </c>
      <c r="F60" s="107">
        <f>10-1.5</f>
        <v>8.5</v>
      </c>
      <c r="G60" s="51">
        <f t="shared" si="0"/>
        <v>45.56</v>
      </c>
      <c r="H60" s="108"/>
      <c r="I60" s="109"/>
    </row>
    <row r="61" spans="1:11" x14ac:dyDescent="0.25">
      <c r="A61" s="98"/>
      <c r="B61" s="105" t="s">
        <v>69</v>
      </c>
      <c r="C61" s="106">
        <v>2</v>
      </c>
      <c r="D61" s="107">
        <f>13-4-1.5-0.67</f>
        <v>6.83</v>
      </c>
      <c r="E61" s="107">
        <v>0.67</v>
      </c>
      <c r="F61" s="107">
        <f>10-1.5</f>
        <v>8.5</v>
      </c>
      <c r="G61" s="51">
        <f t="shared" si="0"/>
        <v>77.793700000000001</v>
      </c>
      <c r="H61" s="108"/>
      <c r="I61" s="109"/>
    </row>
    <row r="62" spans="1:11" x14ac:dyDescent="0.25">
      <c r="A62" s="98"/>
      <c r="B62" s="99" t="s">
        <v>169</v>
      </c>
      <c r="C62" s="100"/>
      <c r="D62" s="101"/>
      <c r="E62" s="101"/>
      <c r="F62" s="101"/>
      <c r="G62" s="102"/>
      <c r="H62" s="103"/>
      <c r="I62" s="104"/>
    </row>
    <row r="63" spans="1:11" x14ac:dyDescent="0.25">
      <c r="A63" s="98"/>
      <c r="B63" s="105"/>
      <c r="C63" s="106">
        <v>-1</v>
      </c>
      <c r="D63" s="107">
        <v>2.5</v>
      </c>
      <c r="E63" s="107">
        <v>0.67</v>
      </c>
      <c r="F63" s="107">
        <v>7</v>
      </c>
      <c r="G63" s="51">
        <f t="shared" ref="G63:G64" si="1">PRODUCT(C63:F63)</f>
        <v>-11.725</v>
      </c>
      <c r="H63" s="108"/>
      <c r="I63" s="109"/>
    </row>
    <row r="64" spans="1:11" x14ac:dyDescent="0.25">
      <c r="A64" s="98"/>
      <c r="B64" s="105"/>
      <c r="C64" s="106">
        <v>-2</v>
      </c>
      <c r="D64" s="107">
        <v>4</v>
      </c>
      <c r="E64" s="107">
        <v>0.67</v>
      </c>
      <c r="F64" s="107">
        <v>3</v>
      </c>
      <c r="G64" s="51">
        <f t="shared" si="1"/>
        <v>-16.080000000000002</v>
      </c>
      <c r="H64" s="108"/>
      <c r="I64" s="109"/>
    </row>
    <row r="65" spans="1:9" ht="15" customHeight="1" x14ac:dyDescent="0.25">
      <c r="A65" s="82"/>
      <c r="B65" s="83"/>
      <c r="C65" s="779" t="s">
        <v>29</v>
      </c>
      <c r="D65" s="779"/>
      <c r="E65" s="779"/>
      <c r="F65" s="779"/>
      <c r="G65" s="53">
        <f>SUM(G59:G64)</f>
        <v>150.5624</v>
      </c>
      <c r="H65" s="67">
        <f>ROUND(G65*1.001,0)</f>
        <v>151</v>
      </c>
      <c r="I65" s="26" t="s">
        <v>11</v>
      </c>
    </row>
    <row r="66" spans="1:9" ht="28.5" x14ac:dyDescent="0.25">
      <c r="A66" s="57">
        <v>11</v>
      </c>
      <c r="B66" s="58" t="s">
        <v>73</v>
      </c>
      <c r="C66" s="38"/>
      <c r="D66" s="39"/>
      <c r="E66" s="39"/>
      <c r="F66" s="39"/>
      <c r="G66" s="54"/>
      <c r="H66" s="25"/>
      <c r="I66" s="24"/>
    </row>
    <row r="67" spans="1:9" x14ac:dyDescent="0.25">
      <c r="A67" s="92" t="s">
        <v>4</v>
      </c>
      <c r="B67" s="81" t="s">
        <v>170</v>
      </c>
      <c r="C67" s="115"/>
      <c r="D67" s="116"/>
      <c r="E67" s="116"/>
      <c r="F67" s="116"/>
      <c r="G67" s="117"/>
      <c r="H67" s="112"/>
      <c r="I67" s="109"/>
    </row>
    <row r="68" spans="1:9" x14ac:dyDescent="0.25">
      <c r="A68" s="98"/>
      <c r="B68" s="99" t="s">
        <v>170</v>
      </c>
      <c r="C68" s="100"/>
      <c r="D68" s="101"/>
      <c r="E68" s="101"/>
      <c r="F68" s="101"/>
      <c r="G68" s="102"/>
      <c r="H68" s="103"/>
      <c r="I68" s="104"/>
    </row>
    <row r="69" spans="1:9" x14ac:dyDescent="0.25">
      <c r="A69" s="98"/>
      <c r="B69" s="105" t="s">
        <v>75</v>
      </c>
      <c r="C69" s="106">
        <v>1</v>
      </c>
      <c r="D69" s="107">
        <v>20</v>
      </c>
      <c r="E69" s="107">
        <v>15</v>
      </c>
      <c r="F69" s="107"/>
      <c r="G69" s="51">
        <f t="shared" ref="G69:G71" si="2">PRODUCT(C69:F69)</f>
        <v>300</v>
      </c>
      <c r="H69" s="108"/>
      <c r="I69" s="109"/>
    </row>
    <row r="70" spans="1:9" x14ac:dyDescent="0.25">
      <c r="A70" s="98"/>
      <c r="B70" s="105" t="s">
        <v>171</v>
      </c>
      <c r="C70" s="106">
        <v>2</v>
      </c>
      <c r="D70" s="107">
        <f>+D69</f>
        <v>20</v>
      </c>
      <c r="E70" s="107"/>
      <c r="F70" s="107">
        <f>12.92-0.67</f>
        <v>12.25</v>
      </c>
      <c r="G70" s="51">
        <f t="shared" si="2"/>
        <v>490</v>
      </c>
      <c r="H70" s="108"/>
      <c r="I70" s="109"/>
    </row>
    <row r="71" spans="1:9" x14ac:dyDescent="0.25">
      <c r="A71" s="98"/>
      <c r="B71" s="105" t="s">
        <v>171</v>
      </c>
      <c r="C71" s="106">
        <v>2</v>
      </c>
      <c r="D71" s="107">
        <f>+E69</f>
        <v>15</v>
      </c>
      <c r="E71" s="107"/>
      <c r="F71" s="107">
        <f>12.92-0.67</f>
        <v>12.25</v>
      </c>
      <c r="G71" s="51">
        <f t="shared" si="2"/>
        <v>367.5</v>
      </c>
      <c r="H71" s="108"/>
      <c r="I71" s="109"/>
    </row>
    <row r="72" spans="1:9" x14ac:dyDescent="0.25">
      <c r="A72" s="98"/>
      <c r="B72" s="99" t="s">
        <v>168</v>
      </c>
      <c r="C72" s="100" t="s">
        <v>146</v>
      </c>
      <c r="D72" s="101"/>
      <c r="E72" s="101"/>
      <c r="F72" s="101"/>
      <c r="G72" s="102"/>
      <c r="H72" s="103"/>
      <c r="I72" s="104"/>
    </row>
    <row r="73" spans="1:9" x14ac:dyDescent="0.25">
      <c r="A73" s="98"/>
      <c r="B73" s="105" t="s">
        <v>172</v>
      </c>
      <c r="C73" s="106">
        <v>1</v>
      </c>
      <c r="D73" s="107">
        <v>9.67</v>
      </c>
      <c r="E73" s="107">
        <v>7.58</v>
      </c>
      <c r="F73" s="107"/>
      <c r="G73" s="51">
        <f>+C73*D73*E73</f>
        <v>73.298599999999993</v>
      </c>
      <c r="H73" s="108"/>
      <c r="I73" s="109"/>
    </row>
    <row r="74" spans="1:9" x14ac:dyDescent="0.25">
      <c r="A74" s="98"/>
      <c r="B74" s="105" t="s">
        <v>171</v>
      </c>
      <c r="C74" s="106">
        <v>2</v>
      </c>
      <c r="D74" s="107">
        <f>+D73</f>
        <v>9.67</v>
      </c>
      <c r="E74" s="107"/>
      <c r="F74" s="107">
        <v>10</v>
      </c>
      <c r="G74" s="51">
        <f t="shared" ref="G74:G75" si="3">PRODUCT(C74:F74)</f>
        <v>193.4</v>
      </c>
      <c r="H74" s="108"/>
      <c r="I74" s="109"/>
    </row>
    <row r="75" spans="1:9" x14ac:dyDescent="0.25">
      <c r="A75" s="98"/>
      <c r="B75" s="105" t="s">
        <v>171</v>
      </c>
      <c r="C75" s="106">
        <v>2</v>
      </c>
      <c r="D75" s="107">
        <f>+E73</f>
        <v>7.58</v>
      </c>
      <c r="E75" s="107"/>
      <c r="F75" s="107">
        <v>10</v>
      </c>
      <c r="G75" s="51">
        <f t="shared" si="3"/>
        <v>151.6</v>
      </c>
      <c r="H75" s="108"/>
      <c r="I75" s="109"/>
    </row>
    <row r="76" spans="1:9" x14ac:dyDescent="0.25">
      <c r="A76" s="98"/>
      <c r="B76" s="99" t="s">
        <v>169</v>
      </c>
      <c r="C76" s="100"/>
      <c r="D76" s="101"/>
      <c r="E76" s="101"/>
      <c r="F76" s="101"/>
      <c r="G76" s="102"/>
      <c r="H76" s="103"/>
      <c r="I76" s="104"/>
    </row>
    <row r="77" spans="1:9" x14ac:dyDescent="0.25">
      <c r="A77" s="98"/>
      <c r="B77" s="105"/>
      <c r="C77" s="106">
        <v>-1</v>
      </c>
      <c r="D77" s="107">
        <v>2.5</v>
      </c>
      <c r="E77" s="107"/>
      <c r="F77" s="107">
        <v>7</v>
      </c>
      <c r="G77" s="51">
        <f>PRODUCT(C77:F77)</f>
        <v>-17.5</v>
      </c>
      <c r="H77" s="108"/>
      <c r="I77" s="109"/>
    </row>
    <row r="78" spans="1:9" x14ac:dyDescent="0.25">
      <c r="A78" s="98"/>
      <c r="B78" s="105"/>
      <c r="C78" s="106">
        <v>-2</v>
      </c>
      <c r="D78" s="107">
        <v>4</v>
      </c>
      <c r="E78" s="107"/>
      <c r="F78" s="107">
        <v>3</v>
      </c>
      <c r="G78" s="51">
        <f>PRODUCT(C78:F78)</f>
        <v>-24</v>
      </c>
      <c r="H78" s="108"/>
      <c r="I78" s="109"/>
    </row>
    <row r="79" spans="1:9" ht="15" customHeight="1" x14ac:dyDescent="0.25">
      <c r="A79" s="82"/>
      <c r="B79" s="83"/>
      <c r="C79" s="780" t="s">
        <v>29</v>
      </c>
      <c r="D79" s="781"/>
      <c r="E79" s="781"/>
      <c r="F79" s="782"/>
      <c r="G79" s="53">
        <f>SUM(G69:G78)</f>
        <v>1534.2986000000001</v>
      </c>
      <c r="H79" s="67">
        <f>ROUND(G79*1.001,0)</f>
        <v>1536</v>
      </c>
      <c r="I79" s="26" t="s">
        <v>10</v>
      </c>
    </row>
    <row r="80" spans="1:9" ht="28.5" x14ac:dyDescent="0.25">
      <c r="A80" s="57">
        <v>12</v>
      </c>
      <c r="B80" s="58" t="s">
        <v>77</v>
      </c>
      <c r="C80" s="38"/>
      <c r="D80" s="39"/>
      <c r="E80" s="39"/>
      <c r="F80" s="39"/>
      <c r="G80" s="54"/>
      <c r="H80" s="25"/>
      <c r="I80" s="24"/>
    </row>
    <row r="81" spans="1:9" x14ac:dyDescent="0.25">
      <c r="A81" s="98"/>
      <c r="B81" s="81" t="s">
        <v>78</v>
      </c>
      <c r="C81" s="115"/>
      <c r="D81" s="116"/>
      <c r="E81" s="116"/>
      <c r="F81" s="116"/>
      <c r="G81" s="117"/>
      <c r="H81" s="112"/>
      <c r="I81" s="109"/>
    </row>
    <row r="82" spans="1:9" x14ac:dyDescent="0.25">
      <c r="A82" s="98"/>
      <c r="B82" s="99" t="s">
        <v>168</v>
      </c>
      <c r="C82" s="100"/>
      <c r="D82" s="101"/>
      <c r="E82" s="101"/>
      <c r="F82" s="101"/>
      <c r="G82" s="102"/>
      <c r="H82" s="103"/>
      <c r="I82" s="104"/>
    </row>
    <row r="83" spans="1:9" x14ac:dyDescent="0.25">
      <c r="A83" s="98"/>
      <c r="B83" s="105"/>
      <c r="C83" s="106">
        <v>2</v>
      </c>
      <c r="D83" s="107">
        <f>15-4</f>
        <v>11</v>
      </c>
      <c r="E83" s="107"/>
      <c r="F83" s="107">
        <v>10</v>
      </c>
      <c r="G83" s="51">
        <f t="shared" ref="G83:G84" si="4">PRODUCT(C83:F83)</f>
        <v>220</v>
      </c>
      <c r="H83" s="108"/>
      <c r="I83" s="109"/>
    </row>
    <row r="84" spans="1:9" x14ac:dyDescent="0.25">
      <c r="A84" s="98"/>
      <c r="B84" s="105"/>
      <c r="C84" s="106">
        <v>2</v>
      </c>
      <c r="D84" s="107">
        <f>13-4</f>
        <v>9</v>
      </c>
      <c r="E84" s="107"/>
      <c r="F84" s="107">
        <v>10</v>
      </c>
      <c r="G84" s="51">
        <f t="shared" si="4"/>
        <v>180</v>
      </c>
      <c r="H84" s="108"/>
      <c r="I84" s="109"/>
    </row>
    <row r="85" spans="1:9" x14ac:dyDescent="0.25">
      <c r="A85" s="98"/>
      <c r="B85" s="105" t="s">
        <v>173</v>
      </c>
      <c r="C85" s="106">
        <v>1</v>
      </c>
      <c r="D85" s="107">
        <f>(15+13)*2</f>
        <v>56</v>
      </c>
      <c r="E85" s="107"/>
      <c r="F85" s="107">
        <f>2+0.42</f>
        <v>2.42</v>
      </c>
      <c r="G85" s="51">
        <f>PRODUCT(C85:F85)</f>
        <v>135.51999999999998</v>
      </c>
      <c r="H85" s="108"/>
      <c r="I85" s="109"/>
    </row>
    <row r="86" spans="1:9" x14ac:dyDescent="0.25">
      <c r="A86" s="98"/>
      <c r="B86" s="99" t="s">
        <v>169</v>
      </c>
      <c r="C86" s="100"/>
      <c r="D86" s="101"/>
      <c r="E86" s="101"/>
      <c r="F86" s="101"/>
      <c r="G86" s="102"/>
      <c r="H86" s="103"/>
      <c r="I86" s="104"/>
    </row>
    <row r="87" spans="1:9" x14ac:dyDescent="0.25">
      <c r="A87" s="98"/>
      <c r="B87" s="105"/>
      <c r="C87" s="106">
        <v>-1</v>
      </c>
      <c r="D87" s="107">
        <v>2.5</v>
      </c>
      <c r="E87" s="107"/>
      <c r="F87" s="107">
        <v>7</v>
      </c>
      <c r="G87" s="51">
        <f>PRODUCT(C87:F87)</f>
        <v>-17.5</v>
      </c>
      <c r="H87" s="108"/>
      <c r="I87" s="109"/>
    </row>
    <row r="88" spans="1:9" x14ac:dyDescent="0.25">
      <c r="A88" s="98"/>
      <c r="B88" s="105"/>
      <c r="C88" s="106">
        <v>-2</v>
      </c>
      <c r="D88" s="107">
        <v>4</v>
      </c>
      <c r="E88" s="107"/>
      <c r="F88" s="107">
        <v>3</v>
      </c>
      <c r="G88" s="51">
        <f>PRODUCT(C88:F88)</f>
        <v>-24</v>
      </c>
      <c r="H88" s="108"/>
      <c r="I88" s="109"/>
    </row>
    <row r="89" spans="1:9" ht="15" customHeight="1" x14ac:dyDescent="0.25">
      <c r="A89" s="13"/>
      <c r="B89" s="10"/>
      <c r="C89" s="779" t="s">
        <v>29</v>
      </c>
      <c r="D89" s="779"/>
      <c r="E89" s="779"/>
      <c r="F89" s="779"/>
      <c r="G89" s="53">
        <f>SUM(G83:G88)</f>
        <v>494.02</v>
      </c>
      <c r="H89" s="67">
        <f>ROUND(G89*1.001,0)</f>
        <v>495</v>
      </c>
      <c r="I89" s="26" t="s">
        <v>10</v>
      </c>
    </row>
    <row r="90" spans="1:9" ht="71.25" x14ac:dyDescent="0.25">
      <c r="A90" s="57">
        <v>13</v>
      </c>
      <c r="B90" s="58" t="s">
        <v>79</v>
      </c>
      <c r="C90" s="38"/>
      <c r="D90" s="39"/>
      <c r="E90" s="39"/>
      <c r="F90" s="39"/>
      <c r="G90" s="120"/>
      <c r="H90" s="112"/>
      <c r="I90" s="121"/>
    </row>
    <row r="91" spans="1:9" x14ac:dyDescent="0.25">
      <c r="A91" s="98"/>
      <c r="B91" s="99" t="s">
        <v>168</v>
      </c>
      <c r="C91" s="100"/>
      <c r="D91" s="101"/>
      <c r="E91" s="101"/>
      <c r="F91" s="101"/>
      <c r="G91" s="102"/>
      <c r="H91" s="103"/>
      <c r="I91" s="104"/>
    </row>
    <row r="92" spans="1:9" x14ac:dyDescent="0.25">
      <c r="A92" s="98"/>
      <c r="B92" s="105" t="s">
        <v>172</v>
      </c>
      <c r="C92" s="106">
        <v>1</v>
      </c>
      <c r="D92" s="107">
        <f>+D73</f>
        <v>9.67</v>
      </c>
      <c r="E92" s="107">
        <f>+E73</f>
        <v>7.58</v>
      </c>
      <c r="F92" s="107"/>
      <c r="G92" s="51">
        <f>+C92*D92*E92</f>
        <v>73.298599999999993</v>
      </c>
      <c r="H92" s="108"/>
      <c r="I92" s="109"/>
    </row>
    <row r="93" spans="1:9" ht="15" customHeight="1" x14ac:dyDescent="0.25">
      <c r="A93" s="82"/>
      <c r="B93" s="83"/>
      <c r="C93" s="780" t="s">
        <v>29</v>
      </c>
      <c r="D93" s="781"/>
      <c r="E93" s="781"/>
      <c r="F93" s="782"/>
      <c r="G93" s="53">
        <f>SUM(G92)</f>
        <v>73.298599999999993</v>
      </c>
      <c r="H93" s="67">
        <f>ROUND(G93*1.001,0)</f>
        <v>73</v>
      </c>
      <c r="I93" s="26" t="s">
        <v>10</v>
      </c>
    </row>
    <row r="94" spans="1:9" ht="57" x14ac:dyDescent="0.25">
      <c r="A94" s="57">
        <v>14</v>
      </c>
      <c r="B94" s="58" t="s">
        <v>81</v>
      </c>
      <c r="C94" s="38"/>
      <c r="D94" s="39"/>
      <c r="E94" s="39"/>
      <c r="F94" s="39"/>
      <c r="G94" s="120"/>
      <c r="H94" s="112"/>
      <c r="I94" s="121"/>
    </row>
    <row r="95" spans="1:9" x14ac:dyDescent="0.25">
      <c r="A95" s="98"/>
      <c r="B95" s="99" t="s">
        <v>168</v>
      </c>
      <c r="C95" s="100" t="s">
        <v>146</v>
      </c>
      <c r="D95" s="101"/>
      <c r="E95" s="101"/>
      <c r="F95" s="101"/>
      <c r="G95" s="102"/>
      <c r="H95" s="103"/>
      <c r="I95" s="104"/>
    </row>
    <row r="96" spans="1:9" x14ac:dyDescent="0.25">
      <c r="A96" s="98"/>
      <c r="B96" s="105" t="s">
        <v>171</v>
      </c>
      <c r="C96" s="106">
        <v>2</v>
      </c>
      <c r="D96" s="107">
        <v>9.67</v>
      </c>
      <c r="E96" s="107"/>
      <c r="F96" s="107">
        <v>10</v>
      </c>
      <c r="G96" s="51">
        <f t="shared" ref="G96:G97" si="5">PRODUCT(C96:F96)</f>
        <v>193.4</v>
      </c>
      <c r="H96" s="108"/>
      <c r="I96" s="109"/>
    </row>
    <row r="97" spans="1:9" x14ac:dyDescent="0.25">
      <c r="A97" s="98"/>
      <c r="B97" s="105" t="s">
        <v>171</v>
      </c>
      <c r="C97" s="106">
        <v>2</v>
      </c>
      <c r="D97" s="107">
        <v>7.58</v>
      </c>
      <c r="E97" s="107"/>
      <c r="F97" s="107">
        <v>10</v>
      </c>
      <c r="G97" s="51">
        <f t="shared" si="5"/>
        <v>151.6</v>
      </c>
      <c r="H97" s="108"/>
      <c r="I97" s="109"/>
    </row>
    <row r="98" spans="1:9" x14ac:dyDescent="0.25">
      <c r="A98" s="98"/>
      <c r="B98" s="99" t="s">
        <v>169</v>
      </c>
      <c r="C98" s="100"/>
      <c r="D98" s="101"/>
      <c r="E98" s="101"/>
      <c r="F98" s="101"/>
      <c r="G98" s="102"/>
      <c r="H98" s="103"/>
      <c r="I98" s="104"/>
    </row>
    <row r="99" spans="1:9" x14ac:dyDescent="0.25">
      <c r="A99" s="98"/>
      <c r="B99" s="105"/>
      <c r="C99" s="106">
        <v>-1</v>
      </c>
      <c r="D99" s="107">
        <v>2.5</v>
      </c>
      <c r="E99" s="107"/>
      <c r="F99" s="107">
        <v>7</v>
      </c>
      <c r="G99" s="51">
        <f>PRODUCT(C99:F99)</f>
        <v>-17.5</v>
      </c>
      <c r="H99" s="108"/>
      <c r="I99" s="109"/>
    </row>
    <row r="100" spans="1:9" x14ac:dyDescent="0.25">
      <c r="A100" s="98"/>
      <c r="B100" s="105"/>
      <c r="C100" s="106">
        <v>-2</v>
      </c>
      <c r="D100" s="107">
        <v>4</v>
      </c>
      <c r="E100" s="107"/>
      <c r="F100" s="107">
        <v>3</v>
      </c>
      <c r="G100" s="51">
        <f>PRODUCT(C100:F100)</f>
        <v>-24</v>
      </c>
      <c r="H100" s="108"/>
      <c r="I100" s="109"/>
    </row>
    <row r="101" spans="1:9" ht="15" customHeight="1" x14ac:dyDescent="0.25">
      <c r="A101" s="82"/>
      <c r="B101" s="83"/>
      <c r="C101" s="780" t="s">
        <v>29</v>
      </c>
      <c r="D101" s="781"/>
      <c r="E101" s="781"/>
      <c r="F101" s="782"/>
      <c r="G101" s="53">
        <f>SUM(G92:G100)</f>
        <v>450.09720000000004</v>
      </c>
      <c r="H101" s="67">
        <f>ROUND(G101*1.001,0)</f>
        <v>451</v>
      </c>
      <c r="I101" s="26" t="s">
        <v>10</v>
      </c>
    </row>
    <row r="102" spans="1:9" ht="71.25" x14ac:dyDescent="0.25">
      <c r="A102" s="57">
        <v>15</v>
      </c>
      <c r="B102" s="58" t="s">
        <v>82</v>
      </c>
      <c r="C102" s="38"/>
      <c r="D102" s="39"/>
      <c r="E102" s="39"/>
      <c r="F102" s="39"/>
      <c r="G102" s="54"/>
      <c r="H102" s="25"/>
      <c r="I102" s="24"/>
    </row>
    <row r="103" spans="1:9" x14ac:dyDescent="0.25">
      <c r="A103" s="98"/>
      <c r="B103" s="99" t="s">
        <v>168</v>
      </c>
      <c r="C103" s="100"/>
      <c r="D103" s="101"/>
      <c r="E103" s="101"/>
      <c r="F103" s="101"/>
      <c r="G103" s="102"/>
      <c r="H103" s="103"/>
      <c r="I103" s="104"/>
    </row>
    <row r="104" spans="1:9" x14ac:dyDescent="0.25">
      <c r="A104" s="98"/>
      <c r="B104" s="105"/>
      <c r="C104" s="106">
        <v>2</v>
      </c>
      <c r="D104" s="107">
        <f>15-4</f>
        <v>11</v>
      </c>
      <c r="E104" s="107"/>
      <c r="F104" s="107">
        <v>10</v>
      </c>
      <c r="G104" s="51">
        <f t="shared" ref="G104:G105" si="6">PRODUCT(C104:F104)</f>
        <v>220</v>
      </c>
      <c r="H104" s="108"/>
      <c r="I104" s="109"/>
    </row>
    <row r="105" spans="1:9" x14ac:dyDescent="0.25">
      <c r="A105" s="98"/>
      <c r="B105" s="105"/>
      <c r="C105" s="106">
        <v>2</v>
      </c>
      <c r="D105" s="107">
        <f>13-4</f>
        <v>9</v>
      </c>
      <c r="E105" s="107"/>
      <c r="F105" s="107">
        <v>10</v>
      </c>
      <c r="G105" s="51">
        <f t="shared" si="6"/>
        <v>180</v>
      </c>
      <c r="H105" s="108"/>
      <c r="I105" s="109"/>
    </row>
    <row r="106" spans="1:9" x14ac:dyDescent="0.25">
      <c r="A106" s="98"/>
      <c r="B106" s="105" t="s">
        <v>173</v>
      </c>
      <c r="C106" s="106">
        <v>1</v>
      </c>
      <c r="D106" s="107">
        <f>(15+13)*2</f>
        <v>56</v>
      </c>
      <c r="E106" s="107"/>
      <c r="F106" s="107">
        <f>2+0.42</f>
        <v>2.42</v>
      </c>
      <c r="G106" s="51">
        <f>PRODUCT(C106:F106)</f>
        <v>135.51999999999998</v>
      </c>
      <c r="H106" s="108"/>
      <c r="I106" s="109"/>
    </row>
    <row r="107" spans="1:9" x14ac:dyDescent="0.25">
      <c r="A107" s="98"/>
      <c r="B107" s="99" t="s">
        <v>169</v>
      </c>
      <c r="C107" s="100"/>
      <c r="D107" s="101"/>
      <c r="E107" s="101"/>
      <c r="F107" s="101"/>
      <c r="G107" s="102"/>
      <c r="H107" s="103"/>
      <c r="I107" s="104"/>
    </row>
    <row r="108" spans="1:9" x14ac:dyDescent="0.25">
      <c r="A108" s="98"/>
      <c r="B108" s="105"/>
      <c r="C108" s="106">
        <v>-1</v>
      </c>
      <c r="D108" s="107">
        <v>2.5</v>
      </c>
      <c r="E108" s="107"/>
      <c r="F108" s="107">
        <v>7</v>
      </c>
      <c r="G108" s="51">
        <f>PRODUCT(C108:F108)</f>
        <v>-17.5</v>
      </c>
      <c r="H108" s="108"/>
      <c r="I108" s="109"/>
    </row>
    <row r="109" spans="1:9" x14ac:dyDescent="0.25">
      <c r="A109" s="98"/>
      <c r="B109" s="105"/>
      <c r="C109" s="106">
        <v>-2</v>
      </c>
      <c r="D109" s="107">
        <v>4</v>
      </c>
      <c r="E109" s="107"/>
      <c r="F109" s="107">
        <v>3</v>
      </c>
      <c r="G109" s="51">
        <f>PRODUCT(C109:F109)</f>
        <v>-24</v>
      </c>
      <c r="H109" s="108"/>
      <c r="I109" s="109"/>
    </row>
    <row r="110" spans="1:9" x14ac:dyDescent="0.25">
      <c r="A110" s="57">
        <v>16</v>
      </c>
      <c r="B110" s="58" t="s">
        <v>174</v>
      </c>
      <c r="C110" s="38"/>
      <c r="D110" s="39"/>
      <c r="E110" s="39"/>
      <c r="F110" s="39"/>
      <c r="G110" s="54"/>
      <c r="H110" s="25"/>
      <c r="I110" s="24"/>
    </row>
    <row r="111" spans="1:9" x14ac:dyDescent="0.25">
      <c r="A111" s="92"/>
      <c r="B111" s="81" t="s">
        <v>168</v>
      </c>
      <c r="C111" s="115"/>
      <c r="D111" s="116"/>
      <c r="E111" s="116"/>
      <c r="F111" s="116"/>
      <c r="G111" s="117"/>
      <c r="H111" s="112"/>
      <c r="I111" s="109"/>
    </row>
    <row r="112" spans="1:9" x14ac:dyDescent="0.25">
      <c r="A112" s="98"/>
      <c r="B112" s="105"/>
      <c r="C112" s="115"/>
      <c r="D112" s="116"/>
      <c r="E112" s="116"/>
      <c r="F112" s="116"/>
      <c r="G112" s="117"/>
      <c r="H112" s="112"/>
      <c r="I112" s="109"/>
    </row>
    <row r="113" spans="1:9" x14ac:dyDescent="0.25">
      <c r="A113" s="98"/>
      <c r="B113" s="99" t="s">
        <v>168</v>
      </c>
      <c r="C113" s="100"/>
      <c r="D113" s="101"/>
      <c r="E113" s="101"/>
      <c r="F113" s="101"/>
      <c r="G113" s="102"/>
      <c r="H113" s="103"/>
      <c r="I113" s="104"/>
    </row>
    <row r="114" spans="1:9" x14ac:dyDescent="0.25">
      <c r="A114" s="98"/>
      <c r="B114" s="105"/>
      <c r="C114" s="106">
        <v>1</v>
      </c>
      <c r="D114" s="107">
        <f>+D92</f>
        <v>9.67</v>
      </c>
      <c r="E114" s="107">
        <f>+E92</f>
        <v>7.58</v>
      </c>
      <c r="F114" s="107"/>
      <c r="G114" s="51">
        <f>PRODUCT(C114:F114)</f>
        <v>73.298599999999993</v>
      </c>
      <c r="H114" s="108"/>
      <c r="I114" s="109"/>
    </row>
    <row r="115" spans="1:9" ht="15" customHeight="1" x14ac:dyDescent="0.25">
      <c r="A115" s="13"/>
      <c r="B115" s="10"/>
      <c r="C115" s="779" t="s">
        <v>29</v>
      </c>
      <c r="D115" s="779"/>
      <c r="E115" s="779"/>
      <c r="F115" s="779"/>
      <c r="G115" s="53">
        <f>SUM(G114)</f>
        <v>73.298599999999993</v>
      </c>
      <c r="H115" s="67">
        <f>ROUND(G115*1.001,0)</f>
        <v>73</v>
      </c>
      <c r="I115" s="26" t="s">
        <v>10</v>
      </c>
    </row>
    <row r="116" spans="1:9" x14ac:dyDescent="0.25">
      <c r="A116" s="57">
        <v>17</v>
      </c>
      <c r="B116" s="81" t="s">
        <v>175</v>
      </c>
      <c r="C116" s="110"/>
      <c r="D116" s="111"/>
      <c r="E116" s="111"/>
      <c r="F116" s="111"/>
      <c r="G116" s="113"/>
      <c r="H116" s="112"/>
      <c r="I116" s="109"/>
    </row>
    <row r="117" spans="1:9" x14ac:dyDescent="0.25">
      <c r="A117" s="98"/>
      <c r="B117" s="99"/>
      <c r="C117" s="100"/>
      <c r="D117" s="101"/>
      <c r="E117" s="101"/>
      <c r="F117" s="101"/>
      <c r="G117" s="102"/>
      <c r="H117" s="103"/>
      <c r="I117" s="104"/>
    </row>
    <row r="118" spans="1:9" x14ac:dyDescent="0.25">
      <c r="A118" s="98"/>
      <c r="B118" s="105"/>
      <c r="C118" s="106">
        <v>1</v>
      </c>
      <c r="D118" s="107">
        <f>20+15+20+15</f>
        <v>70</v>
      </c>
      <c r="E118" s="107"/>
      <c r="F118" s="107"/>
      <c r="G118" s="51">
        <f t="shared" ref="G118" si="7">PRODUCT(C118:F118)</f>
        <v>70</v>
      </c>
      <c r="H118" s="108"/>
      <c r="I118" s="109"/>
    </row>
    <row r="119" spans="1:9" ht="15" customHeight="1" x14ac:dyDescent="0.25">
      <c r="A119" s="13"/>
      <c r="B119" s="10"/>
      <c r="C119" s="779" t="s">
        <v>29</v>
      </c>
      <c r="D119" s="779"/>
      <c r="E119" s="779"/>
      <c r="F119" s="779"/>
      <c r="G119" s="53">
        <f>SUM(G118:G118)</f>
        <v>70</v>
      </c>
      <c r="H119" s="67">
        <f>ROUND(G119*1.001,0)</f>
        <v>70</v>
      </c>
      <c r="I119" s="26" t="s">
        <v>176</v>
      </c>
    </row>
    <row r="120" spans="1:9" x14ac:dyDescent="0.25">
      <c r="A120" s="57">
        <v>18</v>
      </c>
      <c r="B120" s="81" t="s">
        <v>177</v>
      </c>
      <c r="C120" s="110"/>
      <c r="D120" s="111"/>
      <c r="E120" s="111"/>
      <c r="F120" s="111"/>
      <c r="G120" s="113"/>
      <c r="H120" s="112"/>
      <c r="I120" s="109"/>
    </row>
    <row r="121" spans="1:9" x14ac:dyDescent="0.25">
      <c r="A121" s="98"/>
      <c r="B121" s="99"/>
      <c r="C121" s="100"/>
      <c r="D121" s="101"/>
      <c r="E121" s="101"/>
      <c r="F121" s="101"/>
      <c r="G121" s="102"/>
      <c r="H121" s="103"/>
      <c r="I121" s="104"/>
    </row>
    <row r="122" spans="1:9" x14ac:dyDescent="0.25">
      <c r="A122" s="98"/>
      <c r="B122" s="105"/>
      <c r="C122" s="106">
        <v>1</v>
      </c>
      <c r="D122" s="107"/>
      <c r="E122" s="107"/>
      <c r="F122" s="107"/>
      <c r="G122" s="51">
        <f t="shared" ref="G122" si="8">PRODUCT(C122:F122)</f>
        <v>1</v>
      </c>
      <c r="H122" s="108"/>
      <c r="I122" s="109"/>
    </row>
    <row r="123" spans="1:9" ht="15" customHeight="1" x14ac:dyDescent="0.25">
      <c r="A123" s="13"/>
      <c r="B123" s="10"/>
      <c r="C123" s="779" t="s">
        <v>29</v>
      </c>
      <c r="D123" s="779"/>
      <c r="E123" s="779"/>
      <c r="F123" s="779"/>
      <c r="G123" s="53">
        <f>SUM(G122:G122)</f>
        <v>1</v>
      </c>
      <c r="H123" s="67">
        <f>ROUND(G123*1.001,0)</f>
        <v>1</v>
      </c>
      <c r="I123" s="26" t="s">
        <v>178</v>
      </c>
    </row>
    <row r="124" spans="1:9" x14ac:dyDescent="0.25">
      <c r="A124" s="57">
        <v>19</v>
      </c>
      <c r="B124" s="81" t="s">
        <v>179</v>
      </c>
      <c r="C124" s="110"/>
      <c r="D124" s="111"/>
      <c r="E124" s="111"/>
      <c r="F124" s="111"/>
      <c r="G124" s="113"/>
      <c r="H124" s="112"/>
      <c r="I124" s="109"/>
    </row>
    <row r="125" spans="1:9" x14ac:dyDescent="0.25">
      <c r="A125" s="98"/>
      <c r="B125" s="99"/>
      <c r="C125" s="100"/>
      <c r="D125" s="101"/>
      <c r="E125" s="101"/>
      <c r="F125" s="101"/>
      <c r="G125" s="102"/>
      <c r="H125" s="103"/>
      <c r="I125" s="104"/>
    </row>
    <row r="126" spans="1:9" x14ac:dyDescent="0.25">
      <c r="A126" s="98"/>
      <c r="B126" s="105"/>
      <c r="C126" s="106">
        <v>1</v>
      </c>
      <c r="D126" s="107"/>
      <c r="E126" s="107"/>
      <c r="F126" s="107"/>
      <c r="G126" s="51">
        <f t="shared" ref="G126" si="9">PRODUCT(C126:F126)</f>
        <v>1</v>
      </c>
      <c r="H126" s="108"/>
      <c r="I126" s="109"/>
    </row>
    <row r="127" spans="1:9" ht="15" customHeight="1" x14ac:dyDescent="0.25">
      <c r="A127" s="13"/>
      <c r="B127" s="10"/>
      <c r="C127" s="779" t="s">
        <v>29</v>
      </c>
      <c r="D127" s="779"/>
      <c r="E127" s="779"/>
      <c r="F127" s="779"/>
      <c r="G127" s="53">
        <f>SUM(G126:G126)</f>
        <v>1</v>
      </c>
      <c r="H127" s="67">
        <f>ROUND(G127*1.001,0)</f>
        <v>1</v>
      </c>
      <c r="I127" s="26" t="s">
        <v>178</v>
      </c>
    </row>
    <row r="128" spans="1:9" x14ac:dyDescent="0.25">
      <c r="A128" s="57">
        <v>20</v>
      </c>
      <c r="B128" s="81" t="s">
        <v>98</v>
      </c>
      <c r="C128" s="110"/>
      <c r="D128" s="111"/>
      <c r="E128" s="111"/>
      <c r="F128" s="111"/>
      <c r="G128" s="113"/>
      <c r="H128" s="112"/>
      <c r="I128" s="109"/>
    </row>
    <row r="129" spans="1:9" x14ac:dyDescent="0.25">
      <c r="A129" s="98"/>
      <c r="B129" s="99"/>
      <c r="C129" s="100"/>
      <c r="D129" s="101"/>
      <c r="E129" s="101"/>
      <c r="F129" s="101"/>
      <c r="G129" s="102"/>
      <c r="H129" s="103"/>
      <c r="I129" s="104"/>
    </row>
    <row r="130" spans="1:9" x14ac:dyDescent="0.25">
      <c r="A130" s="98"/>
      <c r="B130" s="105"/>
      <c r="C130" s="106">
        <v>2</v>
      </c>
      <c r="D130" s="107"/>
      <c r="E130" s="107"/>
      <c r="F130" s="107"/>
      <c r="G130" s="51">
        <f t="shared" ref="G130" si="10">PRODUCT(C130:F130)</f>
        <v>2</v>
      </c>
      <c r="H130" s="108"/>
      <c r="I130" s="109"/>
    </row>
    <row r="131" spans="1:9" ht="15" customHeight="1" x14ac:dyDescent="0.25">
      <c r="A131" s="13"/>
      <c r="B131" s="10"/>
      <c r="C131" s="779" t="s">
        <v>29</v>
      </c>
      <c r="D131" s="779"/>
      <c r="E131" s="779"/>
      <c r="F131" s="779"/>
      <c r="G131" s="53">
        <f>SUM(G130:G130)</f>
        <v>2</v>
      </c>
      <c r="H131" s="67">
        <f>ROUND(G131*1.001,0)</f>
        <v>2</v>
      </c>
      <c r="I131" s="26" t="s">
        <v>178</v>
      </c>
    </row>
  </sheetData>
  <mergeCells count="19">
    <mergeCell ref="C131:F131"/>
    <mergeCell ref="C93:F93"/>
    <mergeCell ref="C101:F101"/>
    <mergeCell ref="C115:F115"/>
    <mergeCell ref="C119:F119"/>
    <mergeCell ref="C123:F123"/>
    <mergeCell ref="C127:F127"/>
    <mergeCell ref="C89:F89"/>
    <mergeCell ref="A1:I1"/>
    <mergeCell ref="C9:F9"/>
    <mergeCell ref="C13:F13"/>
    <mergeCell ref="C17:F17"/>
    <mergeCell ref="C24:F24"/>
    <mergeCell ref="E28:F28"/>
    <mergeCell ref="C46:F46"/>
    <mergeCell ref="C51:F51"/>
    <mergeCell ref="C54:F54"/>
    <mergeCell ref="C65:F65"/>
    <mergeCell ref="C79:F79"/>
  </mergeCells>
  <printOptions horizontalCentered="1"/>
  <pageMargins left="0.5" right="0.25" top="0.55000000000000004" bottom="0.25" header="0.17" footer="0.17"/>
  <pageSetup paperSize="9" scale="70" fitToHeight="0" orientation="portrait" r:id="rId1"/>
  <headerFooter alignWithMargins="0">
    <oddHeader>&amp;R&amp;"Arial Narrow,Regular"&amp;10&amp;A
 Page &amp;P of &amp;N</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K132"/>
  <sheetViews>
    <sheetView view="pageBreakPreview" zoomScaleSheetLayoutView="100" workbookViewId="0">
      <selection activeCell="I6" sqref="I6"/>
    </sheetView>
  </sheetViews>
  <sheetFormatPr defaultColWidth="23.5703125" defaultRowHeight="15" x14ac:dyDescent="0.25"/>
  <cols>
    <col min="1" max="1" width="5.7109375" style="8" customWidth="1"/>
    <col min="2" max="2" width="52.7109375" style="7" customWidth="1"/>
    <col min="3" max="6" width="10.7109375" style="3" customWidth="1"/>
    <col min="7" max="7" width="13.7109375" style="56" customWidth="1"/>
    <col min="8" max="8" width="13.7109375" style="70" customWidth="1"/>
    <col min="9" max="9" width="7.7109375" style="22" customWidth="1"/>
    <col min="10" max="16384" width="23.5703125" style="5"/>
  </cols>
  <sheetData>
    <row r="1" spans="1:11" s="1" customFormat="1" ht="24.95" customHeight="1" x14ac:dyDescent="0.25">
      <c r="A1" s="778" t="s">
        <v>27</v>
      </c>
      <c r="B1" s="778"/>
      <c r="C1" s="778"/>
      <c r="D1" s="778"/>
      <c r="E1" s="778"/>
      <c r="F1" s="778"/>
      <c r="G1" s="778"/>
      <c r="H1" s="778"/>
      <c r="I1" s="778"/>
    </row>
    <row r="2" spans="1:11" s="1" customFormat="1" ht="15" customHeight="1" x14ac:dyDescent="0.25">
      <c r="A2" s="12"/>
      <c r="B2" s="2"/>
      <c r="C2" s="2"/>
      <c r="D2" s="2"/>
      <c r="E2" s="2"/>
      <c r="F2" s="2"/>
      <c r="G2" s="47"/>
      <c r="H2" s="62"/>
      <c r="I2" s="2"/>
    </row>
    <row r="3" spans="1:11" s="3" customFormat="1" ht="30" x14ac:dyDescent="0.25">
      <c r="A3" s="74" t="s">
        <v>28</v>
      </c>
      <c r="B3" s="75" t="s">
        <v>0</v>
      </c>
      <c r="C3" s="75" t="s">
        <v>13</v>
      </c>
      <c r="D3" s="75" t="s">
        <v>14</v>
      </c>
      <c r="E3" s="75" t="s">
        <v>15</v>
      </c>
      <c r="F3" s="75" t="s">
        <v>16</v>
      </c>
      <c r="G3" s="75" t="s">
        <v>1</v>
      </c>
      <c r="H3" s="68" t="s">
        <v>30</v>
      </c>
      <c r="I3" s="75" t="s">
        <v>2</v>
      </c>
    </row>
    <row r="4" spans="1:11" s="3" customFormat="1" ht="18.75" customHeight="1" x14ac:dyDescent="0.25">
      <c r="A4" s="19" t="s">
        <v>3</v>
      </c>
      <c r="B4" s="20" t="s">
        <v>46</v>
      </c>
      <c r="C4" s="27"/>
      <c r="D4" s="27"/>
      <c r="E4" s="27"/>
      <c r="F4" s="27"/>
      <c r="G4" s="48"/>
      <c r="H4" s="69"/>
      <c r="I4" s="21"/>
    </row>
    <row r="5" spans="1:11" ht="156.75" x14ac:dyDescent="0.25">
      <c r="A5" s="65">
        <v>1</v>
      </c>
      <c r="B5" s="66" t="s">
        <v>20</v>
      </c>
      <c r="C5" s="28"/>
      <c r="D5" s="29"/>
      <c r="E5" s="29"/>
      <c r="F5" s="29"/>
      <c r="G5" s="49"/>
      <c r="H5" s="63"/>
      <c r="I5" s="23"/>
    </row>
    <row r="6" spans="1:11" x14ac:dyDescent="0.25">
      <c r="A6" s="14" t="s">
        <v>4</v>
      </c>
      <c r="B6" s="9" t="s">
        <v>180</v>
      </c>
      <c r="C6" s="30"/>
      <c r="D6" s="31"/>
      <c r="E6" s="31"/>
      <c r="F6" s="31"/>
      <c r="G6" s="50"/>
      <c r="H6" s="25"/>
      <c r="I6" s="24"/>
    </row>
    <row r="7" spans="1:11" x14ac:dyDescent="0.25">
      <c r="A7" s="13"/>
      <c r="B7" s="4" t="s">
        <v>181</v>
      </c>
      <c r="C7" s="32">
        <v>4</v>
      </c>
      <c r="D7" s="76">
        <v>6</v>
      </c>
      <c r="E7" s="76">
        <v>5</v>
      </c>
      <c r="F7" s="76">
        <f>4+0.33+0.67</f>
        <v>5</v>
      </c>
      <c r="G7" s="51">
        <f>PRODUCT(C7:F7)</f>
        <v>600</v>
      </c>
      <c r="H7" s="64"/>
      <c r="I7" s="24"/>
      <c r="J7" s="11"/>
      <c r="K7" s="11"/>
    </row>
    <row r="8" spans="1:11" x14ac:dyDescent="0.25">
      <c r="A8" s="13"/>
      <c r="B8" s="4" t="s">
        <v>182</v>
      </c>
      <c r="C8" s="32">
        <v>1</v>
      </c>
      <c r="D8" s="76">
        <f>(15.25-3-2)*2</f>
        <v>20.5</v>
      </c>
      <c r="E8" s="76">
        <f>0.75+0.33+0.33</f>
        <v>1.4100000000000001</v>
      </c>
      <c r="F8" s="76">
        <f>4+0.33+0.67</f>
        <v>5</v>
      </c>
      <c r="G8" s="51">
        <f>PRODUCT(C8:F8)</f>
        <v>144.52500000000001</v>
      </c>
      <c r="H8" s="64"/>
      <c r="I8" s="24"/>
      <c r="J8" s="11"/>
      <c r="K8" s="11"/>
    </row>
    <row r="9" spans="1:11" x14ac:dyDescent="0.25">
      <c r="A9" s="13"/>
      <c r="B9" s="4" t="s">
        <v>182</v>
      </c>
      <c r="C9" s="32">
        <v>1</v>
      </c>
      <c r="D9" s="76">
        <f>(15.25-3-2)*2</f>
        <v>20.5</v>
      </c>
      <c r="E9" s="76">
        <f>0.75+0.33+0.33</f>
        <v>1.4100000000000001</v>
      </c>
      <c r="F9" s="76">
        <f>4+0.33+0.67</f>
        <v>5</v>
      </c>
      <c r="G9" s="51">
        <f>PRODUCT(C9:F9)</f>
        <v>144.52500000000001</v>
      </c>
      <c r="H9" s="64"/>
      <c r="I9" s="24"/>
      <c r="J9" s="11"/>
      <c r="K9" s="11"/>
    </row>
    <row r="10" spans="1:11" x14ac:dyDescent="0.25">
      <c r="A10" s="13"/>
      <c r="B10" s="4"/>
      <c r="C10" s="138"/>
      <c r="D10" s="139"/>
      <c r="E10" s="139"/>
      <c r="F10" s="139"/>
      <c r="G10" s="78"/>
      <c r="H10" s="25"/>
      <c r="I10" s="24"/>
    </row>
    <row r="11" spans="1:11" ht="15" customHeight="1" x14ac:dyDescent="0.25">
      <c r="A11" s="13"/>
      <c r="B11" s="10"/>
      <c r="C11" s="779" t="s">
        <v>29</v>
      </c>
      <c r="D11" s="779"/>
      <c r="E11" s="779"/>
      <c r="F11" s="779"/>
      <c r="G11" s="53">
        <f>SUM(G7:G10)</f>
        <v>889.05</v>
      </c>
      <c r="H11" s="67">
        <f>ROUND(G11*1.001,0)</f>
        <v>890</v>
      </c>
      <c r="I11" s="26" t="s">
        <v>11</v>
      </c>
    </row>
    <row r="12" spans="1:11" ht="128.25" x14ac:dyDescent="0.25">
      <c r="A12" s="57">
        <v>2</v>
      </c>
      <c r="B12" s="59" t="s">
        <v>53</v>
      </c>
      <c r="C12" s="36"/>
      <c r="D12" s="37"/>
      <c r="E12" s="37"/>
      <c r="F12" s="37"/>
      <c r="G12" s="52"/>
      <c r="H12" s="25"/>
      <c r="I12" s="24"/>
    </row>
    <row r="13" spans="1:11" x14ac:dyDescent="0.25">
      <c r="A13" s="14"/>
      <c r="B13" s="9"/>
      <c r="C13" s="32">
        <f>+C7</f>
        <v>4</v>
      </c>
      <c r="D13" s="76">
        <f>+D7</f>
        <v>6</v>
      </c>
      <c r="E13" s="76">
        <f>+E7</f>
        <v>5</v>
      </c>
      <c r="F13" s="76">
        <f>+F7</f>
        <v>5</v>
      </c>
      <c r="G13" s="51">
        <f>PRODUCT(C13:F13)</f>
        <v>600</v>
      </c>
      <c r="H13" s="64"/>
      <c r="I13" s="24"/>
    </row>
    <row r="14" spans="1:11" x14ac:dyDescent="0.25">
      <c r="A14" s="14"/>
      <c r="B14" s="9" t="s">
        <v>21</v>
      </c>
      <c r="C14" s="32"/>
      <c r="D14" s="76"/>
      <c r="E14" s="76"/>
      <c r="F14" s="76"/>
      <c r="G14" s="51">
        <f>-G24</f>
        <v>-39.6</v>
      </c>
      <c r="H14" s="64"/>
      <c r="I14" s="24"/>
    </row>
    <row r="15" spans="1:11" x14ac:dyDescent="0.25">
      <c r="A15" s="14"/>
      <c r="B15" s="9" t="s">
        <v>183</v>
      </c>
      <c r="C15" s="32"/>
      <c r="D15" s="76"/>
      <c r="E15" s="76"/>
      <c r="F15" s="76"/>
      <c r="G15" s="51">
        <f>-G40</f>
        <v>-80</v>
      </c>
      <c r="H15" s="64"/>
      <c r="I15" s="24"/>
    </row>
    <row r="16" spans="1:11" x14ac:dyDescent="0.25">
      <c r="A16" s="14"/>
      <c r="B16" s="9" t="s">
        <v>184</v>
      </c>
      <c r="C16" s="32"/>
      <c r="D16" s="76"/>
      <c r="E16" s="76"/>
      <c r="F16" s="76"/>
      <c r="G16" s="51">
        <f>-G42</f>
        <v>-18</v>
      </c>
      <c r="H16" s="64"/>
      <c r="I16" s="24"/>
    </row>
    <row r="17" spans="1:9" ht="15" customHeight="1" x14ac:dyDescent="0.25">
      <c r="A17" s="13"/>
      <c r="B17" s="10"/>
      <c r="C17" s="779" t="s">
        <v>29</v>
      </c>
      <c r="D17" s="779"/>
      <c r="E17" s="779"/>
      <c r="F17" s="779"/>
      <c r="G17" s="53">
        <f>SUM(G13:G16)</f>
        <v>462.4</v>
      </c>
      <c r="H17" s="67">
        <f>ROUND(G17*1.001,0)</f>
        <v>463</v>
      </c>
      <c r="I17" s="26" t="s">
        <v>11</v>
      </c>
    </row>
    <row r="18" spans="1:9" ht="42.75" x14ac:dyDescent="0.25">
      <c r="A18" s="57">
        <v>3</v>
      </c>
      <c r="B18" s="58" t="s">
        <v>25</v>
      </c>
      <c r="C18" s="38"/>
      <c r="D18" s="39"/>
      <c r="E18" s="39"/>
      <c r="F18" s="39"/>
      <c r="G18" s="54"/>
      <c r="H18" s="25"/>
      <c r="I18" s="24"/>
    </row>
    <row r="19" spans="1:9" x14ac:dyDescent="0.25">
      <c r="A19" s="14"/>
      <c r="B19" s="9"/>
      <c r="C19" s="30"/>
      <c r="D19" s="31"/>
      <c r="E19" s="31"/>
      <c r="F19" s="31"/>
      <c r="G19" s="50"/>
      <c r="H19" s="25"/>
      <c r="I19" s="24"/>
    </row>
    <row r="20" spans="1:9" x14ac:dyDescent="0.25">
      <c r="A20" s="14"/>
      <c r="B20" s="9"/>
      <c r="C20" s="32">
        <f>+C7</f>
        <v>4</v>
      </c>
      <c r="D20" s="76">
        <f>+D7</f>
        <v>6</v>
      </c>
      <c r="E20" s="76">
        <f>+E7</f>
        <v>5</v>
      </c>
      <c r="F20" s="76">
        <v>0.67</v>
      </c>
      <c r="G20" s="51">
        <f>PRODUCT(C20:F20)</f>
        <v>80.400000000000006</v>
      </c>
      <c r="H20" s="64"/>
      <c r="I20" s="24"/>
    </row>
    <row r="21" spans="1:9" ht="15" customHeight="1" x14ac:dyDescent="0.25">
      <c r="A21" s="13"/>
      <c r="B21" s="10"/>
      <c r="C21" s="779" t="s">
        <v>29</v>
      </c>
      <c r="D21" s="779"/>
      <c r="E21" s="779"/>
      <c r="F21" s="779"/>
      <c r="G21" s="53">
        <f>SUM(G20:G20)</f>
        <v>80.400000000000006</v>
      </c>
      <c r="H21" s="67">
        <f>ROUND(G21*1.001,0)</f>
        <v>80</v>
      </c>
      <c r="I21" s="26" t="s">
        <v>11</v>
      </c>
    </row>
    <row r="22" spans="1:9" ht="71.25" x14ac:dyDescent="0.25">
      <c r="A22" s="57">
        <v>4</v>
      </c>
      <c r="B22" s="58" t="s">
        <v>6</v>
      </c>
      <c r="C22" s="38"/>
      <c r="D22" s="39"/>
      <c r="E22" s="39"/>
      <c r="F22" s="39"/>
      <c r="G22" s="54"/>
      <c r="H22" s="25"/>
      <c r="I22" s="24"/>
    </row>
    <row r="23" spans="1:9" x14ac:dyDescent="0.25">
      <c r="A23" s="14" t="s">
        <v>4</v>
      </c>
      <c r="B23" s="9" t="s">
        <v>185</v>
      </c>
      <c r="C23" s="34"/>
      <c r="D23" s="35"/>
      <c r="E23" s="35"/>
      <c r="F23" s="35"/>
      <c r="G23" s="52"/>
      <c r="H23" s="25"/>
      <c r="I23" s="24"/>
    </row>
    <row r="24" spans="1:9" x14ac:dyDescent="0.25">
      <c r="A24" s="13"/>
      <c r="B24" s="4"/>
      <c r="C24" s="32">
        <f>+C20</f>
        <v>4</v>
      </c>
      <c r="D24" s="76">
        <f>+D7</f>
        <v>6</v>
      </c>
      <c r="E24" s="76">
        <f>+E7</f>
        <v>5</v>
      </c>
      <c r="F24" s="76">
        <v>0.33</v>
      </c>
      <c r="G24" s="140">
        <f>PRODUCT(C24:F24)</f>
        <v>39.6</v>
      </c>
      <c r="H24" s="64"/>
      <c r="I24" s="24"/>
    </row>
    <row r="25" spans="1:9" x14ac:dyDescent="0.25">
      <c r="A25" s="14" t="s">
        <v>48</v>
      </c>
      <c r="B25" s="9" t="s">
        <v>186</v>
      </c>
      <c r="C25" s="34"/>
      <c r="D25" s="35"/>
      <c r="E25" s="35"/>
      <c r="F25" s="35"/>
      <c r="G25" s="52"/>
      <c r="H25" s="25"/>
      <c r="I25" s="24"/>
    </row>
    <row r="26" spans="1:9" x14ac:dyDescent="0.25">
      <c r="A26" s="13"/>
      <c r="B26" s="4"/>
      <c r="C26" s="32">
        <f t="shared" ref="C26:E27" si="0">+C8</f>
        <v>1</v>
      </c>
      <c r="D26" s="76">
        <f t="shared" si="0"/>
        <v>20.5</v>
      </c>
      <c r="E26" s="76">
        <f t="shared" si="0"/>
        <v>1.4100000000000001</v>
      </c>
      <c r="F26" s="76">
        <v>0.33</v>
      </c>
      <c r="G26" s="140">
        <f>PRODUCT(C26:F26)</f>
        <v>9.5386500000000005</v>
      </c>
      <c r="H26" s="64"/>
      <c r="I26" s="24"/>
    </row>
    <row r="27" spans="1:9" x14ac:dyDescent="0.25">
      <c r="A27" s="13"/>
      <c r="B27" s="4"/>
      <c r="C27" s="32">
        <f t="shared" si="0"/>
        <v>1</v>
      </c>
      <c r="D27" s="76">
        <f t="shared" si="0"/>
        <v>20.5</v>
      </c>
      <c r="E27" s="76">
        <f t="shared" si="0"/>
        <v>1.4100000000000001</v>
      </c>
      <c r="F27" s="76">
        <v>0.33</v>
      </c>
      <c r="G27" s="140">
        <f>PRODUCT(C27:F27)</f>
        <v>9.5386500000000005</v>
      </c>
      <c r="H27" s="64"/>
      <c r="I27" s="24"/>
    </row>
    <row r="28" spans="1:9" ht="15" customHeight="1" x14ac:dyDescent="0.25">
      <c r="A28" s="13"/>
      <c r="B28" s="10"/>
      <c r="C28" s="779" t="s">
        <v>29</v>
      </c>
      <c r="D28" s="779"/>
      <c r="E28" s="779"/>
      <c r="F28" s="779"/>
      <c r="G28" s="53">
        <f>SUM(G24:G27)</f>
        <v>58.677300000000002</v>
      </c>
      <c r="H28" s="67">
        <f>ROUND(G28*1.001,0)</f>
        <v>59</v>
      </c>
      <c r="I28" s="26" t="s">
        <v>10</v>
      </c>
    </row>
    <row r="29" spans="1:9" x14ac:dyDescent="0.25">
      <c r="A29" s="57">
        <v>5</v>
      </c>
      <c r="B29" s="58" t="s">
        <v>187</v>
      </c>
      <c r="C29" s="38"/>
      <c r="D29" s="39"/>
      <c r="E29" s="39"/>
      <c r="F29" s="39"/>
      <c r="G29" s="54"/>
      <c r="H29" s="25"/>
      <c r="I29" s="24"/>
    </row>
    <row r="30" spans="1:9" x14ac:dyDescent="0.25">
      <c r="A30" s="14"/>
      <c r="B30" s="9"/>
      <c r="C30" s="34"/>
      <c r="D30" s="35"/>
      <c r="E30" s="35"/>
      <c r="F30" s="35"/>
      <c r="G30" s="52"/>
      <c r="H30" s="25"/>
      <c r="I30" s="24"/>
    </row>
    <row r="31" spans="1:9" x14ac:dyDescent="0.25">
      <c r="A31" s="13"/>
      <c r="B31" s="4"/>
      <c r="C31" s="32"/>
      <c r="D31" s="785" t="s">
        <v>188</v>
      </c>
      <c r="E31" s="786"/>
      <c r="F31" s="787"/>
      <c r="G31" s="140">
        <f>+G65</f>
        <v>439.5</v>
      </c>
      <c r="H31" s="64"/>
      <c r="I31" s="24"/>
    </row>
    <row r="32" spans="1:9" ht="15" customHeight="1" x14ac:dyDescent="0.25">
      <c r="A32" s="13"/>
      <c r="B32" s="10"/>
      <c r="C32" s="779" t="s">
        <v>29</v>
      </c>
      <c r="D32" s="779"/>
      <c r="E32" s="779"/>
      <c r="F32" s="779"/>
      <c r="G32" s="53">
        <f>SUM(G31:G31)</f>
        <v>439.5</v>
      </c>
      <c r="H32" s="67">
        <f>ROUND(G32*1.001,0)</f>
        <v>440</v>
      </c>
      <c r="I32" s="26" t="s">
        <v>10</v>
      </c>
    </row>
    <row r="33" spans="1:11" ht="114" x14ac:dyDescent="0.25">
      <c r="A33" s="57">
        <v>6</v>
      </c>
      <c r="B33" s="58" t="s">
        <v>60</v>
      </c>
      <c r="C33" s="38"/>
      <c r="D33" s="39"/>
      <c r="E33" s="39" t="s">
        <v>189</v>
      </c>
      <c r="F33" s="39"/>
      <c r="G33" s="54"/>
      <c r="H33" s="25"/>
      <c r="I33" s="24"/>
    </row>
    <row r="34" spans="1:11" x14ac:dyDescent="0.25">
      <c r="A34" s="14"/>
      <c r="B34" s="9"/>
      <c r="C34" s="34"/>
      <c r="D34" s="35"/>
      <c r="E34" s="35"/>
      <c r="F34" s="35"/>
      <c r="G34" s="52"/>
      <c r="H34" s="25"/>
      <c r="I34" s="24"/>
    </row>
    <row r="35" spans="1:11" x14ac:dyDescent="0.25">
      <c r="A35" s="13"/>
      <c r="B35" s="4"/>
      <c r="C35" s="32">
        <v>2</v>
      </c>
      <c r="D35" s="76">
        <f>15.25+0.75-1.5-0.75</f>
        <v>13.75</v>
      </c>
      <c r="E35" s="76">
        <v>0.75</v>
      </c>
      <c r="F35" s="76">
        <v>4</v>
      </c>
      <c r="G35" s="51">
        <f>PRODUCT(C35:F35)</f>
        <v>82.5</v>
      </c>
      <c r="H35" s="64"/>
      <c r="I35" s="24"/>
    </row>
    <row r="36" spans="1:11" x14ac:dyDescent="0.25">
      <c r="A36" s="13"/>
      <c r="B36" s="4"/>
      <c r="C36" s="32">
        <v>2</v>
      </c>
      <c r="D36" s="76">
        <f>15.25+0.75-1.5-0.75</f>
        <v>13.75</v>
      </c>
      <c r="E36" s="76">
        <v>0.75</v>
      </c>
      <c r="F36" s="76">
        <v>4</v>
      </c>
      <c r="G36" s="51">
        <f>PRODUCT(C36:F36)</f>
        <v>82.5</v>
      </c>
      <c r="H36" s="64"/>
      <c r="I36" s="24"/>
    </row>
    <row r="37" spans="1:11" ht="15" customHeight="1" x14ac:dyDescent="0.25">
      <c r="A37" s="13"/>
      <c r="B37" s="10"/>
      <c r="C37" s="779" t="s">
        <v>29</v>
      </c>
      <c r="D37" s="779"/>
      <c r="E37" s="779"/>
      <c r="F37" s="779"/>
      <c r="G37" s="53">
        <f>SUM(G35:G36)</f>
        <v>165</v>
      </c>
      <c r="H37" s="67">
        <f>ROUND(G37*1.001,0)</f>
        <v>165</v>
      </c>
      <c r="I37" s="26" t="s">
        <v>11</v>
      </c>
    </row>
    <row r="38" spans="1:11" ht="171" x14ac:dyDescent="0.25">
      <c r="A38" s="57">
        <v>7</v>
      </c>
      <c r="B38" s="58" t="s">
        <v>7</v>
      </c>
      <c r="C38" s="38"/>
      <c r="D38" s="39"/>
      <c r="E38" s="39"/>
      <c r="F38" s="39"/>
      <c r="G38" s="54"/>
      <c r="H38" s="25"/>
      <c r="I38" s="24"/>
    </row>
    <row r="39" spans="1:11" x14ac:dyDescent="0.25">
      <c r="A39" s="15" t="s">
        <v>4</v>
      </c>
      <c r="B39" s="141" t="s">
        <v>181</v>
      </c>
      <c r="C39" s="142"/>
      <c r="D39" s="143"/>
      <c r="E39" s="143"/>
      <c r="F39" s="143"/>
      <c r="G39" s="50"/>
      <c r="H39" s="25"/>
      <c r="I39" s="24"/>
    </row>
    <row r="40" spans="1:11" x14ac:dyDescent="0.25">
      <c r="A40" s="13"/>
      <c r="B40" s="4"/>
      <c r="C40" s="32">
        <f>+C7</f>
        <v>4</v>
      </c>
      <c r="D40" s="76">
        <f>+D7-1</f>
        <v>5</v>
      </c>
      <c r="E40" s="76">
        <f>+E7-1</f>
        <v>4</v>
      </c>
      <c r="F40" s="76">
        <v>1</v>
      </c>
      <c r="G40" s="51">
        <f>PRODUCT(C40:F40)</f>
        <v>80</v>
      </c>
      <c r="H40" s="64"/>
      <c r="I40" s="24"/>
      <c r="J40" s="11"/>
      <c r="K40" s="11"/>
    </row>
    <row r="41" spans="1:11" x14ac:dyDescent="0.25">
      <c r="A41" s="15" t="s">
        <v>48</v>
      </c>
      <c r="B41" s="141" t="s">
        <v>190</v>
      </c>
      <c r="C41" s="142"/>
      <c r="D41" s="143"/>
      <c r="E41" s="143"/>
      <c r="F41" s="143"/>
      <c r="G41" s="50"/>
      <c r="H41" s="25"/>
      <c r="I41" s="24"/>
    </row>
    <row r="42" spans="1:11" x14ac:dyDescent="0.25">
      <c r="A42" s="13"/>
      <c r="B42" s="4" t="s">
        <v>191</v>
      </c>
      <c r="C42" s="32">
        <v>4</v>
      </c>
      <c r="D42" s="76">
        <v>1.5</v>
      </c>
      <c r="E42" s="76">
        <v>0.75</v>
      </c>
      <c r="F42" s="76">
        <v>4</v>
      </c>
      <c r="G42" s="51">
        <f>PRODUCT(C42:F42)</f>
        <v>18</v>
      </c>
      <c r="H42" s="64"/>
      <c r="I42" s="24"/>
      <c r="J42" s="11"/>
      <c r="K42" s="11"/>
    </row>
    <row r="43" spans="1:11" x14ac:dyDescent="0.25">
      <c r="A43" s="15" t="s">
        <v>51</v>
      </c>
      <c r="B43" s="141" t="s">
        <v>192</v>
      </c>
      <c r="C43" s="142"/>
      <c r="D43" s="143"/>
      <c r="E43" s="143"/>
      <c r="F43" s="143"/>
      <c r="G43" s="50"/>
      <c r="H43" s="25"/>
      <c r="I43" s="24"/>
    </row>
    <row r="44" spans="1:11" x14ac:dyDescent="0.25">
      <c r="A44" s="13"/>
      <c r="B44" s="4"/>
      <c r="C44" s="32">
        <v>2</v>
      </c>
      <c r="D44" s="76">
        <f>+D35</f>
        <v>13.75</v>
      </c>
      <c r="E44" s="76">
        <v>0.75</v>
      </c>
      <c r="F44" s="76">
        <v>1.5</v>
      </c>
      <c r="G44" s="51">
        <f>PRODUCT(C44:F44)</f>
        <v>30.9375</v>
      </c>
      <c r="H44" s="64"/>
      <c r="I44" s="24"/>
      <c r="J44" s="11"/>
      <c r="K44" s="11"/>
    </row>
    <row r="45" spans="1:11" x14ac:dyDescent="0.25">
      <c r="A45" s="13"/>
      <c r="B45" s="4"/>
      <c r="C45" s="32">
        <v>2</v>
      </c>
      <c r="D45" s="76">
        <f>+D36</f>
        <v>13.75</v>
      </c>
      <c r="E45" s="76">
        <v>0.75</v>
      </c>
      <c r="F45" s="76">
        <v>1.5</v>
      </c>
      <c r="G45" s="51">
        <f>PRODUCT(C45:F45)</f>
        <v>30.9375</v>
      </c>
      <c r="H45" s="64"/>
      <c r="I45" s="24"/>
      <c r="J45" s="11"/>
      <c r="K45" s="11"/>
    </row>
    <row r="46" spans="1:11" x14ac:dyDescent="0.25">
      <c r="A46" s="15" t="s">
        <v>52</v>
      </c>
      <c r="B46" s="141" t="s">
        <v>193</v>
      </c>
      <c r="C46" s="142"/>
      <c r="D46" s="143"/>
      <c r="E46" s="143"/>
      <c r="F46" s="143"/>
      <c r="G46" s="50"/>
      <c r="H46" s="25"/>
      <c r="I46" s="24"/>
    </row>
    <row r="47" spans="1:11" x14ac:dyDescent="0.25">
      <c r="A47" s="13"/>
      <c r="B47" s="4"/>
      <c r="C47" s="32">
        <v>4</v>
      </c>
      <c r="D47" s="76">
        <v>1.5</v>
      </c>
      <c r="E47" s="76">
        <v>0.75</v>
      </c>
      <c r="F47" s="76">
        <v>8</v>
      </c>
      <c r="G47" s="51">
        <f>PRODUCT(C47:F47)</f>
        <v>36</v>
      </c>
      <c r="H47" s="64"/>
      <c r="I47" s="24"/>
      <c r="J47" s="11"/>
      <c r="K47" s="11"/>
    </row>
    <row r="48" spans="1:11" x14ac:dyDescent="0.25">
      <c r="A48" s="15" t="s">
        <v>58</v>
      </c>
      <c r="B48" s="141" t="s">
        <v>194</v>
      </c>
      <c r="C48" s="142"/>
      <c r="D48" s="143"/>
      <c r="E48" s="143"/>
      <c r="F48" s="143"/>
      <c r="G48" s="50"/>
      <c r="H48" s="25"/>
      <c r="I48" s="24"/>
    </row>
    <row r="49" spans="1:11" x14ac:dyDescent="0.25">
      <c r="A49" s="13"/>
      <c r="B49" s="4" t="s">
        <v>159</v>
      </c>
      <c r="C49" s="32">
        <f>+C44</f>
        <v>2</v>
      </c>
      <c r="D49" s="76">
        <f>+D44</f>
        <v>13.75</v>
      </c>
      <c r="E49" s="76">
        <v>0.75</v>
      </c>
      <c r="F49" s="76">
        <f>1.5-0.42</f>
        <v>1.08</v>
      </c>
      <c r="G49" s="51">
        <f>PRODUCT(C49:F49)</f>
        <v>22.275000000000002</v>
      </c>
      <c r="H49" s="64"/>
      <c r="I49" s="24"/>
      <c r="J49" s="11"/>
      <c r="K49" s="11"/>
    </row>
    <row r="50" spans="1:11" x14ac:dyDescent="0.25">
      <c r="A50" s="13"/>
      <c r="B50" s="4" t="s">
        <v>159</v>
      </c>
      <c r="C50" s="32">
        <f>+C45</f>
        <v>2</v>
      </c>
      <c r="D50" s="76">
        <f>+D45</f>
        <v>13.75</v>
      </c>
      <c r="E50" s="76">
        <v>0.75</v>
      </c>
      <c r="F50" s="76">
        <f>1.5-0.42</f>
        <v>1.08</v>
      </c>
      <c r="G50" s="51">
        <f>PRODUCT(C50:F50)</f>
        <v>22.275000000000002</v>
      </c>
      <c r="H50" s="64"/>
      <c r="I50" s="24"/>
      <c r="J50" s="11"/>
      <c r="K50" s="11"/>
    </row>
    <row r="51" spans="1:11" x14ac:dyDescent="0.25">
      <c r="A51" s="15" t="s">
        <v>161</v>
      </c>
      <c r="B51" s="141" t="s">
        <v>195</v>
      </c>
      <c r="C51" s="142"/>
      <c r="D51" s="143"/>
      <c r="E51" s="143"/>
      <c r="F51" s="143"/>
      <c r="G51" s="50"/>
      <c r="H51" s="25"/>
      <c r="I51" s="24"/>
    </row>
    <row r="52" spans="1:11" x14ac:dyDescent="0.25">
      <c r="A52" s="13"/>
      <c r="B52" s="4"/>
      <c r="C52" s="32">
        <v>1</v>
      </c>
      <c r="D52" s="76">
        <f>15.25+0.75+4</f>
        <v>20</v>
      </c>
      <c r="E52" s="76">
        <v>20</v>
      </c>
      <c r="F52" s="76">
        <v>0.42</v>
      </c>
      <c r="G52" s="51">
        <f>PRODUCT(C52:F52)</f>
        <v>168</v>
      </c>
      <c r="H52" s="64"/>
      <c r="I52" s="24"/>
      <c r="J52" s="11"/>
      <c r="K52" s="11"/>
    </row>
    <row r="53" spans="1:11" x14ac:dyDescent="0.25">
      <c r="A53" s="13"/>
      <c r="B53" s="4"/>
      <c r="C53" s="32"/>
      <c r="D53" s="76"/>
      <c r="E53" s="144"/>
      <c r="F53" s="145"/>
      <c r="G53" s="51"/>
      <c r="H53" s="64"/>
      <c r="I53" s="24"/>
      <c r="J53" s="11"/>
      <c r="K53" s="11"/>
    </row>
    <row r="54" spans="1:11" ht="15" customHeight="1" x14ac:dyDescent="0.25">
      <c r="A54" s="13"/>
      <c r="B54" s="10"/>
      <c r="C54" s="779" t="s">
        <v>29</v>
      </c>
      <c r="D54" s="779"/>
      <c r="E54" s="779"/>
      <c r="F54" s="779"/>
      <c r="G54" s="53">
        <f>SUM(G40:G53)</f>
        <v>408.42500000000001</v>
      </c>
      <c r="H54" s="67">
        <f>ROUND(G54*1.001,0)</f>
        <v>409</v>
      </c>
      <c r="I54" s="26" t="s">
        <v>11</v>
      </c>
    </row>
    <row r="55" spans="1:11" ht="42.75" x14ac:dyDescent="0.25">
      <c r="A55" s="57">
        <v>8</v>
      </c>
      <c r="B55" s="58" t="s">
        <v>35</v>
      </c>
      <c r="C55" s="40"/>
      <c r="D55" s="41"/>
      <c r="E55" s="41"/>
      <c r="F55" s="41"/>
      <c r="G55" s="55"/>
      <c r="H55" s="25"/>
      <c r="I55" s="24"/>
    </row>
    <row r="56" spans="1:11" x14ac:dyDescent="0.25">
      <c r="A56" s="15"/>
      <c r="B56" s="81" t="s">
        <v>196</v>
      </c>
      <c r="C56" s="42"/>
      <c r="D56" s="43"/>
      <c r="E56" s="43"/>
      <c r="F56" s="43"/>
      <c r="G56" s="50"/>
      <c r="H56" s="25"/>
      <c r="I56" s="24"/>
    </row>
    <row r="57" spans="1:11" x14ac:dyDescent="0.25">
      <c r="A57" s="13"/>
      <c r="B57" s="4" t="s">
        <v>197</v>
      </c>
      <c r="C57" s="32">
        <v>4</v>
      </c>
      <c r="D57" s="76">
        <f>+D40</f>
        <v>5</v>
      </c>
      <c r="E57" s="76">
        <f>+E40</f>
        <v>4</v>
      </c>
      <c r="F57" s="76" t="s">
        <v>19</v>
      </c>
      <c r="G57" s="51">
        <f>PRODUCT(C57:F57)</f>
        <v>80</v>
      </c>
      <c r="H57" s="64"/>
      <c r="I57" s="24"/>
      <c r="J57" s="11"/>
      <c r="K57" s="11"/>
    </row>
    <row r="58" spans="1:11" x14ac:dyDescent="0.25">
      <c r="A58" s="13"/>
      <c r="B58" s="4" t="s">
        <v>184</v>
      </c>
      <c r="C58" s="32">
        <v>-4</v>
      </c>
      <c r="D58" s="76">
        <f>+D47</f>
        <v>1.5</v>
      </c>
      <c r="E58" s="76">
        <f>+E47</f>
        <v>0.75</v>
      </c>
      <c r="F58" s="76" t="s">
        <v>19</v>
      </c>
      <c r="G58" s="51">
        <f>PRODUCT(C58:F58)</f>
        <v>-4.5</v>
      </c>
      <c r="H58" s="64"/>
      <c r="I58" s="24"/>
      <c r="J58" s="11"/>
      <c r="K58" s="11"/>
    </row>
    <row r="59" spans="1:11" x14ac:dyDescent="0.25">
      <c r="A59" s="13"/>
      <c r="B59" s="4" t="s">
        <v>198</v>
      </c>
      <c r="C59" s="32">
        <f>+C40</f>
        <v>4</v>
      </c>
      <c r="D59" s="76">
        <f>+D57+D57+E57+E57</f>
        <v>18</v>
      </c>
      <c r="E59" s="76"/>
      <c r="F59" s="76">
        <v>1</v>
      </c>
      <c r="G59" s="51">
        <f>+C59*D59*F59</f>
        <v>72</v>
      </c>
      <c r="H59" s="64"/>
      <c r="I59" s="24"/>
      <c r="J59" s="11"/>
      <c r="K59" s="11"/>
    </row>
    <row r="60" spans="1:11" x14ac:dyDescent="0.25">
      <c r="A60" s="15"/>
      <c r="B60" s="81" t="s">
        <v>199</v>
      </c>
      <c r="C60" s="42"/>
      <c r="D60" s="43"/>
      <c r="E60" s="43"/>
      <c r="F60" s="43"/>
      <c r="G60" s="50"/>
      <c r="H60" s="25"/>
      <c r="I60" s="24"/>
    </row>
    <row r="61" spans="1:11" x14ac:dyDescent="0.25">
      <c r="A61" s="13"/>
      <c r="B61" s="4"/>
      <c r="C61" s="32">
        <f>+C42</f>
        <v>4</v>
      </c>
      <c r="D61" s="76">
        <f>+D42+D42+E42+E42</f>
        <v>4.5</v>
      </c>
      <c r="E61" s="76"/>
      <c r="F61" s="76">
        <v>4</v>
      </c>
      <c r="G61" s="51">
        <f>PRODUCT(C61:F61)</f>
        <v>72</v>
      </c>
      <c r="H61" s="64"/>
      <c r="I61" s="24"/>
      <c r="J61" s="11"/>
      <c r="K61" s="11"/>
    </row>
    <row r="62" spans="1:11" x14ac:dyDescent="0.25">
      <c r="A62" s="15"/>
      <c r="B62" s="81" t="s">
        <v>200</v>
      </c>
      <c r="C62" s="42"/>
      <c r="D62" s="43"/>
      <c r="E62" s="43"/>
      <c r="F62" s="43"/>
      <c r="G62" s="50"/>
      <c r="H62" s="25"/>
      <c r="I62" s="24"/>
    </row>
    <row r="63" spans="1:11" x14ac:dyDescent="0.25">
      <c r="A63" s="13"/>
      <c r="B63" s="4"/>
      <c r="C63" s="32">
        <v>4</v>
      </c>
      <c r="D63" s="76">
        <f>+D35</f>
        <v>13.75</v>
      </c>
      <c r="E63" s="76"/>
      <c r="F63" s="76">
        <f>+F35</f>
        <v>4</v>
      </c>
      <c r="G63" s="51">
        <f>PRODUCT(C63:F63)</f>
        <v>220</v>
      </c>
      <c r="H63" s="64"/>
      <c r="I63" s="24"/>
      <c r="J63" s="11"/>
      <c r="K63" s="11"/>
    </row>
    <row r="64" spans="1:11" x14ac:dyDescent="0.25">
      <c r="A64" s="13"/>
      <c r="B64" s="4"/>
      <c r="C64" s="32"/>
      <c r="D64" s="76"/>
      <c r="E64" s="76"/>
      <c r="F64" s="76"/>
      <c r="G64" s="51"/>
      <c r="H64" s="64"/>
      <c r="I64" s="24"/>
      <c r="J64" s="11"/>
      <c r="K64" s="11"/>
    </row>
    <row r="65" spans="1:9" ht="15" customHeight="1" x14ac:dyDescent="0.25">
      <c r="A65" s="13"/>
      <c r="B65" s="10"/>
      <c r="C65" s="779" t="s">
        <v>29</v>
      </c>
      <c r="D65" s="779"/>
      <c r="E65" s="779"/>
      <c r="F65" s="779"/>
      <c r="G65" s="53">
        <f>SUM(G57:G64)</f>
        <v>439.5</v>
      </c>
      <c r="H65" s="67">
        <f>ROUND(G65*1.001,0)</f>
        <v>440</v>
      </c>
      <c r="I65" s="26" t="s">
        <v>10</v>
      </c>
    </row>
    <row r="66" spans="1:9" ht="42.75" x14ac:dyDescent="0.25">
      <c r="A66" s="57">
        <v>9</v>
      </c>
      <c r="B66" s="61" t="s">
        <v>9</v>
      </c>
      <c r="C66" s="30"/>
      <c r="D66" s="31"/>
      <c r="E66" s="31"/>
      <c r="F66" s="31"/>
      <c r="G66" s="50"/>
      <c r="H66" s="25"/>
      <c r="I66" s="24"/>
    </row>
    <row r="67" spans="1:9" x14ac:dyDescent="0.25">
      <c r="A67" s="13"/>
      <c r="B67" s="4"/>
      <c r="C67" s="32">
        <v>1</v>
      </c>
      <c r="D67" s="76">
        <f>+H54</f>
        <v>409</v>
      </c>
      <c r="E67" s="76">
        <v>4</v>
      </c>
      <c r="F67" s="76" t="s">
        <v>31</v>
      </c>
      <c r="G67" s="51">
        <f>ROUND(PRODUCT(C67:F67),)</f>
        <v>1636</v>
      </c>
      <c r="H67" s="64"/>
      <c r="I67" s="24"/>
    </row>
    <row r="68" spans="1:9" ht="15" customHeight="1" x14ac:dyDescent="0.25">
      <c r="A68" s="13"/>
      <c r="B68" s="10"/>
      <c r="C68" s="779" t="s">
        <v>29</v>
      </c>
      <c r="D68" s="779"/>
      <c r="E68" s="779"/>
      <c r="F68" s="779"/>
      <c r="G68" s="53">
        <f>SUM(G67)</f>
        <v>1636</v>
      </c>
      <c r="H68" s="67">
        <f>ROUND(G68*1.001,0)</f>
        <v>1638</v>
      </c>
      <c r="I68" s="26" t="s">
        <v>12</v>
      </c>
    </row>
    <row r="69" spans="1:9" x14ac:dyDescent="0.25">
      <c r="A69" s="85"/>
      <c r="B69" s="86" t="s">
        <v>65</v>
      </c>
      <c r="C69" s="87"/>
      <c r="D69" s="88"/>
      <c r="E69" s="88"/>
      <c r="F69" s="88"/>
      <c r="G69" s="89"/>
      <c r="H69" s="90"/>
      <c r="I69" s="91"/>
    </row>
    <row r="70" spans="1:9" ht="42.75" x14ac:dyDescent="0.25">
      <c r="A70" s="57">
        <v>10</v>
      </c>
      <c r="B70" s="58" t="s">
        <v>66</v>
      </c>
      <c r="C70" s="38"/>
      <c r="D70" s="39"/>
      <c r="E70" s="39"/>
      <c r="F70" s="39"/>
      <c r="G70" s="54"/>
      <c r="H70" s="25"/>
      <c r="I70" s="24"/>
    </row>
    <row r="71" spans="1:9" x14ac:dyDescent="0.25">
      <c r="A71" s="92" t="s">
        <v>4</v>
      </c>
      <c r="B71" s="81" t="s">
        <v>201</v>
      </c>
      <c r="C71" s="93"/>
      <c r="D71" s="94"/>
      <c r="E71" s="94"/>
      <c r="F71" s="94"/>
      <c r="G71" s="95"/>
      <c r="H71" s="96"/>
      <c r="I71" s="97"/>
    </row>
    <row r="72" spans="1:9" x14ac:dyDescent="0.25">
      <c r="A72" s="98"/>
      <c r="B72" s="99"/>
      <c r="C72" s="100"/>
      <c r="D72" s="101"/>
      <c r="E72" s="101"/>
      <c r="F72" s="101"/>
      <c r="G72" s="102"/>
      <c r="H72" s="103"/>
      <c r="I72" s="104"/>
    </row>
    <row r="73" spans="1:9" x14ac:dyDescent="0.25">
      <c r="A73" s="98"/>
      <c r="B73" s="105" t="s">
        <v>68</v>
      </c>
      <c r="C73" s="106">
        <v>2</v>
      </c>
      <c r="D73" s="107">
        <f>15.25+0.75-1.5-0.75</f>
        <v>13.75</v>
      </c>
      <c r="E73" s="107">
        <v>0.67</v>
      </c>
      <c r="F73" s="107">
        <v>8</v>
      </c>
      <c r="G73" s="51">
        <f t="shared" ref="G73:G74" si="1">PRODUCT(C73:F73)</f>
        <v>147.4</v>
      </c>
      <c r="H73" s="108"/>
      <c r="I73" s="109"/>
    </row>
    <row r="74" spans="1:9" x14ac:dyDescent="0.25">
      <c r="A74" s="98"/>
      <c r="B74" s="105" t="s">
        <v>69</v>
      </c>
      <c r="C74" s="106">
        <v>2</v>
      </c>
      <c r="D74" s="107">
        <f>+D73</f>
        <v>13.75</v>
      </c>
      <c r="E74" s="107">
        <v>0.67</v>
      </c>
      <c r="F74" s="107">
        <v>8</v>
      </c>
      <c r="G74" s="51">
        <f t="shared" si="1"/>
        <v>147.4</v>
      </c>
      <c r="H74" s="108"/>
      <c r="I74" s="109"/>
    </row>
    <row r="75" spans="1:9" x14ac:dyDescent="0.25">
      <c r="A75" s="98"/>
      <c r="B75" s="99" t="s">
        <v>169</v>
      </c>
      <c r="C75" s="100"/>
      <c r="D75" s="101"/>
      <c r="E75" s="101"/>
      <c r="F75" s="101"/>
      <c r="G75" s="102"/>
      <c r="H75" s="103"/>
      <c r="I75" s="104"/>
    </row>
    <row r="76" spans="1:9" x14ac:dyDescent="0.25">
      <c r="A76" s="98"/>
      <c r="B76" s="105"/>
      <c r="C76" s="106">
        <v>-1</v>
      </c>
      <c r="D76" s="107">
        <v>2.5</v>
      </c>
      <c r="E76" s="107">
        <v>0.67</v>
      </c>
      <c r="F76" s="107">
        <v>7</v>
      </c>
      <c r="G76" s="51">
        <f t="shared" ref="G76:G77" si="2">PRODUCT(C76:F76)</f>
        <v>-11.725</v>
      </c>
      <c r="H76" s="108"/>
      <c r="I76" s="109"/>
    </row>
    <row r="77" spans="1:9" x14ac:dyDescent="0.25">
      <c r="A77" s="98"/>
      <c r="B77" s="105"/>
      <c r="C77" s="106">
        <v>-2</v>
      </c>
      <c r="D77" s="107">
        <v>4</v>
      </c>
      <c r="E77" s="107">
        <v>0.67</v>
      </c>
      <c r="F77" s="107">
        <v>3</v>
      </c>
      <c r="G77" s="51">
        <f t="shared" si="2"/>
        <v>-16.080000000000002</v>
      </c>
      <c r="H77" s="108"/>
      <c r="I77" s="109"/>
    </row>
    <row r="78" spans="1:9" ht="15" customHeight="1" x14ac:dyDescent="0.25">
      <c r="A78" s="82"/>
      <c r="B78" s="83"/>
      <c r="C78" s="779" t="s">
        <v>29</v>
      </c>
      <c r="D78" s="779"/>
      <c r="E78" s="779"/>
      <c r="F78" s="779"/>
      <c r="G78" s="53">
        <f>SUM(G73:G77)</f>
        <v>266.995</v>
      </c>
      <c r="H78" s="67">
        <f>ROUND(G78*1.001,0)</f>
        <v>267</v>
      </c>
      <c r="I78" s="26" t="s">
        <v>11</v>
      </c>
    </row>
    <row r="79" spans="1:9" ht="28.5" x14ac:dyDescent="0.25">
      <c r="A79" s="57">
        <v>11</v>
      </c>
      <c r="B79" s="58" t="s">
        <v>73</v>
      </c>
      <c r="C79" s="38"/>
      <c r="D79" s="39"/>
      <c r="E79" s="39"/>
      <c r="F79" s="39"/>
      <c r="G79" s="54"/>
      <c r="H79" s="25"/>
      <c r="I79" s="24"/>
    </row>
    <row r="80" spans="1:9" x14ac:dyDescent="0.25">
      <c r="A80" s="92" t="s">
        <v>4</v>
      </c>
      <c r="B80" s="81" t="s">
        <v>202</v>
      </c>
      <c r="C80" s="115"/>
      <c r="D80" s="116"/>
      <c r="E80" s="116"/>
      <c r="F80" s="116"/>
      <c r="G80" s="117"/>
      <c r="H80" s="112"/>
      <c r="I80" s="109"/>
    </row>
    <row r="81" spans="1:9" x14ac:dyDescent="0.25">
      <c r="A81" s="98"/>
      <c r="B81" s="105" t="s">
        <v>172</v>
      </c>
      <c r="C81" s="106">
        <v>1</v>
      </c>
      <c r="D81" s="107">
        <v>14.5</v>
      </c>
      <c r="E81" s="107">
        <v>14.5</v>
      </c>
      <c r="F81" s="107"/>
      <c r="G81" s="51">
        <f>+C81*D81*E81</f>
        <v>210.25</v>
      </c>
      <c r="H81" s="108"/>
      <c r="I81" s="109"/>
    </row>
    <row r="82" spans="1:9" x14ac:dyDescent="0.25">
      <c r="A82" s="98"/>
      <c r="B82" s="105" t="s">
        <v>171</v>
      </c>
      <c r="C82" s="106">
        <v>2</v>
      </c>
      <c r="D82" s="107">
        <f>+D81</f>
        <v>14.5</v>
      </c>
      <c r="E82" s="107"/>
      <c r="F82" s="107">
        <v>10</v>
      </c>
      <c r="G82" s="51">
        <f t="shared" ref="G82:G83" si="3">PRODUCT(C82:F82)</f>
        <v>290</v>
      </c>
      <c r="H82" s="108"/>
      <c r="I82" s="109"/>
    </row>
    <row r="83" spans="1:9" x14ac:dyDescent="0.25">
      <c r="A83" s="98"/>
      <c r="B83" s="105" t="s">
        <v>171</v>
      </c>
      <c r="C83" s="106">
        <v>2</v>
      </c>
      <c r="D83" s="107">
        <f>+E81</f>
        <v>14.5</v>
      </c>
      <c r="E83" s="107"/>
      <c r="F83" s="107">
        <v>10</v>
      </c>
      <c r="G83" s="51">
        <f t="shared" si="3"/>
        <v>290</v>
      </c>
      <c r="H83" s="108"/>
      <c r="I83" s="109"/>
    </row>
    <row r="84" spans="1:9" x14ac:dyDescent="0.25">
      <c r="A84" s="98"/>
      <c r="B84" s="99" t="s">
        <v>169</v>
      </c>
      <c r="C84" s="100"/>
      <c r="D84" s="101"/>
      <c r="E84" s="101"/>
      <c r="F84" s="101"/>
      <c r="G84" s="102"/>
      <c r="H84" s="103"/>
      <c r="I84" s="104"/>
    </row>
    <row r="85" spans="1:9" x14ac:dyDescent="0.25">
      <c r="A85" s="98"/>
      <c r="B85" s="105"/>
      <c r="C85" s="106">
        <v>-1</v>
      </c>
      <c r="D85" s="107">
        <v>2.5</v>
      </c>
      <c r="E85" s="107"/>
      <c r="F85" s="107">
        <v>7</v>
      </c>
      <c r="G85" s="51">
        <f>PRODUCT(C85:F85)</f>
        <v>-17.5</v>
      </c>
      <c r="H85" s="108"/>
      <c r="I85" s="109"/>
    </row>
    <row r="86" spans="1:9" x14ac:dyDescent="0.25">
      <c r="A86" s="98"/>
      <c r="B86" s="105"/>
      <c r="C86" s="106">
        <v>-2</v>
      </c>
      <c r="D86" s="107">
        <v>4</v>
      </c>
      <c r="E86" s="107"/>
      <c r="F86" s="107">
        <v>3</v>
      </c>
      <c r="G86" s="51">
        <f>PRODUCT(C86:F86)</f>
        <v>-24</v>
      </c>
      <c r="H86" s="108"/>
      <c r="I86" s="109"/>
    </row>
    <row r="87" spans="1:9" ht="15" customHeight="1" x14ac:dyDescent="0.25">
      <c r="A87" s="82"/>
      <c r="B87" s="83"/>
      <c r="C87" s="780" t="s">
        <v>29</v>
      </c>
      <c r="D87" s="781"/>
      <c r="E87" s="781"/>
      <c r="F87" s="782"/>
      <c r="G87" s="53">
        <f>SUM(G81:G86)</f>
        <v>748.75</v>
      </c>
      <c r="H87" s="67">
        <f>ROUND(G87*1.001,0)</f>
        <v>749</v>
      </c>
      <c r="I87" s="26" t="s">
        <v>10</v>
      </c>
    </row>
    <row r="88" spans="1:9" ht="28.5" x14ac:dyDescent="0.25">
      <c r="A88" s="57">
        <v>12</v>
      </c>
      <c r="B88" s="58" t="s">
        <v>77</v>
      </c>
      <c r="C88" s="38"/>
      <c r="D88" s="39"/>
      <c r="E88" s="39"/>
      <c r="F88" s="39"/>
      <c r="G88" s="54"/>
      <c r="H88" s="25"/>
      <c r="I88" s="24"/>
    </row>
    <row r="89" spans="1:9" x14ac:dyDescent="0.25">
      <c r="A89" s="98"/>
      <c r="B89" s="81" t="s">
        <v>78</v>
      </c>
      <c r="C89" s="115"/>
      <c r="D89" s="116"/>
      <c r="E89" s="116"/>
      <c r="F89" s="116"/>
      <c r="G89" s="117"/>
      <c r="H89" s="112"/>
      <c r="I89" s="109"/>
    </row>
    <row r="90" spans="1:9" x14ac:dyDescent="0.25">
      <c r="A90" s="98"/>
      <c r="B90" s="99" t="s">
        <v>202</v>
      </c>
      <c r="C90" s="100"/>
      <c r="D90" s="101"/>
      <c r="E90" s="101"/>
      <c r="F90" s="101"/>
      <c r="G90" s="102"/>
      <c r="H90" s="103"/>
      <c r="I90" s="104"/>
    </row>
    <row r="91" spans="1:9" x14ac:dyDescent="0.25">
      <c r="A91" s="98"/>
      <c r="B91" s="105"/>
      <c r="C91" s="106">
        <v>2</v>
      </c>
      <c r="D91" s="107">
        <f>15.25+0.75</f>
        <v>16</v>
      </c>
      <c r="E91" s="107"/>
      <c r="F91" s="107">
        <v>10</v>
      </c>
      <c r="G91" s="51">
        <f>PRODUCT(C91:F91)</f>
        <v>320</v>
      </c>
      <c r="H91" s="108"/>
      <c r="I91" s="109"/>
    </row>
    <row r="92" spans="1:9" x14ac:dyDescent="0.25">
      <c r="A92" s="98"/>
      <c r="B92" s="105"/>
      <c r="C92" s="106">
        <v>2</v>
      </c>
      <c r="D92" s="107">
        <f>15.25+0.75</f>
        <v>16</v>
      </c>
      <c r="E92" s="107"/>
      <c r="F92" s="107">
        <v>10</v>
      </c>
      <c r="G92" s="51">
        <f t="shared" ref="G92" si="4">PRODUCT(C92:F92)</f>
        <v>320</v>
      </c>
      <c r="H92" s="108"/>
      <c r="I92" s="109"/>
    </row>
    <row r="93" spans="1:9" x14ac:dyDescent="0.25">
      <c r="A93" s="98"/>
      <c r="B93" s="105" t="s">
        <v>173</v>
      </c>
      <c r="C93" s="106">
        <v>1</v>
      </c>
      <c r="D93" s="107">
        <f>(15.25+9+4)*4</f>
        <v>113</v>
      </c>
      <c r="E93" s="107"/>
      <c r="F93" s="107">
        <f>2+0.42</f>
        <v>2.42</v>
      </c>
      <c r="G93" s="51">
        <f>PRODUCT(C93:F93)</f>
        <v>273.45999999999998</v>
      </c>
      <c r="H93" s="108"/>
      <c r="I93" s="109"/>
    </row>
    <row r="94" spans="1:9" x14ac:dyDescent="0.25">
      <c r="A94" s="98"/>
      <c r="B94" s="99" t="s">
        <v>169</v>
      </c>
      <c r="C94" s="100"/>
      <c r="D94" s="101"/>
      <c r="E94" s="101"/>
      <c r="F94" s="101"/>
      <c r="G94" s="102"/>
      <c r="H94" s="103"/>
      <c r="I94" s="104"/>
    </row>
    <row r="95" spans="1:9" x14ac:dyDescent="0.25">
      <c r="A95" s="98"/>
      <c r="B95" s="105"/>
      <c r="C95" s="106">
        <v>-1</v>
      </c>
      <c r="D95" s="107">
        <v>2.5</v>
      </c>
      <c r="E95" s="107"/>
      <c r="F95" s="107">
        <v>7</v>
      </c>
      <c r="G95" s="51">
        <f>PRODUCT(C95:F95)</f>
        <v>-17.5</v>
      </c>
      <c r="H95" s="108"/>
      <c r="I95" s="109"/>
    </row>
    <row r="96" spans="1:9" x14ac:dyDescent="0.25">
      <c r="A96" s="98"/>
      <c r="B96" s="105"/>
      <c r="C96" s="106">
        <v>-2</v>
      </c>
      <c r="D96" s="107">
        <v>4</v>
      </c>
      <c r="E96" s="107"/>
      <c r="F96" s="107">
        <v>3</v>
      </c>
      <c r="G96" s="51">
        <f>PRODUCT(C96:F96)</f>
        <v>-24</v>
      </c>
      <c r="H96" s="108"/>
      <c r="I96" s="109"/>
    </row>
    <row r="97" spans="1:9" ht="15" customHeight="1" x14ac:dyDescent="0.25">
      <c r="A97" s="13"/>
      <c r="B97" s="10"/>
      <c r="C97" s="779" t="s">
        <v>29</v>
      </c>
      <c r="D97" s="779"/>
      <c r="E97" s="779"/>
      <c r="F97" s="779"/>
      <c r="G97" s="53">
        <f>SUM(G91:G96)</f>
        <v>871.96</v>
      </c>
      <c r="H97" s="67">
        <f>ROUND(G97*1.001,0)</f>
        <v>873</v>
      </c>
      <c r="I97" s="26" t="s">
        <v>10</v>
      </c>
    </row>
    <row r="98" spans="1:9" ht="71.25" x14ac:dyDescent="0.25">
      <c r="A98" s="57">
        <v>13</v>
      </c>
      <c r="B98" s="58" t="s">
        <v>79</v>
      </c>
      <c r="C98" s="38"/>
      <c r="D98" s="39"/>
      <c r="E98" s="39"/>
      <c r="F98" s="39"/>
      <c r="G98" s="120"/>
      <c r="H98" s="112"/>
      <c r="I98" s="121"/>
    </row>
    <row r="99" spans="1:9" x14ac:dyDescent="0.25">
      <c r="A99" s="98"/>
      <c r="B99" s="99" t="s">
        <v>202</v>
      </c>
      <c r="C99" s="100"/>
      <c r="D99" s="101"/>
      <c r="E99" s="101"/>
      <c r="F99" s="101"/>
      <c r="G99" s="102"/>
      <c r="H99" s="103"/>
      <c r="I99" s="104"/>
    </row>
    <row r="100" spans="1:9" x14ac:dyDescent="0.25">
      <c r="A100" s="98"/>
      <c r="B100" s="105" t="s">
        <v>172</v>
      </c>
      <c r="C100" s="106">
        <f>+C81</f>
        <v>1</v>
      </c>
      <c r="D100" s="107">
        <f>+D81</f>
        <v>14.5</v>
      </c>
      <c r="E100" s="107">
        <f>+E81</f>
        <v>14.5</v>
      </c>
      <c r="F100" s="107"/>
      <c r="G100" s="51">
        <f>+C100*D100*E100</f>
        <v>210.25</v>
      </c>
      <c r="H100" s="108"/>
      <c r="I100" s="109"/>
    </row>
    <row r="101" spans="1:9" ht="15" customHeight="1" x14ac:dyDescent="0.25">
      <c r="A101" s="82"/>
      <c r="B101" s="83"/>
      <c r="C101" s="780" t="s">
        <v>29</v>
      </c>
      <c r="D101" s="781"/>
      <c r="E101" s="781"/>
      <c r="F101" s="782"/>
      <c r="G101" s="53">
        <f>SUM(G100)</f>
        <v>210.25</v>
      </c>
      <c r="H101" s="67">
        <f>ROUND(G101*1.001,0)</f>
        <v>210</v>
      </c>
      <c r="I101" s="26" t="s">
        <v>10</v>
      </c>
    </row>
    <row r="102" spans="1:9" ht="57" x14ac:dyDescent="0.25">
      <c r="A102" s="57">
        <v>14</v>
      </c>
      <c r="B102" s="58" t="s">
        <v>81</v>
      </c>
      <c r="C102" s="38"/>
      <c r="D102" s="39"/>
      <c r="E102" s="39"/>
      <c r="F102" s="39"/>
      <c r="G102" s="120"/>
      <c r="H102" s="112"/>
      <c r="I102" s="121"/>
    </row>
    <row r="103" spans="1:9" x14ac:dyDescent="0.25">
      <c r="A103" s="98"/>
      <c r="B103" s="99" t="s">
        <v>202</v>
      </c>
      <c r="C103" s="100"/>
      <c r="D103" s="101"/>
      <c r="E103" s="101"/>
      <c r="F103" s="101"/>
      <c r="G103" s="102"/>
      <c r="H103" s="103"/>
      <c r="I103" s="104"/>
    </row>
    <row r="104" spans="1:9" x14ac:dyDescent="0.25">
      <c r="A104" s="98"/>
      <c r="B104" s="105" t="s">
        <v>171</v>
      </c>
      <c r="C104" s="106">
        <f>+C82</f>
        <v>2</v>
      </c>
      <c r="D104" s="107">
        <f>+D82</f>
        <v>14.5</v>
      </c>
      <c r="E104" s="107"/>
      <c r="F104" s="107">
        <v>10</v>
      </c>
      <c r="G104" s="51">
        <f>PRODUCT(C104:F104)</f>
        <v>290</v>
      </c>
      <c r="H104" s="108"/>
      <c r="I104" s="109"/>
    </row>
    <row r="105" spans="1:9" x14ac:dyDescent="0.25">
      <c r="A105" s="98"/>
      <c r="B105" s="105" t="s">
        <v>171</v>
      </c>
      <c r="C105" s="106">
        <f>+C83</f>
        <v>2</v>
      </c>
      <c r="D105" s="107">
        <f>+D83</f>
        <v>14.5</v>
      </c>
      <c r="E105" s="107"/>
      <c r="F105" s="107">
        <v>10</v>
      </c>
      <c r="G105" s="51">
        <f>PRODUCT(C105:F105)</f>
        <v>290</v>
      </c>
      <c r="H105" s="108"/>
      <c r="I105" s="109"/>
    </row>
    <row r="106" spans="1:9" x14ac:dyDescent="0.25">
      <c r="A106" s="98"/>
      <c r="B106" s="99" t="s">
        <v>169</v>
      </c>
      <c r="C106" s="100"/>
      <c r="D106" s="101"/>
      <c r="E106" s="101"/>
      <c r="F106" s="101"/>
      <c r="G106" s="102"/>
      <c r="H106" s="103"/>
      <c r="I106" s="104"/>
    </row>
    <row r="107" spans="1:9" x14ac:dyDescent="0.25">
      <c r="A107" s="98"/>
      <c r="B107" s="105"/>
      <c r="C107" s="106">
        <v>-1</v>
      </c>
      <c r="D107" s="107">
        <v>2.5</v>
      </c>
      <c r="E107" s="107"/>
      <c r="F107" s="107">
        <v>7</v>
      </c>
      <c r="G107" s="51">
        <f>PRODUCT(C107:F107)</f>
        <v>-17.5</v>
      </c>
      <c r="H107" s="108"/>
      <c r="I107" s="109"/>
    </row>
    <row r="108" spans="1:9" x14ac:dyDescent="0.25">
      <c r="A108" s="98"/>
      <c r="B108" s="105"/>
      <c r="C108" s="106">
        <v>-2</v>
      </c>
      <c r="D108" s="107">
        <v>4</v>
      </c>
      <c r="E108" s="107"/>
      <c r="F108" s="107">
        <v>3</v>
      </c>
      <c r="G108" s="51">
        <f>PRODUCT(C108:F108)</f>
        <v>-24</v>
      </c>
      <c r="H108" s="108"/>
      <c r="I108" s="109"/>
    </row>
    <row r="109" spans="1:9" ht="15" customHeight="1" x14ac:dyDescent="0.25">
      <c r="A109" s="82"/>
      <c r="B109" s="83"/>
      <c r="C109" s="780" t="s">
        <v>29</v>
      </c>
      <c r="D109" s="781"/>
      <c r="E109" s="781"/>
      <c r="F109" s="782"/>
      <c r="G109" s="53">
        <f>SUM(G101:G108)</f>
        <v>748.75</v>
      </c>
      <c r="H109" s="67">
        <f>ROUND(G109*1.001,0)</f>
        <v>749</v>
      </c>
      <c r="I109" s="26" t="s">
        <v>10</v>
      </c>
    </row>
    <row r="110" spans="1:9" ht="71.25" x14ac:dyDescent="0.25">
      <c r="A110" s="57">
        <v>15</v>
      </c>
      <c r="B110" s="58" t="s">
        <v>82</v>
      </c>
      <c r="C110" s="38"/>
      <c r="D110" s="39"/>
      <c r="E110" s="39"/>
      <c r="F110" s="39"/>
      <c r="G110" s="54"/>
      <c r="H110" s="25"/>
      <c r="I110" s="24"/>
    </row>
    <row r="111" spans="1:9" x14ac:dyDescent="0.25">
      <c r="A111" s="98"/>
      <c r="B111" s="99" t="s">
        <v>202</v>
      </c>
      <c r="C111" s="100"/>
      <c r="D111" s="101"/>
      <c r="E111" s="101"/>
      <c r="F111" s="101"/>
      <c r="G111" s="102"/>
      <c r="H111" s="103"/>
      <c r="I111" s="104"/>
    </row>
    <row r="112" spans="1:9" x14ac:dyDescent="0.25">
      <c r="A112" s="98"/>
      <c r="B112" s="105"/>
      <c r="C112" s="106">
        <v>2</v>
      </c>
      <c r="D112" s="107">
        <f>15.25+0.75</f>
        <v>16</v>
      </c>
      <c r="E112" s="107"/>
      <c r="F112" s="107">
        <v>10</v>
      </c>
      <c r="G112" s="51">
        <f>PRODUCT(C112:F112)</f>
        <v>320</v>
      </c>
      <c r="H112" s="108"/>
      <c r="I112" s="109"/>
    </row>
    <row r="113" spans="1:9" x14ac:dyDescent="0.25">
      <c r="A113" s="98"/>
      <c r="B113" s="105"/>
      <c r="C113" s="106">
        <v>2</v>
      </c>
      <c r="D113" s="107">
        <f>15.25+0.75</f>
        <v>16</v>
      </c>
      <c r="E113" s="107"/>
      <c r="F113" s="107">
        <v>10</v>
      </c>
      <c r="G113" s="51">
        <f t="shared" ref="G113" si="5">PRODUCT(C113:F113)</f>
        <v>320</v>
      </c>
      <c r="H113" s="108"/>
      <c r="I113" s="109"/>
    </row>
    <row r="114" spans="1:9" x14ac:dyDescent="0.25">
      <c r="A114" s="98"/>
      <c r="B114" s="105" t="s">
        <v>173</v>
      </c>
      <c r="C114" s="106">
        <v>1</v>
      </c>
      <c r="D114" s="107">
        <f>(15.25+9+4)*4</f>
        <v>113</v>
      </c>
      <c r="E114" s="107"/>
      <c r="F114" s="107">
        <f>2+0.42</f>
        <v>2.42</v>
      </c>
      <c r="G114" s="51">
        <f>PRODUCT(C114:F114)</f>
        <v>273.45999999999998</v>
      </c>
      <c r="H114" s="108"/>
      <c r="I114" s="109"/>
    </row>
    <row r="115" spans="1:9" x14ac:dyDescent="0.25">
      <c r="A115" s="98"/>
      <c r="B115" s="99" t="s">
        <v>169</v>
      </c>
      <c r="C115" s="100"/>
      <c r="D115" s="101"/>
      <c r="E115" s="101"/>
      <c r="F115" s="101"/>
      <c r="G115" s="102"/>
      <c r="H115" s="103"/>
      <c r="I115" s="104"/>
    </row>
    <row r="116" spans="1:9" x14ac:dyDescent="0.25">
      <c r="A116" s="98"/>
      <c r="B116" s="105"/>
      <c r="C116" s="106">
        <v>-1</v>
      </c>
      <c r="D116" s="107">
        <v>2.5</v>
      </c>
      <c r="E116" s="107"/>
      <c r="F116" s="107">
        <v>7</v>
      </c>
      <c r="G116" s="51">
        <f>PRODUCT(C116:F116)</f>
        <v>-17.5</v>
      </c>
      <c r="H116" s="108"/>
      <c r="I116" s="109"/>
    </row>
    <row r="117" spans="1:9" x14ac:dyDescent="0.25">
      <c r="A117" s="98"/>
      <c r="B117" s="105"/>
      <c r="C117" s="106">
        <v>-2</v>
      </c>
      <c r="D117" s="107">
        <v>4</v>
      </c>
      <c r="E117" s="107"/>
      <c r="F117" s="107">
        <v>3</v>
      </c>
      <c r="G117" s="51">
        <f>PRODUCT(C117:F117)</f>
        <v>-24</v>
      </c>
      <c r="H117" s="108"/>
      <c r="I117" s="109"/>
    </row>
    <row r="118" spans="1:9" ht="15" customHeight="1" x14ac:dyDescent="0.25">
      <c r="A118" s="13"/>
      <c r="B118" s="10"/>
      <c r="C118" s="779" t="s">
        <v>29</v>
      </c>
      <c r="D118" s="779"/>
      <c r="E118" s="779"/>
      <c r="F118" s="779"/>
      <c r="G118" s="53">
        <f>SUM(G112:G117)</f>
        <v>871.96</v>
      </c>
      <c r="H118" s="67">
        <f>ROUND(G118*1.001,0)</f>
        <v>873</v>
      </c>
      <c r="I118" s="26" t="s">
        <v>10</v>
      </c>
    </row>
    <row r="119" spans="1:9" x14ac:dyDescent="0.25">
      <c r="A119" s="57">
        <v>16</v>
      </c>
      <c r="B119" s="58" t="s">
        <v>174</v>
      </c>
      <c r="C119" s="38"/>
      <c r="D119" s="39"/>
      <c r="E119" s="39"/>
      <c r="F119" s="39"/>
      <c r="G119" s="54"/>
      <c r="H119" s="25"/>
      <c r="I119" s="24"/>
    </row>
    <row r="120" spans="1:9" x14ac:dyDescent="0.25">
      <c r="A120" s="92"/>
      <c r="B120" s="81" t="s">
        <v>168</v>
      </c>
      <c r="C120" s="115"/>
      <c r="D120" s="116"/>
      <c r="E120" s="116"/>
      <c r="F120" s="116"/>
      <c r="G120" s="117"/>
      <c r="H120" s="112"/>
      <c r="I120" s="109"/>
    </row>
    <row r="121" spans="1:9" x14ac:dyDescent="0.25">
      <c r="A121" s="98"/>
      <c r="B121" s="105"/>
      <c r="C121" s="115"/>
      <c r="D121" s="116"/>
      <c r="E121" s="116"/>
      <c r="F121" s="116"/>
      <c r="G121" s="117"/>
      <c r="H121" s="112"/>
      <c r="I121" s="109"/>
    </row>
    <row r="122" spans="1:9" x14ac:dyDescent="0.25">
      <c r="A122" s="98"/>
      <c r="B122" s="99" t="s">
        <v>202</v>
      </c>
      <c r="C122" s="100"/>
      <c r="D122" s="101"/>
      <c r="E122" s="101"/>
      <c r="F122" s="101"/>
      <c r="G122" s="102"/>
      <c r="H122" s="103"/>
      <c r="I122" s="104"/>
    </row>
    <row r="123" spans="1:9" x14ac:dyDescent="0.25">
      <c r="A123" s="98"/>
      <c r="B123" s="105"/>
      <c r="C123" s="106">
        <v>1</v>
      </c>
      <c r="D123" s="107">
        <v>14.5</v>
      </c>
      <c r="E123" s="107">
        <v>14.5</v>
      </c>
      <c r="F123" s="107"/>
      <c r="G123" s="51">
        <f>PRODUCT(C123:F123)</f>
        <v>210.25</v>
      </c>
      <c r="H123" s="108"/>
      <c r="I123" s="109"/>
    </row>
    <row r="124" spans="1:9" ht="15" customHeight="1" x14ac:dyDescent="0.25">
      <c r="A124" s="13"/>
      <c r="B124" s="10"/>
      <c r="C124" s="779" t="s">
        <v>29</v>
      </c>
      <c r="D124" s="779"/>
      <c r="E124" s="779"/>
      <c r="F124" s="779"/>
      <c r="G124" s="53">
        <f>SUM(G123)</f>
        <v>210.25</v>
      </c>
      <c r="H124" s="67">
        <f>ROUND(G124*1.001,0)</f>
        <v>210</v>
      </c>
      <c r="I124" s="26" t="s">
        <v>10</v>
      </c>
    </row>
    <row r="125" spans="1:9" x14ac:dyDescent="0.25">
      <c r="A125" s="57">
        <v>17</v>
      </c>
      <c r="B125" s="81" t="s">
        <v>179</v>
      </c>
      <c r="C125" s="110"/>
      <c r="D125" s="111"/>
      <c r="E125" s="111"/>
      <c r="F125" s="111"/>
      <c r="G125" s="113"/>
      <c r="H125" s="112"/>
      <c r="I125" s="109"/>
    </row>
    <row r="126" spans="1:9" x14ac:dyDescent="0.25">
      <c r="A126" s="98"/>
      <c r="B126" s="99"/>
      <c r="C126" s="100"/>
      <c r="D126" s="101"/>
      <c r="E126" s="101"/>
      <c r="F126" s="101"/>
      <c r="G126" s="102"/>
      <c r="H126" s="103"/>
      <c r="I126" s="104"/>
    </row>
    <row r="127" spans="1:9" x14ac:dyDescent="0.25">
      <c r="A127" s="98"/>
      <c r="B127" s="105"/>
      <c r="C127" s="106">
        <v>1</v>
      </c>
      <c r="D127" s="107"/>
      <c r="E127" s="107"/>
      <c r="F127" s="107"/>
      <c r="G127" s="51">
        <f t="shared" ref="G127" si="6">PRODUCT(C127:F127)</f>
        <v>1</v>
      </c>
      <c r="H127" s="108"/>
      <c r="I127" s="109"/>
    </row>
    <row r="128" spans="1:9" ht="15" customHeight="1" x14ac:dyDescent="0.25">
      <c r="A128" s="13"/>
      <c r="B128" s="10"/>
      <c r="C128" s="779" t="s">
        <v>29</v>
      </c>
      <c r="D128" s="779"/>
      <c r="E128" s="779"/>
      <c r="F128" s="779"/>
      <c r="G128" s="53">
        <f>SUM(G127:G127)</f>
        <v>1</v>
      </c>
      <c r="H128" s="67">
        <f>ROUND(G128*1.001,0)</f>
        <v>1</v>
      </c>
      <c r="I128" s="26" t="s">
        <v>178</v>
      </c>
    </row>
    <row r="129" spans="1:9" x14ac:dyDescent="0.25">
      <c r="A129" s="57">
        <v>18</v>
      </c>
      <c r="B129" s="81" t="s">
        <v>98</v>
      </c>
      <c r="C129" s="110"/>
      <c r="D129" s="111"/>
      <c r="E129" s="111"/>
      <c r="F129" s="111"/>
      <c r="G129" s="113"/>
      <c r="H129" s="112"/>
      <c r="I129" s="109"/>
    </row>
    <row r="130" spans="1:9" x14ac:dyDescent="0.25">
      <c r="A130" s="98"/>
      <c r="B130" s="99"/>
      <c r="C130" s="100"/>
      <c r="D130" s="101"/>
      <c r="E130" s="101"/>
      <c r="F130" s="101"/>
      <c r="G130" s="102"/>
      <c r="H130" s="103"/>
      <c r="I130" s="104"/>
    </row>
    <row r="131" spans="1:9" x14ac:dyDescent="0.25">
      <c r="A131" s="98"/>
      <c r="B131" s="105"/>
      <c r="C131" s="106">
        <v>2</v>
      </c>
      <c r="D131" s="107"/>
      <c r="E131" s="107"/>
      <c r="F131" s="107"/>
      <c r="G131" s="51">
        <f t="shared" ref="G131" si="7">PRODUCT(C131:F131)</f>
        <v>2</v>
      </c>
      <c r="H131" s="108"/>
      <c r="I131" s="109"/>
    </row>
    <row r="132" spans="1:9" ht="15" customHeight="1" x14ac:dyDescent="0.25">
      <c r="A132" s="13"/>
      <c r="B132" s="10"/>
      <c r="C132" s="779" t="s">
        <v>29</v>
      </c>
      <c r="D132" s="779"/>
      <c r="E132" s="779"/>
      <c r="F132" s="779"/>
      <c r="G132" s="53">
        <f>SUM(G131:G131)</f>
        <v>2</v>
      </c>
      <c r="H132" s="67">
        <f>ROUND(G132*1.001,0)</f>
        <v>2</v>
      </c>
      <c r="I132" s="26" t="s">
        <v>178</v>
      </c>
    </row>
  </sheetData>
  <mergeCells count="20">
    <mergeCell ref="C128:F128"/>
    <mergeCell ref="C132:F132"/>
    <mergeCell ref="C87:F87"/>
    <mergeCell ref="C97:F97"/>
    <mergeCell ref="C101:F101"/>
    <mergeCell ref="C109:F109"/>
    <mergeCell ref="C118:F118"/>
    <mergeCell ref="C124:F124"/>
    <mergeCell ref="C78:F78"/>
    <mergeCell ref="A1:I1"/>
    <mergeCell ref="C11:F11"/>
    <mergeCell ref="C17:F17"/>
    <mergeCell ref="C21:F21"/>
    <mergeCell ref="C28:F28"/>
    <mergeCell ref="D31:F31"/>
    <mergeCell ref="C32:F32"/>
    <mergeCell ref="C37:F37"/>
    <mergeCell ref="C54:F54"/>
    <mergeCell ref="C65:F65"/>
    <mergeCell ref="C68:F68"/>
  </mergeCells>
  <printOptions horizontalCentered="1"/>
  <pageMargins left="0.5" right="0.25" top="0.55000000000000004" bottom="0.25" header="0.17" footer="0.17"/>
  <pageSetup paperSize="9" scale="70" fitToHeight="0" orientation="portrait" r:id="rId1"/>
  <headerFooter alignWithMargins="0">
    <oddHeader>&amp;R&amp;"Arial Narrow,Regular"&amp;10&amp;A
 Page &amp;P of &amp;N</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K146"/>
  <sheetViews>
    <sheetView view="pageBreakPreview" zoomScaleSheetLayoutView="100" workbookViewId="0">
      <selection activeCell="I6" sqref="I6"/>
    </sheetView>
  </sheetViews>
  <sheetFormatPr defaultColWidth="23.5703125" defaultRowHeight="15" x14ac:dyDescent="0.25"/>
  <cols>
    <col min="1" max="1" width="5.7109375" style="8" customWidth="1"/>
    <col min="2" max="2" width="52.7109375" style="7" customWidth="1"/>
    <col min="3" max="6" width="10.7109375" style="3" customWidth="1"/>
    <col min="7" max="7" width="13.7109375" style="56" customWidth="1"/>
    <col min="8" max="8" width="13.7109375" style="70" customWidth="1"/>
    <col min="9" max="9" width="7.7109375" style="22" customWidth="1"/>
    <col min="10" max="16384" width="23.5703125" style="5"/>
  </cols>
  <sheetData>
    <row r="1" spans="1:11" s="1" customFormat="1" ht="24.95" customHeight="1" x14ac:dyDescent="0.25">
      <c r="A1" s="778" t="s">
        <v>27</v>
      </c>
      <c r="B1" s="778"/>
      <c r="C1" s="778"/>
      <c r="D1" s="778"/>
      <c r="E1" s="778"/>
      <c r="F1" s="778"/>
      <c r="G1" s="778"/>
      <c r="H1" s="778"/>
      <c r="I1" s="778"/>
    </row>
    <row r="2" spans="1:11" s="1" customFormat="1" ht="15" customHeight="1" x14ac:dyDescent="0.25">
      <c r="A2" s="12"/>
      <c r="B2" s="2"/>
      <c r="C2" s="2"/>
      <c r="D2" s="2"/>
      <c r="E2" s="2"/>
      <c r="F2" s="2"/>
      <c r="G2" s="47"/>
      <c r="H2" s="62"/>
      <c r="I2" s="2"/>
    </row>
    <row r="3" spans="1:11" s="3" customFormat="1" ht="30" x14ac:dyDescent="0.25">
      <c r="A3" s="74" t="s">
        <v>28</v>
      </c>
      <c r="B3" s="75" t="s">
        <v>0</v>
      </c>
      <c r="C3" s="75" t="s">
        <v>13</v>
      </c>
      <c r="D3" s="75" t="s">
        <v>14</v>
      </c>
      <c r="E3" s="75" t="s">
        <v>15</v>
      </c>
      <c r="F3" s="75" t="s">
        <v>16</v>
      </c>
      <c r="G3" s="75" t="s">
        <v>1</v>
      </c>
      <c r="H3" s="68" t="s">
        <v>30</v>
      </c>
      <c r="I3" s="75" t="s">
        <v>2</v>
      </c>
    </row>
    <row r="4" spans="1:11" s="3" customFormat="1" ht="18.75" customHeight="1" x14ac:dyDescent="0.25">
      <c r="A4" s="19" t="s">
        <v>3</v>
      </c>
      <c r="B4" s="20" t="s">
        <v>46</v>
      </c>
      <c r="C4" s="27"/>
      <c r="D4" s="27"/>
      <c r="E4" s="27"/>
      <c r="F4" s="27"/>
      <c r="G4" s="48"/>
      <c r="H4" s="69"/>
      <c r="I4" s="21"/>
    </row>
    <row r="5" spans="1:11" ht="156.75" x14ac:dyDescent="0.25">
      <c r="A5" s="65">
        <v>1</v>
      </c>
      <c r="B5" s="66" t="s">
        <v>20</v>
      </c>
      <c r="C5" s="28"/>
      <c r="D5" s="29"/>
      <c r="E5" s="29"/>
      <c r="F5" s="29"/>
      <c r="G5" s="49"/>
      <c r="H5" s="63"/>
      <c r="I5" s="23"/>
    </row>
    <row r="6" spans="1:11" x14ac:dyDescent="0.25">
      <c r="A6" s="14" t="s">
        <v>4</v>
      </c>
      <c r="B6" s="9" t="s">
        <v>170</v>
      </c>
      <c r="C6" s="30"/>
      <c r="D6" s="31"/>
      <c r="E6" s="31"/>
      <c r="F6" s="31"/>
      <c r="G6" s="50"/>
      <c r="H6" s="25"/>
      <c r="I6" s="24"/>
    </row>
    <row r="7" spans="1:11" x14ac:dyDescent="0.25">
      <c r="A7" s="13"/>
      <c r="B7" s="4"/>
      <c r="C7" s="32">
        <v>1</v>
      </c>
      <c r="D7" s="76">
        <f>26.67+1+1+0.33+0.33</f>
        <v>29.33</v>
      </c>
      <c r="E7" s="76">
        <f>26.67+1+1+0.33+0.33</f>
        <v>29.33</v>
      </c>
      <c r="F7" s="76">
        <f>13+0.75+1+0.5+0.67</f>
        <v>15.92</v>
      </c>
      <c r="G7" s="51">
        <f>PRODUCT(C7:F7)</f>
        <v>13695.162487999998</v>
      </c>
      <c r="H7" s="64"/>
      <c r="I7" s="24"/>
      <c r="J7" s="11"/>
      <c r="K7" s="11"/>
    </row>
    <row r="8" spans="1:11" x14ac:dyDescent="0.25">
      <c r="A8" s="13"/>
      <c r="B8" s="4"/>
      <c r="C8" s="138"/>
      <c r="D8" s="139"/>
      <c r="E8" s="139"/>
      <c r="F8" s="139"/>
      <c r="G8" s="78"/>
      <c r="H8" s="25"/>
      <c r="I8" s="24"/>
    </row>
    <row r="9" spans="1:11" ht="15" customHeight="1" x14ac:dyDescent="0.25">
      <c r="A9" s="13"/>
      <c r="B9" s="10"/>
      <c r="C9" s="779" t="s">
        <v>29</v>
      </c>
      <c r="D9" s="779"/>
      <c r="E9" s="779"/>
      <c r="F9" s="779"/>
      <c r="G9" s="53">
        <f>SUM(G7:G8)</f>
        <v>13695.162487999998</v>
      </c>
      <c r="H9" s="67">
        <f>ROUND(G9*1.001,0)</f>
        <v>13709</v>
      </c>
      <c r="I9" s="26" t="s">
        <v>11</v>
      </c>
    </row>
    <row r="10" spans="1:11" ht="128.25" x14ac:dyDescent="0.25">
      <c r="A10" s="57">
        <v>2</v>
      </c>
      <c r="B10" s="59" t="s">
        <v>53</v>
      </c>
      <c r="C10" s="36"/>
      <c r="D10" s="37"/>
      <c r="E10" s="37"/>
      <c r="F10" s="37"/>
      <c r="G10" s="52"/>
      <c r="H10" s="25"/>
      <c r="I10" s="24"/>
    </row>
    <row r="11" spans="1:11" x14ac:dyDescent="0.25">
      <c r="A11" s="14"/>
      <c r="B11" s="9"/>
      <c r="C11" s="32">
        <v>1</v>
      </c>
      <c r="D11" s="76">
        <f>+D7</f>
        <v>29.33</v>
      </c>
      <c r="E11" s="76">
        <f>+E7</f>
        <v>29.33</v>
      </c>
      <c r="F11" s="76">
        <f>+F7</f>
        <v>15.92</v>
      </c>
      <c r="G11" s="51">
        <f>PRODUCT(C11:F11)</f>
        <v>13695.162487999998</v>
      </c>
      <c r="H11" s="64"/>
      <c r="I11" s="24"/>
    </row>
    <row r="12" spans="1:11" x14ac:dyDescent="0.25">
      <c r="A12" s="14"/>
      <c r="B12" s="9" t="s">
        <v>203</v>
      </c>
      <c r="C12" s="32">
        <v>-1</v>
      </c>
      <c r="D12" s="76">
        <f>26.67+0.83+0.83</f>
        <v>28.33</v>
      </c>
      <c r="E12" s="76">
        <f>+E11-0.5-0.5</f>
        <v>28.33</v>
      </c>
      <c r="F12" s="76">
        <f>+F11</f>
        <v>15.92</v>
      </c>
      <c r="G12" s="51">
        <f>PRODUCT(C12:F12)</f>
        <v>-12777.215287999998</v>
      </c>
      <c r="H12" s="64"/>
      <c r="I12" s="24"/>
    </row>
    <row r="13" spans="1:11" ht="15" customHeight="1" x14ac:dyDescent="0.25">
      <c r="A13" s="13"/>
      <c r="B13" s="10"/>
      <c r="C13" s="779" t="s">
        <v>29</v>
      </c>
      <c r="D13" s="779"/>
      <c r="E13" s="779"/>
      <c r="F13" s="779"/>
      <c r="G13" s="53">
        <f>SUM(G11:G12)</f>
        <v>917.94720000000052</v>
      </c>
      <c r="H13" s="67">
        <f>ROUND(G13*1.001,0)</f>
        <v>919</v>
      </c>
      <c r="I13" s="26" t="s">
        <v>11</v>
      </c>
    </row>
    <row r="14" spans="1:11" ht="42.75" x14ac:dyDescent="0.25">
      <c r="A14" s="57">
        <v>3</v>
      </c>
      <c r="B14" s="58" t="s">
        <v>25</v>
      </c>
      <c r="C14" s="38"/>
      <c r="D14" s="39"/>
      <c r="E14" s="39"/>
      <c r="F14" s="39"/>
      <c r="G14" s="54"/>
      <c r="H14" s="25"/>
      <c r="I14" s="24"/>
    </row>
    <row r="15" spans="1:11" x14ac:dyDescent="0.25">
      <c r="A15" s="14"/>
      <c r="B15" s="9"/>
      <c r="C15" s="30"/>
      <c r="D15" s="31"/>
      <c r="E15" s="31"/>
      <c r="F15" s="31"/>
      <c r="G15" s="50"/>
      <c r="H15" s="25"/>
      <c r="I15" s="24"/>
    </row>
    <row r="16" spans="1:11" x14ac:dyDescent="0.25">
      <c r="A16" s="14"/>
      <c r="B16" s="9"/>
      <c r="C16" s="32">
        <v>1</v>
      </c>
      <c r="D16" s="76">
        <f>+D7</f>
        <v>29.33</v>
      </c>
      <c r="E16" s="76">
        <f>+E7</f>
        <v>29.33</v>
      </c>
      <c r="F16" s="76">
        <v>0.67</v>
      </c>
      <c r="G16" s="51">
        <f>PRODUCT(C16:F16)</f>
        <v>576.36676299999999</v>
      </c>
      <c r="H16" s="64"/>
      <c r="I16" s="24"/>
    </row>
    <row r="17" spans="1:9" ht="15" customHeight="1" x14ac:dyDescent="0.25">
      <c r="A17" s="13"/>
      <c r="B17" s="10"/>
      <c r="C17" s="779" t="s">
        <v>29</v>
      </c>
      <c r="D17" s="779"/>
      <c r="E17" s="779"/>
      <c r="F17" s="779"/>
      <c r="G17" s="53">
        <f>SUM(G16:G16)</f>
        <v>576.36676299999999</v>
      </c>
      <c r="H17" s="67">
        <f>ROUND(G17*1.001,0)</f>
        <v>577</v>
      </c>
      <c r="I17" s="26" t="s">
        <v>11</v>
      </c>
    </row>
    <row r="18" spans="1:9" ht="71.25" x14ac:dyDescent="0.25">
      <c r="A18" s="57">
        <v>4</v>
      </c>
      <c r="B18" s="58" t="s">
        <v>6</v>
      </c>
      <c r="C18" s="38"/>
      <c r="D18" s="39"/>
      <c r="E18" s="39"/>
      <c r="F18" s="39"/>
      <c r="G18" s="54"/>
      <c r="H18" s="25"/>
      <c r="I18" s="24"/>
    </row>
    <row r="19" spans="1:9" x14ac:dyDescent="0.25">
      <c r="A19" s="14" t="s">
        <v>4</v>
      </c>
      <c r="B19" s="9" t="s">
        <v>204</v>
      </c>
      <c r="C19" s="34"/>
      <c r="D19" s="35"/>
      <c r="E19" s="35"/>
      <c r="F19" s="35"/>
      <c r="G19" s="52"/>
      <c r="H19" s="25"/>
      <c r="I19" s="24"/>
    </row>
    <row r="20" spans="1:9" x14ac:dyDescent="0.25">
      <c r="A20" s="13"/>
      <c r="B20" s="4"/>
      <c r="C20" s="32">
        <v>1</v>
      </c>
      <c r="D20" s="76">
        <f>+D7</f>
        <v>29.33</v>
      </c>
      <c r="E20" s="76">
        <f>+E7</f>
        <v>29.33</v>
      </c>
      <c r="F20" s="76">
        <v>0.5</v>
      </c>
      <c r="G20" s="140">
        <f>PRODUCT(C20:F20)</f>
        <v>430.12444999999997</v>
      </c>
      <c r="H20" s="64"/>
      <c r="I20" s="24"/>
    </row>
    <row r="21" spans="1:9" x14ac:dyDescent="0.25">
      <c r="A21" s="14" t="s">
        <v>48</v>
      </c>
      <c r="B21" s="9" t="s">
        <v>205</v>
      </c>
      <c r="C21" s="34"/>
      <c r="D21" s="35"/>
      <c r="E21" s="35"/>
      <c r="F21" s="35"/>
      <c r="G21" s="52"/>
      <c r="H21" s="25"/>
      <c r="I21" s="24"/>
    </row>
    <row r="22" spans="1:9" x14ac:dyDescent="0.25">
      <c r="A22" s="13"/>
      <c r="B22" s="4"/>
      <c r="C22" s="32">
        <f>+C30</f>
        <v>2</v>
      </c>
      <c r="D22" s="76">
        <f>+D30</f>
        <v>28.33</v>
      </c>
      <c r="E22" s="76">
        <f>+E30</f>
        <v>4</v>
      </c>
      <c r="F22" s="76">
        <v>0.33</v>
      </c>
      <c r="G22" s="140">
        <f>PRODUCT(C22:F22)</f>
        <v>74.791200000000003</v>
      </c>
      <c r="H22" s="64"/>
      <c r="I22" s="24"/>
    </row>
    <row r="23" spans="1:9" ht="15" customHeight="1" x14ac:dyDescent="0.25">
      <c r="A23" s="13"/>
      <c r="B23" s="10"/>
      <c r="C23" s="779" t="s">
        <v>29</v>
      </c>
      <c r="D23" s="779"/>
      <c r="E23" s="779"/>
      <c r="F23" s="779"/>
      <c r="G23" s="53">
        <f>SUM(G20:G22)</f>
        <v>504.91564999999997</v>
      </c>
      <c r="H23" s="67">
        <f>ROUND(G23*1.001,0)</f>
        <v>505</v>
      </c>
      <c r="I23" s="26" t="s">
        <v>11</v>
      </c>
    </row>
    <row r="24" spans="1:9" x14ac:dyDescent="0.25">
      <c r="A24" s="57">
        <v>5</v>
      </c>
      <c r="B24" s="58" t="s">
        <v>206</v>
      </c>
      <c r="C24" s="38"/>
      <c r="D24" s="39"/>
      <c r="E24" s="39"/>
      <c r="F24" s="39"/>
      <c r="G24" s="54"/>
      <c r="H24" s="25"/>
      <c r="I24" s="24"/>
    </row>
    <row r="25" spans="1:9" x14ac:dyDescent="0.25">
      <c r="A25" s="14" t="s">
        <v>4</v>
      </c>
      <c r="B25" s="9" t="s">
        <v>204</v>
      </c>
      <c r="C25" s="34"/>
      <c r="D25" s="35"/>
      <c r="E25" s="35"/>
      <c r="F25" s="35"/>
      <c r="G25" s="52"/>
      <c r="H25" s="25"/>
      <c r="I25" s="24"/>
    </row>
    <row r="26" spans="1:9" x14ac:dyDescent="0.25">
      <c r="A26" s="13"/>
      <c r="B26" s="4"/>
      <c r="C26" s="32">
        <f>+C20</f>
        <v>1</v>
      </c>
      <c r="D26" s="76">
        <f>+D20</f>
        <v>29.33</v>
      </c>
      <c r="E26" s="76">
        <f>+E20</f>
        <v>29.33</v>
      </c>
      <c r="F26" s="76"/>
      <c r="G26" s="140">
        <f>PRODUCT(C26:F26)</f>
        <v>860.24889999999994</v>
      </c>
      <c r="H26" s="64"/>
      <c r="I26" s="24"/>
    </row>
    <row r="27" spans="1:9" ht="15" customHeight="1" x14ac:dyDescent="0.25">
      <c r="A27" s="13"/>
      <c r="B27" s="10"/>
      <c r="C27" s="779" t="s">
        <v>29</v>
      </c>
      <c r="D27" s="779"/>
      <c r="E27" s="779"/>
      <c r="F27" s="779"/>
      <c r="G27" s="53">
        <f>SUM(G26:G26)</f>
        <v>860.24889999999994</v>
      </c>
      <c r="H27" s="67">
        <f>ROUND(G27*1.001,0)</f>
        <v>861</v>
      </c>
      <c r="I27" s="26" t="s">
        <v>10</v>
      </c>
    </row>
    <row r="28" spans="1:9" ht="114" x14ac:dyDescent="0.25">
      <c r="A28" s="57">
        <v>6</v>
      </c>
      <c r="B28" s="58" t="s">
        <v>60</v>
      </c>
      <c r="C28" s="38"/>
      <c r="D28" s="39"/>
      <c r="E28" s="39" t="s">
        <v>189</v>
      </c>
      <c r="F28" s="39"/>
      <c r="G28" s="54"/>
      <c r="H28" s="25"/>
      <c r="I28" s="24"/>
    </row>
    <row r="29" spans="1:9" x14ac:dyDescent="0.25">
      <c r="A29" s="14" t="s">
        <v>4</v>
      </c>
      <c r="B29" s="9" t="s">
        <v>207</v>
      </c>
      <c r="C29" s="34"/>
      <c r="D29" s="35"/>
      <c r="E29" s="35"/>
      <c r="F29" s="35"/>
      <c r="G29" s="52"/>
      <c r="H29" s="25"/>
      <c r="I29" s="24"/>
    </row>
    <row r="30" spans="1:9" x14ac:dyDescent="0.25">
      <c r="A30" s="13"/>
      <c r="B30" s="4"/>
      <c r="C30" s="32">
        <v>2</v>
      </c>
      <c r="D30" s="76">
        <f>+D12</f>
        <v>28.33</v>
      </c>
      <c r="E30" s="76">
        <v>4</v>
      </c>
      <c r="F30" s="76">
        <v>0.5</v>
      </c>
      <c r="G30" s="51">
        <f>PRODUCT(C30:F30)</f>
        <v>113.32</v>
      </c>
      <c r="H30" s="64"/>
      <c r="I30" s="24"/>
    </row>
    <row r="31" spans="1:9" x14ac:dyDescent="0.25">
      <c r="A31" s="13"/>
      <c r="B31" s="4"/>
      <c r="C31" s="32">
        <v>2</v>
      </c>
      <c r="D31" s="76">
        <f>+D30</f>
        <v>28.33</v>
      </c>
      <c r="E31" s="76">
        <v>3</v>
      </c>
      <c r="F31" s="76">
        <v>0.5</v>
      </c>
      <c r="G31" s="51">
        <f>PRODUCT(C31:F31)</f>
        <v>84.99</v>
      </c>
      <c r="H31" s="64"/>
      <c r="I31" s="24"/>
    </row>
    <row r="32" spans="1:9" x14ac:dyDescent="0.25">
      <c r="A32" s="13"/>
      <c r="B32" s="4"/>
      <c r="C32" s="32">
        <v>2</v>
      </c>
      <c r="D32" s="76">
        <f>+D31</f>
        <v>28.33</v>
      </c>
      <c r="E32" s="76">
        <v>2</v>
      </c>
      <c r="F32" s="76">
        <v>0.5</v>
      </c>
      <c r="G32" s="51">
        <f>PRODUCT(C32:F32)</f>
        <v>56.66</v>
      </c>
      <c r="H32" s="64"/>
      <c r="I32" s="24"/>
    </row>
    <row r="33" spans="1:11" x14ac:dyDescent="0.25">
      <c r="A33" s="13"/>
      <c r="B33" s="4"/>
      <c r="C33" s="32">
        <v>2</v>
      </c>
      <c r="D33" s="76">
        <f>+D32</f>
        <v>28.33</v>
      </c>
      <c r="E33" s="76">
        <v>1</v>
      </c>
      <c r="F33" s="76">
        <v>0.5</v>
      </c>
      <c r="G33" s="51">
        <f>PRODUCT(C33:F33)</f>
        <v>28.33</v>
      </c>
      <c r="H33" s="64"/>
      <c r="I33" s="24"/>
    </row>
    <row r="34" spans="1:11" ht="15" customHeight="1" x14ac:dyDescent="0.25">
      <c r="A34" s="13"/>
      <c r="B34" s="10"/>
      <c r="C34" s="779" t="s">
        <v>29</v>
      </c>
      <c r="D34" s="779"/>
      <c r="E34" s="779"/>
      <c r="F34" s="779"/>
      <c r="G34" s="53">
        <f>SUM(G29:G33)</f>
        <v>283.3</v>
      </c>
      <c r="H34" s="67">
        <f>ROUND(G34*1.001,0)</f>
        <v>284</v>
      </c>
      <c r="I34" s="26" t="s">
        <v>11</v>
      </c>
    </row>
    <row r="35" spans="1:11" ht="171" x14ac:dyDescent="0.25">
      <c r="A35" s="57">
        <v>7</v>
      </c>
      <c r="B35" s="58" t="s">
        <v>7</v>
      </c>
      <c r="C35" s="38"/>
      <c r="D35" s="39"/>
      <c r="E35" s="39"/>
      <c r="F35" s="39"/>
      <c r="G35" s="54"/>
      <c r="H35" s="25"/>
      <c r="I35" s="24"/>
    </row>
    <row r="36" spans="1:11" x14ac:dyDescent="0.25">
      <c r="A36" s="15" t="s">
        <v>4</v>
      </c>
      <c r="B36" s="141" t="s">
        <v>208</v>
      </c>
      <c r="C36" s="142"/>
      <c r="D36" s="143"/>
      <c r="E36" s="143"/>
      <c r="F36" s="143"/>
      <c r="G36" s="50"/>
      <c r="H36" s="25"/>
      <c r="I36" s="24"/>
    </row>
    <row r="37" spans="1:11" x14ac:dyDescent="0.25">
      <c r="A37" s="13"/>
      <c r="B37" s="4"/>
      <c r="C37" s="32">
        <v>1</v>
      </c>
      <c r="D37" s="76">
        <f>26.67+1</f>
        <v>27.67</v>
      </c>
      <c r="E37" s="76">
        <f>26.67+1</f>
        <v>27.67</v>
      </c>
      <c r="F37" s="76">
        <v>1.25</v>
      </c>
      <c r="G37" s="51">
        <f>PRODUCT(C37:F37)</f>
        <v>957.03612500000008</v>
      </c>
      <c r="H37" s="64"/>
      <c r="I37" s="24"/>
      <c r="J37" s="11"/>
      <c r="K37" s="11"/>
    </row>
    <row r="38" spans="1:11" x14ac:dyDescent="0.25">
      <c r="A38" s="13"/>
      <c r="B38" s="4" t="s">
        <v>151</v>
      </c>
      <c r="C38" s="32">
        <v>1</v>
      </c>
      <c r="D38" s="76">
        <f>25*4</f>
        <v>100</v>
      </c>
      <c r="E38" s="783">
        <v>1</v>
      </c>
      <c r="F38" s="784"/>
      <c r="G38" s="51">
        <f>PRODUCT(C38:F38)</f>
        <v>100</v>
      </c>
      <c r="H38" s="64"/>
      <c r="I38" s="24"/>
      <c r="J38" s="11">
        <f>+J37/2</f>
        <v>0</v>
      </c>
      <c r="K38" s="11"/>
    </row>
    <row r="39" spans="1:11" x14ac:dyDescent="0.25">
      <c r="A39" s="15" t="s">
        <v>48</v>
      </c>
      <c r="B39" s="141" t="s">
        <v>209</v>
      </c>
      <c r="C39" s="142"/>
      <c r="D39" s="143"/>
      <c r="E39" s="143"/>
      <c r="F39" s="143"/>
      <c r="G39" s="50"/>
      <c r="H39" s="25"/>
      <c r="I39" s="24"/>
    </row>
    <row r="40" spans="1:11" x14ac:dyDescent="0.25">
      <c r="A40" s="13"/>
      <c r="B40" s="4"/>
      <c r="C40" s="32">
        <v>2</v>
      </c>
      <c r="D40" s="76">
        <f>+D37</f>
        <v>27.67</v>
      </c>
      <c r="E40" s="76">
        <v>0.83</v>
      </c>
      <c r="F40" s="76">
        <f>13.75+2-0.67</f>
        <v>15.08</v>
      </c>
      <c r="G40" s="51">
        <f>PRODUCT(C40:F40)</f>
        <v>692.65757600000006</v>
      </c>
      <c r="H40" s="64"/>
      <c r="I40" s="24"/>
      <c r="J40" s="11"/>
      <c r="K40" s="11"/>
    </row>
    <row r="41" spans="1:11" x14ac:dyDescent="0.25">
      <c r="A41" s="13"/>
      <c r="B41" s="4"/>
      <c r="C41" s="32">
        <v>2</v>
      </c>
      <c r="D41" s="76">
        <f>26.67-0.83-0.83</f>
        <v>25.010000000000005</v>
      </c>
      <c r="E41" s="76">
        <v>0.83</v>
      </c>
      <c r="F41" s="76">
        <f>13.75+2-0.67</f>
        <v>15.08</v>
      </c>
      <c r="G41" s="51">
        <f>PRODUCT(C41:F41)</f>
        <v>626.07032800000002</v>
      </c>
      <c r="H41" s="64"/>
      <c r="I41" s="24"/>
      <c r="J41" s="11"/>
      <c r="K41" s="11"/>
    </row>
    <row r="42" spans="1:11" x14ac:dyDescent="0.25">
      <c r="A42" s="15" t="s">
        <v>51</v>
      </c>
      <c r="B42" s="141" t="s">
        <v>153</v>
      </c>
      <c r="C42" s="142"/>
      <c r="D42" s="143"/>
      <c r="E42" s="143"/>
      <c r="F42" s="143"/>
      <c r="G42" s="50"/>
      <c r="H42" s="25"/>
      <c r="I42" s="24"/>
    </row>
    <row r="43" spans="1:11" x14ac:dyDescent="0.25">
      <c r="A43" s="13"/>
      <c r="B43" s="4"/>
      <c r="C43" s="32">
        <v>1</v>
      </c>
      <c r="D43" s="76">
        <v>26.67</v>
      </c>
      <c r="E43" s="76">
        <v>26.67</v>
      </c>
      <c r="F43" s="76">
        <v>0.67</v>
      </c>
      <c r="G43" s="51">
        <f>PRODUCT(C43:F43)</f>
        <v>476.5635630000001</v>
      </c>
      <c r="H43" s="64"/>
      <c r="I43" s="24"/>
      <c r="J43" s="11"/>
      <c r="K43" s="11"/>
    </row>
    <row r="44" spans="1:11" x14ac:dyDescent="0.25">
      <c r="A44" s="13"/>
      <c r="B44" s="4" t="s">
        <v>154</v>
      </c>
      <c r="C44" s="32">
        <v>-1</v>
      </c>
      <c r="D44" s="76">
        <v>2.5</v>
      </c>
      <c r="E44" s="76">
        <v>2.5</v>
      </c>
      <c r="F44" s="76">
        <v>0.67</v>
      </c>
      <c r="G44" s="51">
        <f>PRODUCT(C44:F44)</f>
        <v>-4.1875</v>
      </c>
      <c r="H44" s="64"/>
      <c r="I44" s="24"/>
      <c r="J44" s="11"/>
      <c r="K44" s="11"/>
    </row>
    <row r="45" spans="1:11" x14ac:dyDescent="0.25">
      <c r="A45" s="15" t="s">
        <v>52</v>
      </c>
      <c r="B45" s="141" t="s">
        <v>155</v>
      </c>
      <c r="C45" s="142"/>
      <c r="D45" s="143"/>
      <c r="E45" s="143"/>
      <c r="F45" s="143"/>
      <c r="G45" s="50"/>
      <c r="H45" s="25"/>
      <c r="I45" s="24"/>
    </row>
    <row r="46" spans="1:11" x14ac:dyDescent="0.25">
      <c r="A46" s="13"/>
      <c r="B46" s="4" t="s">
        <v>156</v>
      </c>
      <c r="C46" s="32">
        <v>2</v>
      </c>
      <c r="D46" s="76">
        <v>25</v>
      </c>
      <c r="E46" s="76">
        <v>1</v>
      </c>
      <c r="F46" s="76">
        <f>2.5-0.67</f>
        <v>1.83</v>
      </c>
      <c r="G46" s="51">
        <f>PRODUCT(C46:F46)</f>
        <v>91.5</v>
      </c>
      <c r="H46" s="64"/>
      <c r="I46" s="24"/>
      <c r="J46" s="11"/>
      <c r="K46" s="11"/>
    </row>
    <row r="47" spans="1:11" x14ac:dyDescent="0.25">
      <c r="A47" s="13"/>
      <c r="B47" s="4" t="s">
        <v>157</v>
      </c>
      <c r="C47" s="32">
        <v>2</v>
      </c>
      <c r="D47" s="76">
        <f>10.67-0.83</f>
        <v>9.84</v>
      </c>
      <c r="E47" s="76">
        <v>1</v>
      </c>
      <c r="F47" s="76">
        <f>2.5-0.67</f>
        <v>1.83</v>
      </c>
      <c r="G47" s="51">
        <f>PRODUCT(C47:F47)</f>
        <v>36.014400000000002</v>
      </c>
      <c r="H47" s="64"/>
      <c r="I47" s="24"/>
      <c r="J47" s="11"/>
      <c r="K47" s="11"/>
    </row>
    <row r="48" spans="1:11" x14ac:dyDescent="0.25">
      <c r="A48" s="15" t="s">
        <v>58</v>
      </c>
      <c r="B48" s="141" t="s">
        <v>158</v>
      </c>
      <c r="C48" s="142"/>
      <c r="D48" s="143"/>
      <c r="E48" s="143"/>
      <c r="F48" s="143"/>
      <c r="G48" s="50"/>
      <c r="H48" s="25"/>
      <c r="I48" s="24"/>
    </row>
    <row r="49" spans="1:11" x14ac:dyDescent="0.25">
      <c r="A49" s="13"/>
      <c r="B49" s="4" t="s">
        <v>159</v>
      </c>
      <c r="C49" s="32">
        <v>2</v>
      </c>
      <c r="D49" s="76">
        <f>19-4-1.5-0.75</f>
        <v>12.75</v>
      </c>
      <c r="E49" s="76">
        <v>0.75</v>
      </c>
      <c r="F49" s="76">
        <f>1.5-0.42</f>
        <v>1.08</v>
      </c>
      <c r="G49" s="51">
        <f>PRODUCT(C49:F49)</f>
        <v>20.655000000000001</v>
      </c>
      <c r="H49" s="64"/>
      <c r="I49" s="24"/>
      <c r="J49" s="11"/>
      <c r="K49" s="11"/>
    </row>
    <row r="50" spans="1:11" x14ac:dyDescent="0.25">
      <c r="A50" s="13"/>
      <c r="B50" s="4" t="s">
        <v>160</v>
      </c>
      <c r="C50" s="32">
        <v>1</v>
      </c>
      <c r="D50" s="76">
        <f>15-4-1.5</f>
        <v>9.5</v>
      </c>
      <c r="E50" s="76">
        <v>0.75</v>
      </c>
      <c r="F50" s="76">
        <f>1.5-0.42</f>
        <v>1.08</v>
      </c>
      <c r="G50" s="51">
        <f>PRODUCT(C50:F50)</f>
        <v>7.6950000000000003</v>
      </c>
      <c r="H50" s="64"/>
      <c r="I50" s="24"/>
      <c r="J50" s="11"/>
      <c r="K50" s="11"/>
    </row>
    <row r="51" spans="1:11" x14ac:dyDescent="0.25">
      <c r="A51" s="13"/>
      <c r="B51" s="4" t="s">
        <v>160</v>
      </c>
      <c r="C51" s="32">
        <v>1</v>
      </c>
      <c r="D51" s="76">
        <f>15-4-1.5-1.5</f>
        <v>8</v>
      </c>
      <c r="E51" s="76">
        <v>0.75</v>
      </c>
      <c r="F51" s="76">
        <f>1.5-0.42</f>
        <v>1.08</v>
      </c>
      <c r="G51" s="51">
        <f>PRODUCT(C51:F51)</f>
        <v>6.48</v>
      </c>
      <c r="H51" s="64"/>
      <c r="I51" s="24"/>
      <c r="J51" s="11"/>
      <c r="K51" s="11"/>
    </row>
    <row r="52" spans="1:11" x14ac:dyDescent="0.25">
      <c r="A52" s="15" t="s">
        <v>161</v>
      </c>
      <c r="B52" s="141" t="s">
        <v>162</v>
      </c>
      <c r="C52" s="142"/>
      <c r="D52" s="143"/>
      <c r="E52" s="143"/>
      <c r="F52" s="143"/>
      <c r="G52" s="50"/>
      <c r="H52" s="25"/>
      <c r="I52" s="24"/>
    </row>
    <row r="53" spans="1:11" x14ac:dyDescent="0.25">
      <c r="A53" s="13"/>
      <c r="B53" s="4"/>
      <c r="C53" s="32">
        <v>4</v>
      </c>
      <c r="D53" s="76">
        <v>1.5</v>
      </c>
      <c r="E53" s="76">
        <v>0.75</v>
      </c>
      <c r="F53" s="76">
        <v>10</v>
      </c>
      <c r="G53" s="51">
        <f>PRODUCT(C53:F53)</f>
        <v>45</v>
      </c>
      <c r="H53" s="64"/>
      <c r="I53" s="24"/>
      <c r="J53" s="11"/>
      <c r="K53" s="11"/>
    </row>
    <row r="54" spans="1:11" x14ac:dyDescent="0.25">
      <c r="A54" s="15" t="s">
        <v>163</v>
      </c>
      <c r="B54" s="141" t="s">
        <v>164</v>
      </c>
      <c r="C54" s="142"/>
      <c r="D54" s="143"/>
      <c r="E54" s="143"/>
      <c r="F54" s="143"/>
      <c r="G54" s="50"/>
      <c r="H54" s="25"/>
      <c r="I54" s="24"/>
    </row>
    <row r="55" spans="1:11" x14ac:dyDescent="0.25">
      <c r="A55" s="13"/>
      <c r="B55" s="4"/>
      <c r="C55" s="32">
        <v>1</v>
      </c>
      <c r="D55" s="76">
        <v>15</v>
      </c>
      <c r="E55" s="76">
        <v>19</v>
      </c>
      <c r="F55" s="76">
        <v>0.42</v>
      </c>
      <c r="G55" s="51">
        <f>PRODUCT(C55:F55)</f>
        <v>119.69999999999999</v>
      </c>
      <c r="H55" s="64"/>
      <c r="I55" s="24"/>
      <c r="J55" s="11"/>
      <c r="K55" s="11"/>
    </row>
    <row r="56" spans="1:11" x14ac:dyDescent="0.25">
      <c r="A56" s="13"/>
      <c r="B56" s="4"/>
      <c r="C56" s="32"/>
      <c r="D56" s="76"/>
      <c r="E56" s="144"/>
      <c r="F56" s="145"/>
      <c r="G56" s="51"/>
      <c r="H56" s="64"/>
      <c r="I56" s="24"/>
      <c r="J56" s="11"/>
      <c r="K56" s="11"/>
    </row>
    <row r="57" spans="1:11" ht="15" customHeight="1" x14ac:dyDescent="0.25">
      <c r="A57" s="13"/>
      <c r="B57" s="10"/>
      <c r="C57" s="779" t="s">
        <v>29</v>
      </c>
      <c r="D57" s="779"/>
      <c r="E57" s="779"/>
      <c r="F57" s="779"/>
      <c r="G57" s="53">
        <f>SUM(G37:G56)</f>
        <v>3175.1844920000003</v>
      </c>
      <c r="H57" s="67">
        <f>ROUND(G57*1.001,0)</f>
        <v>3178</v>
      </c>
      <c r="I57" s="26" t="s">
        <v>11</v>
      </c>
    </row>
    <row r="58" spans="1:11" ht="42.75" x14ac:dyDescent="0.25">
      <c r="A58" s="57">
        <v>8</v>
      </c>
      <c r="B58" s="58" t="s">
        <v>35</v>
      </c>
      <c r="C58" s="40"/>
      <c r="D58" s="41"/>
      <c r="E58" s="41"/>
      <c r="F58" s="41"/>
      <c r="G58" s="55"/>
      <c r="H58" s="25"/>
      <c r="I58" s="24"/>
    </row>
    <row r="59" spans="1:11" x14ac:dyDescent="0.25">
      <c r="A59" s="15"/>
      <c r="B59" s="81" t="s">
        <v>165</v>
      </c>
      <c r="C59" s="42"/>
      <c r="D59" s="43"/>
      <c r="E59" s="43"/>
      <c r="F59" s="43"/>
      <c r="G59" s="50"/>
      <c r="H59" s="25"/>
      <c r="I59" s="24"/>
    </row>
    <row r="60" spans="1:11" x14ac:dyDescent="0.25">
      <c r="A60" s="13"/>
      <c r="B60" s="4" t="s">
        <v>166</v>
      </c>
      <c r="C60" s="32">
        <v>1</v>
      </c>
      <c r="D60" s="76">
        <f>(26.67+1+1)*4</f>
        <v>114.68</v>
      </c>
      <c r="E60" s="76">
        <f>1.25+1</f>
        <v>2.25</v>
      </c>
      <c r="F60" s="76" t="s">
        <v>19</v>
      </c>
      <c r="G60" s="51">
        <f>PRODUCT(C60:F60)</f>
        <v>258.03000000000003</v>
      </c>
      <c r="H60" s="64"/>
      <c r="I60" s="24"/>
      <c r="J60" s="11"/>
      <c r="K60" s="11"/>
    </row>
    <row r="61" spans="1:11" x14ac:dyDescent="0.25">
      <c r="A61" s="13"/>
      <c r="B61" s="4" t="s">
        <v>167</v>
      </c>
      <c r="C61" s="32">
        <v>1</v>
      </c>
      <c r="D61" s="76">
        <f>+(26.67)*4</f>
        <v>106.68</v>
      </c>
      <c r="E61" s="76"/>
      <c r="F61" s="76">
        <v>13.75</v>
      </c>
      <c r="G61" s="51">
        <f>PRODUCT(C61:F61)</f>
        <v>1466.8500000000001</v>
      </c>
      <c r="H61" s="64"/>
      <c r="I61" s="24"/>
      <c r="J61" s="11"/>
      <c r="K61" s="11"/>
    </row>
    <row r="62" spans="1:11" ht="15" customHeight="1" x14ac:dyDescent="0.25">
      <c r="A62" s="13"/>
      <c r="B62" s="10"/>
      <c r="C62" s="779" t="s">
        <v>29</v>
      </c>
      <c r="D62" s="779"/>
      <c r="E62" s="779"/>
      <c r="F62" s="779"/>
      <c r="G62" s="53">
        <f>SUM(G60:G61)</f>
        <v>1724.88</v>
      </c>
      <c r="H62" s="67">
        <f>ROUND(G62*1.001,0)</f>
        <v>1727</v>
      </c>
      <c r="I62" s="26" t="s">
        <v>10</v>
      </c>
    </row>
    <row r="63" spans="1:11" ht="42.75" x14ac:dyDescent="0.25">
      <c r="A63" s="57">
        <v>9</v>
      </c>
      <c r="B63" s="61" t="s">
        <v>9</v>
      </c>
      <c r="C63" s="30"/>
      <c r="D63" s="31"/>
      <c r="E63" s="31"/>
      <c r="F63" s="31"/>
      <c r="G63" s="50"/>
      <c r="H63" s="25"/>
      <c r="I63" s="24"/>
    </row>
    <row r="64" spans="1:11" x14ac:dyDescent="0.25">
      <c r="A64" s="13"/>
      <c r="B64" s="4"/>
      <c r="C64" s="32">
        <v>1</v>
      </c>
      <c r="D64" s="76">
        <f>+H57</f>
        <v>3178</v>
      </c>
      <c r="E64" s="76">
        <v>4</v>
      </c>
      <c r="F64" s="76" t="s">
        <v>31</v>
      </c>
      <c r="G64" s="51">
        <f>ROUND(PRODUCT(C64:F64),)</f>
        <v>12712</v>
      </c>
      <c r="H64" s="64"/>
      <c r="I64" s="24"/>
    </row>
    <row r="65" spans="1:9" ht="15" customHeight="1" x14ac:dyDescent="0.25">
      <c r="A65" s="13"/>
      <c r="B65" s="10"/>
      <c r="C65" s="779" t="s">
        <v>29</v>
      </c>
      <c r="D65" s="779"/>
      <c r="E65" s="779"/>
      <c r="F65" s="779"/>
      <c r="G65" s="53">
        <f>SUM(G64)</f>
        <v>12712</v>
      </c>
      <c r="H65" s="67">
        <f>ROUND(G65*1.001,0)</f>
        <v>12725</v>
      </c>
      <c r="I65" s="26" t="s">
        <v>12</v>
      </c>
    </row>
    <row r="66" spans="1:9" x14ac:dyDescent="0.25">
      <c r="A66" s="85"/>
      <c r="B66" s="86" t="s">
        <v>65</v>
      </c>
      <c r="C66" s="87"/>
      <c r="D66" s="88"/>
      <c r="E66" s="88"/>
      <c r="F66" s="88"/>
      <c r="G66" s="89"/>
      <c r="H66" s="90"/>
      <c r="I66" s="91"/>
    </row>
    <row r="67" spans="1:9" ht="42.75" x14ac:dyDescent="0.25">
      <c r="A67" s="57">
        <v>10</v>
      </c>
      <c r="B67" s="58" t="s">
        <v>66</v>
      </c>
      <c r="C67" s="38"/>
      <c r="D67" s="39"/>
      <c r="E67" s="39"/>
      <c r="F67" s="39"/>
      <c r="G67" s="54"/>
      <c r="H67" s="25"/>
      <c r="I67" s="24"/>
    </row>
    <row r="68" spans="1:9" x14ac:dyDescent="0.25">
      <c r="A68" s="92" t="s">
        <v>4</v>
      </c>
      <c r="B68" s="81" t="s">
        <v>168</v>
      </c>
      <c r="C68" s="93"/>
      <c r="D68" s="94"/>
      <c r="E68" s="94"/>
      <c r="F68" s="94"/>
      <c r="G68" s="95"/>
      <c r="H68" s="96"/>
      <c r="I68" s="97"/>
    </row>
    <row r="69" spans="1:9" x14ac:dyDescent="0.25">
      <c r="A69" s="98"/>
      <c r="B69" s="99" t="s">
        <v>168</v>
      </c>
      <c r="C69" s="100"/>
      <c r="D69" s="101"/>
      <c r="E69" s="101"/>
      <c r="F69" s="101"/>
      <c r="G69" s="102"/>
      <c r="H69" s="103"/>
      <c r="I69" s="104"/>
    </row>
    <row r="70" spans="1:9" x14ac:dyDescent="0.25">
      <c r="A70" s="98"/>
      <c r="B70" s="105" t="s">
        <v>68</v>
      </c>
      <c r="C70" s="106">
        <v>2</v>
      </c>
      <c r="D70" s="107">
        <f>19-4-1.5-0.75</f>
        <v>12.75</v>
      </c>
      <c r="E70" s="107">
        <v>0.67</v>
      </c>
      <c r="F70" s="107">
        <f>10-1.5</f>
        <v>8.5</v>
      </c>
      <c r="G70" s="51">
        <f t="shared" ref="G70:G72" si="0">PRODUCT(C70:F70)</f>
        <v>145.2225</v>
      </c>
      <c r="H70" s="108"/>
      <c r="I70" s="109"/>
    </row>
    <row r="71" spans="1:9" x14ac:dyDescent="0.25">
      <c r="A71" s="98"/>
      <c r="B71" s="105" t="s">
        <v>69</v>
      </c>
      <c r="C71" s="106">
        <v>1</v>
      </c>
      <c r="D71" s="107">
        <f>15-4-0.75-0.75</f>
        <v>9.5</v>
      </c>
      <c r="E71" s="107">
        <v>0.67</v>
      </c>
      <c r="F71" s="107">
        <f>10-1.5</f>
        <v>8.5</v>
      </c>
      <c r="G71" s="51">
        <f t="shared" si="0"/>
        <v>54.102499999999999</v>
      </c>
      <c r="H71" s="108"/>
      <c r="I71" s="109"/>
    </row>
    <row r="72" spans="1:9" x14ac:dyDescent="0.25">
      <c r="A72" s="98"/>
      <c r="B72" s="105" t="s">
        <v>69</v>
      </c>
      <c r="C72" s="106">
        <v>1</v>
      </c>
      <c r="D72" s="107">
        <f>15-4-3</f>
        <v>8</v>
      </c>
      <c r="E72" s="107">
        <v>0.67</v>
      </c>
      <c r="F72" s="107">
        <f>10-1.5</f>
        <v>8.5</v>
      </c>
      <c r="G72" s="51">
        <f t="shared" si="0"/>
        <v>45.56</v>
      </c>
      <c r="H72" s="108"/>
      <c r="I72" s="109"/>
    </row>
    <row r="73" spans="1:9" x14ac:dyDescent="0.25">
      <c r="A73" s="98"/>
      <c r="B73" s="99" t="s">
        <v>169</v>
      </c>
      <c r="C73" s="100"/>
      <c r="D73" s="101"/>
      <c r="E73" s="101"/>
      <c r="F73" s="101"/>
      <c r="G73" s="102"/>
      <c r="H73" s="103"/>
      <c r="I73" s="104"/>
    </row>
    <row r="74" spans="1:9" x14ac:dyDescent="0.25">
      <c r="A74" s="98"/>
      <c r="B74" s="105"/>
      <c r="C74" s="106">
        <v>-1</v>
      </c>
      <c r="D74" s="107">
        <v>2.5</v>
      </c>
      <c r="E74" s="107">
        <v>0.67</v>
      </c>
      <c r="F74" s="107">
        <v>7</v>
      </c>
      <c r="G74" s="51">
        <f t="shared" ref="G74:G75" si="1">PRODUCT(C74:F74)</f>
        <v>-11.725</v>
      </c>
      <c r="H74" s="108"/>
      <c r="I74" s="109"/>
    </row>
    <row r="75" spans="1:9" x14ac:dyDescent="0.25">
      <c r="A75" s="98"/>
      <c r="B75" s="105"/>
      <c r="C75" s="106">
        <v>-2</v>
      </c>
      <c r="D75" s="107">
        <v>4</v>
      </c>
      <c r="E75" s="107">
        <v>0.67</v>
      </c>
      <c r="F75" s="107">
        <v>3</v>
      </c>
      <c r="G75" s="51">
        <f t="shared" si="1"/>
        <v>-16.080000000000002</v>
      </c>
      <c r="H75" s="108"/>
      <c r="I75" s="109"/>
    </row>
    <row r="76" spans="1:9" ht="15" customHeight="1" x14ac:dyDescent="0.25">
      <c r="A76" s="82"/>
      <c r="B76" s="83"/>
      <c r="C76" s="779" t="s">
        <v>29</v>
      </c>
      <c r="D76" s="779"/>
      <c r="E76" s="779"/>
      <c r="F76" s="779"/>
      <c r="G76" s="53">
        <f>SUM(G70:G75)</f>
        <v>217.07999999999998</v>
      </c>
      <c r="H76" s="67">
        <f>ROUND(G76*1.001,0)</f>
        <v>217</v>
      </c>
      <c r="I76" s="26" t="s">
        <v>11</v>
      </c>
    </row>
    <row r="77" spans="1:9" ht="28.5" x14ac:dyDescent="0.25">
      <c r="A77" s="57">
        <v>11</v>
      </c>
      <c r="B77" s="58" t="s">
        <v>73</v>
      </c>
      <c r="C77" s="38"/>
      <c r="D77" s="39"/>
      <c r="E77" s="39"/>
      <c r="F77" s="39"/>
      <c r="G77" s="54"/>
      <c r="H77" s="25"/>
      <c r="I77" s="24"/>
    </row>
    <row r="78" spans="1:9" x14ac:dyDescent="0.25">
      <c r="A78" s="92" t="s">
        <v>4</v>
      </c>
      <c r="B78" s="81" t="s">
        <v>170</v>
      </c>
      <c r="C78" s="115"/>
      <c r="D78" s="116"/>
      <c r="E78" s="116"/>
      <c r="F78" s="116"/>
      <c r="G78" s="117"/>
      <c r="H78" s="112"/>
      <c r="I78" s="109"/>
    </row>
    <row r="79" spans="1:9" x14ac:dyDescent="0.25">
      <c r="A79" s="98"/>
      <c r="B79" s="99" t="s">
        <v>170</v>
      </c>
      <c r="C79" s="100"/>
      <c r="D79" s="101"/>
      <c r="E79" s="101"/>
      <c r="F79" s="101"/>
      <c r="G79" s="102"/>
      <c r="H79" s="103"/>
      <c r="I79" s="104"/>
    </row>
    <row r="80" spans="1:9" x14ac:dyDescent="0.25">
      <c r="A80" s="98"/>
      <c r="B80" s="105" t="s">
        <v>75</v>
      </c>
      <c r="C80" s="106">
        <v>1</v>
      </c>
      <c r="D80" s="107">
        <v>25</v>
      </c>
      <c r="E80" s="107">
        <v>25</v>
      </c>
      <c r="F80" s="107"/>
      <c r="G80" s="51">
        <f t="shared" ref="G80:G81" si="2">PRODUCT(C80:F80)</f>
        <v>625</v>
      </c>
      <c r="H80" s="108"/>
      <c r="I80" s="109"/>
    </row>
    <row r="81" spans="1:9" x14ac:dyDescent="0.25">
      <c r="A81" s="98"/>
      <c r="B81" s="105" t="s">
        <v>171</v>
      </c>
      <c r="C81" s="106">
        <v>4</v>
      </c>
      <c r="D81" s="107">
        <v>25</v>
      </c>
      <c r="E81" s="107"/>
      <c r="F81" s="107">
        <v>13.75</v>
      </c>
      <c r="G81" s="51">
        <f t="shared" si="2"/>
        <v>1375</v>
      </c>
      <c r="H81" s="108"/>
      <c r="I81" s="109"/>
    </row>
    <row r="82" spans="1:9" x14ac:dyDescent="0.25">
      <c r="A82" s="98"/>
      <c r="B82" s="99" t="s">
        <v>168</v>
      </c>
      <c r="C82" s="100"/>
      <c r="D82" s="101"/>
      <c r="E82" s="101"/>
      <c r="F82" s="101"/>
      <c r="G82" s="102"/>
      <c r="H82" s="103"/>
      <c r="I82" s="104"/>
    </row>
    <row r="83" spans="1:9" x14ac:dyDescent="0.25">
      <c r="A83" s="98"/>
      <c r="B83" s="105" t="s">
        <v>172</v>
      </c>
      <c r="C83" s="106">
        <v>1</v>
      </c>
      <c r="D83" s="107">
        <v>13.42</v>
      </c>
      <c r="E83" s="107">
        <v>9.58</v>
      </c>
      <c r="F83" s="107"/>
      <c r="G83" s="51">
        <f>+C83*D83*E83</f>
        <v>128.56360000000001</v>
      </c>
      <c r="H83" s="108"/>
      <c r="I83" s="109"/>
    </row>
    <row r="84" spans="1:9" x14ac:dyDescent="0.25">
      <c r="A84" s="98"/>
      <c r="B84" s="105" t="s">
        <v>171</v>
      </c>
      <c r="C84" s="106">
        <v>2</v>
      </c>
      <c r="D84" s="107">
        <v>13.42</v>
      </c>
      <c r="E84" s="107"/>
      <c r="F84" s="107">
        <v>10</v>
      </c>
      <c r="G84" s="51">
        <f t="shared" ref="G84:G85" si="3">PRODUCT(C84:F84)</f>
        <v>268.39999999999998</v>
      </c>
      <c r="H84" s="108"/>
      <c r="I84" s="109"/>
    </row>
    <row r="85" spans="1:9" x14ac:dyDescent="0.25">
      <c r="A85" s="98"/>
      <c r="B85" s="105" t="s">
        <v>171</v>
      </c>
      <c r="C85" s="106">
        <v>2</v>
      </c>
      <c r="D85" s="107">
        <v>9.58</v>
      </c>
      <c r="E85" s="107"/>
      <c r="F85" s="107">
        <v>10</v>
      </c>
      <c r="G85" s="51">
        <f t="shared" si="3"/>
        <v>191.6</v>
      </c>
      <c r="H85" s="108"/>
      <c r="I85" s="109"/>
    </row>
    <row r="86" spans="1:9" x14ac:dyDescent="0.25">
      <c r="A86" s="98"/>
      <c r="B86" s="99" t="s">
        <v>169</v>
      </c>
      <c r="C86" s="100"/>
      <c r="D86" s="101"/>
      <c r="E86" s="101"/>
      <c r="F86" s="101"/>
      <c r="G86" s="102"/>
      <c r="H86" s="103"/>
      <c r="I86" s="104"/>
    </row>
    <row r="87" spans="1:9" x14ac:dyDescent="0.25">
      <c r="A87" s="98"/>
      <c r="B87" s="105"/>
      <c r="C87" s="106">
        <v>-1</v>
      </c>
      <c r="D87" s="107">
        <v>2.5</v>
      </c>
      <c r="E87" s="107"/>
      <c r="F87" s="107">
        <v>7</v>
      </c>
      <c r="G87" s="51">
        <f>PRODUCT(C87:F87)</f>
        <v>-17.5</v>
      </c>
      <c r="H87" s="108"/>
      <c r="I87" s="109"/>
    </row>
    <row r="88" spans="1:9" x14ac:dyDescent="0.25">
      <c r="A88" s="98"/>
      <c r="B88" s="105"/>
      <c r="C88" s="106">
        <v>-2</v>
      </c>
      <c r="D88" s="107">
        <v>4</v>
      </c>
      <c r="E88" s="107"/>
      <c r="F88" s="107">
        <v>3</v>
      </c>
      <c r="G88" s="51">
        <f>PRODUCT(C88:F88)</f>
        <v>-24</v>
      </c>
      <c r="H88" s="108"/>
      <c r="I88" s="109"/>
    </row>
    <row r="89" spans="1:9" ht="15" customHeight="1" x14ac:dyDescent="0.25">
      <c r="A89" s="82"/>
      <c r="B89" s="83"/>
      <c r="C89" s="780" t="s">
        <v>29</v>
      </c>
      <c r="D89" s="781"/>
      <c r="E89" s="781"/>
      <c r="F89" s="782"/>
      <c r="G89" s="53">
        <f>SUM(G80:G88)</f>
        <v>2547.0636</v>
      </c>
      <c r="H89" s="67">
        <f>ROUND(G89*1.001,0)</f>
        <v>2550</v>
      </c>
      <c r="I89" s="26" t="s">
        <v>10</v>
      </c>
    </row>
    <row r="90" spans="1:9" ht="28.5" x14ac:dyDescent="0.25">
      <c r="A90" s="57">
        <v>12</v>
      </c>
      <c r="B90" s="58" t="s">
        <v>77</v>
      </c>
      <c r="C90" s="38"/>
      <c r="D90" s="39"/>
      <c r="E90" s="39"/>
      <c r="F90" s="39"/>
      <c r="G90" s="54"/>
      <c r="H90" s="25"/>
      <c r="I90" s="24"/>
    </row>
    <row r="91" spans="1:9" x14ac:dyDescent="0.25">
      <c r="A91" s="98"/>
      <c r="B91" s="81" t="s">
        <v>78</v>
      </c>
      <c r="C91" s="115"/>
      <c r="D91" s="116"/>
      <c r="E91" s="116"/>
      <c r="F91" s="116"/>
      <c r="G91" s="117"/>
      <c r="H91" s="112"/>
      <c r="I91" s="109"/>
    </row>
    <row r="92" spans="1:9" x14ac:dyDescent="0.25">
      <c r="A92" s="98"/>
      <c r="B92" s="99" t="s">
        <v>168</v>
      </c>
      <c r="C92" s="100"/>
      <c r="D92" s="101"/>
      <c r="E92" s="101"/>
      <c r="F92" s="101"/>
      <c r="G92" s="102"/>
      <c r="H92" s="103"/>
      <c r="I92" s="104"/>
    </row>
    <row r="93" spans="1:9" x14ac:dyDescent="0.25">
      <c r="A93" s="98"/>
      <c r="B93" s="105"/>
      <c r="C93" s="106">
        <v>2</v>
      </c>
      <c r="D93" s="107">
        <f>19-2-2</f>
        <v>15</v>
      </c>
      <c r="E93" s="107"/>
      <c r="F93" s="107">
        <v>10</v>
      </c>
      <c r="G93" s="51">
        <f t="shared" ref="G93:G94" si="4">PRODUCT(C93:F93)</f>
        <v>300</v>
      </c>
      <c r="H93" s="108"/>
      <c r="I93" s="109"/>
    </row>
    <row r="94" spans="1:9" x14ac:dyDescent="0.25">
      <c r="A94" s="98"/>
      <c r="B94" s="105"/>
      <c r="C94" s="106">
        <v>2</v>
      </c>
      <c r="D94" s="107">
        <f>15-4</f>
        <v>11</v>
      </c>
      <c r="E94" s="107"/>
      <c r="F94" s="107">
        <v>10</v>
      </c>
      <c r="G94" s="51">
        <f t="shared" si="4"/>
        <v>220</v>
      </c>
      <c r="H94" s="108"/>
      <c r="I94" s="109"/>
    </row>
    <row r="95" spans="1:9" x14ac:dyDescent="0.25">
      <c r="A95" s="98"/>
      <c r="B95" s="105" t="s">
        <v>173</v>
      </c>
      <c r="C95" s="106">
        <v>1</v>
      </c>
      <c r="D95" s="107">
        <f>(19+15)*2</f>
        <v>68</v>
      </c>
      <c r="E95" s="107"/>
      <c r="F95" s="107">
        <f>2+0.42</f>
        <v>2.42</v>
      </c>
      <c r="G95" s="51">
        <f>PRODUCT(C95:F95)</f>
        <v>164.56</v>
      </c>
      <c r="H95" s="108"/>
      <c r="I95" s="109"/>
    </row>
    <row r="96" spans="1:9" x14ac:dyDescent="0.25">
      <c r="A96" s="98"/>
      <c r="B96" s="99" t="s">
        <v>169</v>
      </c>
      <c r="C96" s="100"/>
      <c r="D96" s="101"/>
      <c r="E96" s="101"/>
      <c r="F96" s="101"/>
      <c r="G96" s="102"/>
      <c r="H96" s="103"/>
      <c r="I96" s="104"/>
    </row>
    <row r="97" spans="1:9" x14ac:dyDescent="0.25">
      <c r="A97" s="98"/>
      <c r="B97" s="105"/>
      <c r="C97" s="106">
        <v>-1</v>
      </c>
      <c r="D97" s="107">
        <v>2.5</v>
      </c>
      <c r="E97" s="107"/>
      <c r="F97" s="107">
        <v>7</v>
      </c>
      <c r="G97" s="51">
        <f>PRODUCT(C97:F97)</f>
        <v>-17.5</v>
      </c>
      <c r="H97" s="108"/>
      <c r="I97" s="109"/>
    </row>
    <row r="98" spans="1:9" x14ac:dyDescent="0.25">
      <c r="A98" s="98"/>
      <c r="B98" s="105"/>
      <c r="C98" s="106">
        <v>-2</v>
      </c>
      <c r="D98" s="107">
        <v>4</v>
      </c>
      <c r="E98" s="107"/>
      <c r="F98" s="107">
        <v>3</v>
      </c>
      <c r="G98" s="51">
        <f>PRODUCT(C98:F98)</f>
        <v>-24</v>
      </c>
      <c r="H98" s="108"/>
      <c r="I98" s="109"/>
    </row>
    <row r="99" spans="1:9" ht="15" customHeight="1" x14ac:dyDescent="0.25">
      <c r="A99" s="13"/>
      <c r="B99" s="10"/>
      <c r="C99" s="779" t="s">
        <v>29</v>
      </c>
      <c r="D99" s="779"/>
      <c r="E99" s="779"/>
      <c r="F99" s="779"/>
      <c r="G99" s="53">
        <f>SUM(G93:G98)</f>
        <v>643.05999999999995</v>
      </c>
      <c r="H99" s="67">
        <f>ROUND(G99*1.001,0)</f>
        <v>644</v>
      </c>
      <c r="I99" s="26" t="s">
        <v>10</v>
      </c>
    </row>
    <row r="100" spans="1:9" ht="71.25" x14ac:dyDescent="0.25">
      <c r="A100" s="57">
        <v>13</v>
      </c>
      <c r="B100" s="58" t="s">
        <v>79</v>
      </c>
      <c r="C100" s="38"/>
      <c r="D100" s="39"/>
      <c r="E100" s="39"/>
      <c r="F100" s="39"/>
      <c r="G100" s="120"/>
      <c r="H100" s="112"/>
      <c r="I100" s="121"/>
    </row>
    <row r="101" spans="1:9" x14ac:dyDescent="0.25">
      <c r="A101" s="98"/>
      <c r="B101" s="99" t="s">
        <v>168</v>
      </c>
      <c r="C101" s="100"/>
      <c r="D101" s="101"/>
      <c r="E101" s="101"/>
      <c r="F101" s="101"/>
      <c r="G101" s="102"/>
      <c r="H101" s="103"/>
      <c r="I101" s="104"/>
    </row>
    <row r="102" spans="1:9" x14ac:dyDescent="0.25">
      <c r="A102" s="98"/>
      <c r="B102" s="105" t="s">
        <v>172</v>
      </c>
      <c r="C102" s="106">
        <v>1</v>
      </c>
      <c r="D102" s="107">
        <v>13.42</v>
      </c>
      <c r="E102" s="107">
        <v>9.58</v>
      </c>
      <c r="F102" s="107"/>
      <c r="G102" s="51">
        <f>+C102*D102*E102</f>
        <v>128.56360000000001</v>
      </c>
      <c r="H102" s="108"/>
      <c r="I102" s="109"/>
    </row>
    <row r="103" spans="1:9" ht="15" customHeight="1" x14ac:dyDescent="0.25">
      <c r="A103" s="82"/>
      <c r="B103" s="83"/>
      <c r="C103" s="780" t="s">
        <v>29</v>
      </c>
      <c r="D103" s="781"/>
      <c r="E103" s="781"/>
      <c r="F103" s="782"/>
      <c r="G103" s="53">
        <f>SUM(G102)</f>
        <v>128.56360000000001</v>
      </c>
      <c r="H103" s="67">
        <f>ROUND(G103*1.001,0)</f>
        <v>129</v>
      </c>
      <c r="I103" s="26" t="s">
        <v>10</v>
      </c>
    </row>
    <row r="104" spans="1:9" ht="57" x14ac:dyDescent="0.25">
      <c r="A104" s="57">
        <v>14</v>
      </c>
      <c r="B104" s="58" t="s">
        <v>81</v>
      </c>
      <c r="C104" s="38"/>
      <c r="D104" s="39"/>
      <c r="E104" s="39"/>
      <c r="F104" s="39"/>
      <c r="G104" s="120"/>
      <c r="H104" s="112"/>
      <c r="I104" s="121"/>
    </row>
    <row r="105" spans="1:9" x14ac:dyDescent="0.25">
      <c r="A105" s="98"/>
      <c r="B105" s="99" t="s">
        <v>168</v>
      </c>
      <c r="C105" s="100"/>
      <c r="D105" s="101"/>
      <c r="E105" s="101"/>
      <c r="F105" s="101"/>
      <c r="G105" s="102"/>
      <c r="H105" s="103"/>
      <c r="I105" s="104"/>
    </row>
    <row r="106" spans="1:9" x14ac:dyDescent="0.25">
      <c r="A106" s="98"/>
      <c r="B106" s="105" t="s">
        <v>171</v>
      </c>
      <c r="C106" s="106">
        <v>2</v>
      </c>
      <c r="D106" s="107">
        <v>13.42</v>
      </c>
      <c r="E106" s="107"/>
      <c r="F106" s="107">
        <v>10</v>
      </c>
      <c r="G106" s="51">
        <f t="shared" ref="G106:G107" si="5">PRODUCT(C106:F106)</f>
        <v>268.39999999999998</v>
      </c>
      <c r="H106" s="108"/>
      <c r="I106" s="109"/>
    </row>
    <row r="107" spans="1:9" x14ac:dyDescent="0.25">
      <c r="A107" s="98"/>
      <c r="B107" s="105" t="s">
        <v>171</v>
      </c>
      <c r="C107" s="106">
        <v>2</v>
      </c>
      <c r="D107" s="107">
        <v>9.58</v>
      </c>
      <c r="E107" s="107"/>
      <c r="F107" s="107">
        <v>10</v>
      </c>
      <c r="G107" s="51">
        <f t="shared" si="5"/>
        <v>191.6</v>
      </c>
      <c r="H107" s="108"/>
      <c r="I107" s="109"/>
    </row>
    <row r="108" spans="1:9" x14ac:dyDescent="0.25">
      <c r="A108" s="98"/>
      <c r="B108" s="99" t="s">
        <v>169</v>
      </c>
      <c r="C108" s="100"/>
      <c r="D108" s="101"/>
      <c r="E108" s="101"/>
      <c r="F108" s="101"/>
      <c r="G108" s="102"/>
      <c r="H108" s="103"/>
      <c r="I108" s="104"/>
    </row>
    <row r="109" spans="1:9" x14ac:dyDescent="0.25">
      <c r="A109" s="98"/>
      <c r="B109" s="105"/>
      <c r="C109" s="106">
        <v>-1</v>
      </c>
      <c r="D109" s="107">
        <v>2.5</v>
      </c>
      <c r="E109" s="107"/>
      <c r="F109" s="107">
        <v>7</v>
      </c>
      <c r="G109" s="51">
        <f>PRODUCT(C109:F109)</f>
        <v>-17.5</v>
      </c>
      <c r="H109" s="108"/>
      <c r="I109" s="109"/>
    </row>
    <row r="110" spans="1:9" x14ac:dyDescent="0.25">
      <c r="A110" s="98"/>
      <c r="B110" s="105"/>
      <c r="C110" s="106">
        <v>-2</v>
      </c>
      <c r="D110" s="107">
        <v>4</v>
      </c>
      <c r="E110" s="107"/>
      <c r="F110" s="107">
        <v>3</v>
      </c>
      <c r="G110" s="51">
        <f>PRODUCT(C110:F110)</f>
        <v>-24</v>
      </c>
      <c r="H110" s="108"/>
      <c r="I110" s="109"/>
    </row>
    <row r="111" spans="1:9" ht="15" customHeight="1" x14ac:dyDescent="0.25">
      <c r="A111" s="82"/>
      <c r="B111" s="83"/>
      <c r="C111" s="780" t="s">
        <v>29</v>
      </c>
      <c r="D111" s="781"/>
      <c r="E111" s="781"/>
      <c r="F111" s="782"/>
      <c r="G111" s="53">
        <f>SUM(G103:G110)</f>
        <v>547.06359999999995</v>
      </c>
      <c r="H111" s="67">
        <f>ROUND(G111*1.001,0)</f>
        <v>548</v>
      </c>
      <c r="I111" s="26" t="s">
        <v>10</v>
      </c>
    </row>
    <row r="112" spans="1:9" ht="71.25" x14ac:dyDescent="0.25">
      <c r="A112" s="57">
        <v>15</v>
      </c>
      <c r="B112" s="58" t="s">
        <v>82</v>
      </c>
      <c r="C112" s="38"/>
      <c r="D112" s="39"/>
      <c r="E112" s="39"/>
      <c r="F112" s="39"/>
      <c r="G112" s="54"/>
      <c r="H112" s="25"/>
      <c r="I112" s="24"/>
    </row>
    <row r="113" spans="1:9" x14ac:dyDescent="0.25">
      <c r="A113" s="98"/>
      <c r="B113" s="99" t="s">
        <v>168</v>
      </c>
      <c r="C113" s="100"/>
      <c r="D113" s="101"/>
      <c r="E113" s="101"/>
      <c r="F113" s="101"/>
      <c r="G113" s="102"/>
      <c r="H113" s="103"/>
      <c r="I113" s="104"/>
    </row>
    <row r="114" spans="1:9" x14ac:dyDescent="0.25">
      <c r="A114" s="98"/>
      <c r="B114" s="105"/>
      <c r="C114" s="106">
        <v>2</v>
      </c>
      <c r="D114" s="107">
        <f>19-2-2</f>
        <v>15</v>
      </c>
      <c r="E114" s="107"/>
      <c r="F114" s="107">
        <v>10</v>
      </c>
      <c r="G114" s="51">
        <f t="shared" ref="G114:G115" si="6">PRODUCT(C114:F114)</f>
        <v>300</v>
      </c>
      <c r="H114" s="108"/>
      <c r="I114" s="109"/>
    </row>
    <row r="115" spans="1:9" x14ac:dyDescent="0.25">
      <c r="A115" s="98"/>
      <c r="B115" s="105"/>
      <c r="C115" s="106">
        <v>2</v>
      </c>
      <c r="D115" s="107">
        <f>15-4</f>
        <v>11</v>
      </c>
      <c r="E115" s="107"/>
      <c r="F115" s="107">
        <v>10</v>
      </c>
      <c r="G115" s="51">
        <f t="shared" si="6"/>
        <v>220</v>
      </c>
      <c r="H115" s="108"/>
      <c r="I115" s="109"/>
    </row>
    <row r="116" spans="1:9" x14ac:dyDescent="0.25">
      <c r="A116" s="98"/>
      <c r="B116" s="105" t="s">
        <v>173</v>
      </c>
      <c r="C116" s="106">
        <v>1</v>
      </c>
      <c r="D116" s="107">
        <f>(19+15)*2</f>
        <v>68</v>
      </c>
      <c r="E116" s="107"/>
      <c r="F116" s="107">
        <f>2+0.42</f>
        <v>2.42</v>
      </c>
      <c r="G116" s="51">
        <f>PRODUCT(C116:F116)</f>
        <v>164.56</v>
      </c>
      <c r="H116" s="108"/>
      <c r="I116" s="109"/>
    </row>
    <row r="117" spans="1:9" x14ac:dyDescent="0.25">
      <c r="A117" s="98"/>
      <c r="B117" s="99" t="s">
        <v>169</v>
      </c>
      <c r="C117" s="100"/>
      <c r="D117" s="101"/>
      <c r="E117" s="101"/>
      <c r="F117" s="101"/>
      <c r="G117" s="102"/>
      <c r="H117" s="103"/>
      <c r="I117" s="104"/>
    </row>
    <row r="118" spans="1:9" x14ac:dyDescent="0.25">
      <c r="A118" s="98"/>
      <c r="B118" s="105"/>
      <c r="C118" s="106">
        <v>-1</v>
      </c>
      <c r="D118" s="107">
        <v>2.5</v>
      </c>
      <c r="E118" s="107"/>
      <c r="F118" s="107">
        <v>7</v>
      </c>
      <c r="G118" s="51">
        <f>PRODUCT(C118:F118)</f>
        <v>-17.5</v>
      </c>
      <c r="H118" s="108"/>
      <c r="I118" s="109"/>
    </row>
    <row r="119" spans="1:9" x14ac:dyDescent="0.25">
      <c r="A119" s="98"/>
      <c r="B119" s="105"/>
      <c r="C119" s="106">
        <v>-2</v>
      </c>
      <c r="D119" s="107">
        <v>4</v>
      </c>
      <c r="E119" s="107"/>
      <c r="F119" s="107">
        <v>3</v>
      </c>
      <c r="G119" s="51">
        <f>PRODUCT(C119:F119)</f>
        <v>-24</v>
      </c>
      <c r="H119" s="108"/>
      <c r="I119" s="109"/>
    </row>
    <row r="120" spans="1:9" ht="15" customHeight="1" x14ac:dyDescent="0.25">
      <c r="A120" s="13"/>
      <c r="B120" s="10"/>
      <c r="C120" s="779" t="s">
        <v>29</v>
      </c>
      <c r="D120" s="779"/>
      <c r="E120" s="779"/>
      <c r="F120" s="779"/>
      <c r="G120" s="53">
        <f>SUM(G114:G119)</f>
        <v>643.05999999999995</v>
      </c>
      <c r="H120" s="67">
        <f>ROUND(G120*1.001,0)</f>
        <v>644</v>
      </c>
      <c r="I120" s="26" t="s">
        <v>10</v>
      </c>
    </row>
    <row r="121" spans="1:9" x14ac:dyDescent="0.25">
      <c r="A121" s="57">
        <v>16</v>
      </c>
      <c r="B121" s="58" t="s">
        <v>174</v>
      </c>
      <c r="C121" s="38"/>
      <c r="D121" s="39"/>
      <c r="E121" s="39"/>
      <c r="F121" s="39"/>
      <c r="G121" s="54"/>
      <c r="H121" s="25"/>
      <c r="I121" s="24"/>
    </row>
    <row r="122" spans="1:9" x14ac:dyDescent="0.25">
      <c r="A122" s="92"/>
      <c r="B122" s="81" t="s">
        <v>168</v>
      </c>
      <c r="C122" s="115"/>
      <c r="D122" s="116"/>
      <c r="E122" s="116"/>
      <c r="F122" s="116"/>
      <c r="G122" s="117"/>
      <c r="H122" s="112"/>
      <c r="I122" s="109"/>
    </row>
    <row r="123" spans="1:9" x14ac:dyDescent="0.25">
      <c r="A123" s="98"/>
      <c r="B123" s="105"/>
      <c r="C123" s="115"/>
      <c r="D123" s="116"/>
      <c r="E123" s="116"/>
      <c r="F123" s="116"/>
      <c r="G123" s="117"/>
      <c r="H123" s="112"/>
      <c r="I123" s="109"/>
    </row>
    <row r="124" spans="1:9" x14ac:dyDescent="0.25">
      <c r="A124" s="98"/>
      <c r="B124" s="99" t="s">
        <v>168</v>
      </c>
      <c r="C124" s="100"/>
      <c r="D124" s="101"/>
      <c r="E124" s="101"/>
      <c r="F124" s="101"/>
      <c r="G124" s="102"/>
      <c r="H124" s="103"/>
      <c r="I124" s="104"/>
    </row>
    <row r="125" spans="1:9" x14ac:dyDescent="0.25">
      <c r="A125" s="98"/>
      <c r="B125" s="105"/>
      <c r="C125" s="106">
        <v>1</v>
      </c>
      <c r="D125" s="107">
        <v>13.42</v>
      </c>
      <c r="E125" s="107">
        <v>9.58</v>
      </c>
      <c r="F125" s="107"/>
      <c r="G125" s="51">
        <f>PRODUCT(C125:F125)</f>
        <v>128.56360000000001</v>
      </c>
      <c r="H125" s="108"/>
      <c r="I125" s="109"/>
    </row>
    <row r="126" spans="1:9" ht="15" customHeight="1" x14ac:dyDescent="0.25">
      <c r="A126" s="13"/>
      <c r="B126" s="10"/>
      <c r="C126" s="779" t="s">
        <v>29</v>
      </c>
      <c r="D126" s="779"/>
      <c r="E126" s="779"/>
      <c r="F126" s="779"/>
      <c r="G126" s="53">
        <f>SUM(G125)</f>
        <v>128.56360000000001</v>
      </c>
      <c r="H126" s="67">
        <f>ROUND(G126*1.001,0)</f>
        <v>129</v>
      </c>
      <c r="I126" s="26" t="s">
        <v>10</v>
      </c>
    </row>
    <row r="127" spans="1:9" x14ac:dyDescent="0.25">
      <c r="A127" s="57">
        <v>17</v>
      </c>
      <c r="B127" s="81" t="s">
        <v>175</v>
      </c>
      <c r="C127" s="110"/>
      <c r="D127" s="111"/>
      <c r="E127" s="111"/>
      <c r="F127" s="111"/>
      <c r="G127" s="113"/>
      <c r="H127" s="112"/>
      <c r="I127" s="109"/>
    </row>
    <row r="128" spans="1:9" x14ac:dyDescent="0.25">
      <c r="A128" s="98"/>
      <c r="B128" s="99"/>
      <c r="C128" s="100"/>
      <c r="D128" s="101"/>
      <c r="E128" s="101"/>
      <c r="F128" s="101"/>
      <c r="G128" s="102"/>
      <c r="H128" s="103"/>
      <c r="I128" s="104"/>
    </row>
    <row r="129" spans="1:9" x14ac:dyDescent="0.25">
      <c r="A129" s="98"/>
      <c r="B129" s="105"/>
      <c r="C129" s="106">
        <v>1</v>
      </c>
      <c r="D129" s="107">
        <f>25+25+25+25</f>
        <v>100</v>
      </c>
      <c r="E129" s="107"/>
      <c r="F129" s="107"/>
      <c r="G129" s="51">
        <f t="shared" ref="G129" si="7">PRODUCT(C129:F129)</f>
        <v>100</v>
      </c>
      <c r="H129" s="108"/>
      <c r="I129" s="109"/>
    </row>
    <row r="130" spans="1:9" ht="15" customHeight="1" x14ac:dyDescent="0.25">
      <c r="A130" s="13"/>
      <c r="B130" s="10"/>
      <c r="C130" s="779" t="s">
        <v>29</v>
      </c>
      <c r="D130" s="779"/>
      <c r="E130" s="779"/>
      <c r="F130" s="779"/>
      <c r="G130" s="53">
        <f>SUM(G129:G129)</f>
        <v>100</v>
      </c>
      <c r="H130" s="67">
        <f>ROUND(G130*1.001,0)</f>
        <v>100</v>
      </c>
      <c r="I130" s="26" t="s">
        <v>176</v>
      </c>
    </row>
    <row r="131" spans="1:9" x14ac:dyDescent="0.25">
      <c r="A131" s="57">
        <v>18</v>
      </c>
      <c r="B131" s="81" t="s">
        <v>177</v>
      </c>
      <c r="C131" s="110"/>
      <c r="D131" s="111"/>
      <c r="E131" s="111"/>
      <c r="F131" s="111"/>
      <c r="G131" s="113"/>
      <c r="H131" s="112"/>
      <c r="I131" s="109"/>
    </row>
    <row r="132" spans="1:9" x14ac:dyDescent="0.25">
      <c r="A132" s="98"/>
      <c r="B132" s="99"/>
      <c r="C132" s="100"/>
      <c r="D132" s="101"/>
      <c r="E132" s="101"/>
      <c r="F132" s="101"/>
      <c r="G132" s="102"/>
      <c r="H132" s="103"/>
      <c r="I132" s="104"/>
    </row>
    <row r="133" spans="1:9" x14ac:dyDescent="0.25">
      <c r="A133" s="98"/>
      <c r="B133" s="105"/>
      <c r="C133" s="106">
        <v>1</v>
      </c>
      <c r="D133" s="107"/>
      <c r="E133" s="107"/>
      <c r="F133" s="107"/>
      <c r="G133" s="51">
        <f t="shared" ref="G133" si="8">PRODUCT(C133:F133)</f>
        <v>1</v>
      </c>
      <c r="H133" s="108"/>
      <c r="I133" s="109"/>
    </row>
    <row r="134" spans="1:9" ht="15" customHeight="1" x14ac:dyDescent="0.25">
      <c r="A134" s="13"/>
      <c r="B134" s="10"/>
      <c r="C134" s="779" t="s">
        <v>29</v>
      </c>
      <c r="D134" s="779"/>
      <c r="E134" s="779"/>
      <c r="F134" s="779"/>
      <c r="G134" s="53">
        <f>SUM(G133:G133)</f>
        <v>1</v>
      </c>
      <c r="H134" s="67">
        <f>ROUND(G134*1.001,0)</f>
        <v>1</v>
      </c>
      <c r="I134" s="26" t="s">
        <v>178</v>
      </c>
    </row>
    <row r="135" spans="1:9" x14ac:dyDescent="0.25">
      <c r="A135" s="57">
        <v>19</v>
      </c>
      <c r="B135" s="81" t="s">
        <v>179</v>
      </c>
      <c r="C135" s="110"/>
      <c r="D135" s="111"/>
      <c r="E135" s="111"/>
      <c r="F135" s="111"/>
      <c r="G135" s="113"/>
      <c r="H135" s="112"/>
      <c r="I135" s="109"/>
    </row>
    <row r="136" spans="1:9" x14ac:dyDescent="0.25">
      <c r="A136" s="98"/>
      <c r="B136" s="99"/>
      <c r="C136" s="100"/>
      <c r="D136" s="101"/>
      <c r="E136" s="101"/>
      <c r="F136" s="101"/>
      <c r="G136" s="102"/>
      <c r="H136" s="103"/>
      <c r="I136" s="104"/>
    </row>
    <row r="137" spans="1:9" x14ac:dyDescent="0.25">
      <c r="A137" s="98"/>
      <c r="B137" s="105"/>
      <c r="C137" s="106">
        <v>1</v>
      </c>
      <c r="D137" s="107"/>
      <c r="E137" s="107"/>
      <c r="F137" s="107"/>
      <c r="G137" s="51">
        <f t="shared" ref="G137" si="9">PRODUCT(C137:F137)</f>
        <v>1</v>
      </c>
      <c r="H137" s="108"/>
      <c r="I137" s="109"/>
    </row>
    <row r="138" spans="1:9" ht="15" customHeight="1" x14ac:dyDescent="0.25">
      <c r="A138" s="13"/>
      <c r="B138" s="10"/>
      <c r="C138" s="779" t="s">
        <v>29</v>
      </c>
      <c r="D138" s="779"/>
      <c r="E138" s="779"/>
      <c r="F138" s="779"/>
      <c r="G138" s="53">
        <f>SUM(G137:G137)</f>
        <v>1</v>
      </c>
      <c r="H138" s="67">
        <f>ROUND(G138*1.001,0)</f>
        <v>1</v>
      </c>
      <c r="I138" s="26" t="s">
        <v>178</v>
      </c>
    </row>
    <row r="139" spans="1:9" x14ac:dyDescent="0.25">
      <c r="A139" s="57">
        <v>20</v>
      </c>
      <c r="B139" s="81" t="s">
        <v>98</v>
      </c>
      <c r="C139" s="110"/>
      <c r="D139" s="111"/>
      <c r="E139" s="111"/>
      <c r="F139" s="111"/>
      <c r="G139" s="113"/>
      <c r="H139" s="112"/>
      <c r="I139" s="109"/>
    </row>
    <row r="140" spans="1:9" x14ac:dyDescent="0.25">
      <c r="A140" s="98"/>
      <c r="B140" s="99"/>
      <c r="C140" s="100"/>
      <c r="D140" s="101"/>
      <c r="E140" s="101"/>
      <c r="F140" s="101"/>
      <c r="G140" s="102"/>
      <c r="H140" s="103"/>
      <c r="I140" s="104"/>
    </row>
    <row r="141" spans="1:9" x14ac:dyDescent="0.25">
      <c r="A141" s="98"/>
      <c r="B141" s="105"/>
      <c r="C141" s="106">
        <v>2</v>
      </c>
      <c r="D141" s="107"/>
      <c r="E141" s="107"/>
      <c r="F141" s="107"/>
      <c r="G141" s="51">
        <f t="shared" ref="G141" si="10">PRODUCT(C141:F141)</f>
        <v>2</v>
      </c>
      <c r="H141" s="108"/>
      <c r="I141" s="109"/>
    </row>
    <row r="142" spans="1:9" ht="15" customHeight="1" x14ac:dyDescent="0.25">
      <c r="A142" s="13"/>
      <c r="B142" s="10"/>
      <c r="C142" s="779" t="s">
        <v>29</v>
      </c>
      <c r="D142" s="779"/>
      <c r="E142" s="779"/>
      <c r="F142" s="779"/>
      <c r="G142" s="53">
        <f>SUM(G141:G141)</f>
        <v>2</v>
      </c>
      <c r="H142" s="67">
        <f>ROUND(G142*1.001,0)</f>
        <v>2</v>
      </c>
      <c r="I142" s="26" t="s">
        <v>178</v>
      </c>
    </row>
    <row r="143" spans="1:9" x14ac:dyDescent="0.25">
      <c r="A143" s="57">
        <v>21</v>
      </c>
      <c r="B143" s="81" t="s">
        <v>210</v>
      </c>
      <c r="C143" s="110"/>
      <c r="D143" s="111"/>
      <c r="E143" s="111"/>
      <c r="F143" s="111"/>
      <c r="G143" s="113"/>
      <c r="H143" s="112"/>
      <c r="I143" s="109"/>
    </row>
    <row r="144" spans="1:9" x14ac:dyDescent="0.25">
      <c r="A144" s="98"/>
      <c r="B144" s="99"/>
      <c r="C144" s="100"/>
      <c r="D144" s="101"/>
      <c r="E144" s="101"/>
      <c r="F144" s="101"/>
      <c r="G144" s="102"/>
      <c r="H144" s="103"/>
      <c r="I144" s="104"/>
    </row>
    <row r="145" spans="1:9" x14ac:dyDescent="0.25">
      <c r="A145" s="98"/>
      <c r="B145" s="105"/>
      <c r="C145" s="106">
        <v>6</v>
      </c>
      <c r="D145" s="107"/>
      <c r="E145" s="107"/>
      <c r="F145" s="107"/>
      <c r="G145" s="51">
        <f t="shared" ref="G145" si="11">PRODUCT(C145:F145)</f>
        <v>6</v>
      </c>
      <c r="H145" s="108"/>
      <c r="I145" s="109"/>
    </row>
    <row r="146" spans="1:9" ht="15" customHeight="1" x14ac:dyDescent="0.25">
      <c r="A146" s="13"/>
      <c r="B146" s="10"/>
      <c r="C146" s="779" t="s">
        <v>29</v>
      </c>
      <c r="D146" s="779"/>
      <c r="E146" s="779"/>
      <c r="F146" s="779"/>
      <c r="G146" s="53">
        <f>SUM(G145:G145)</f>
        <v>6</v>
      </c>
      <c r="H146" s="67">
        <f>ROUND(G146*1.001,0)</f>
        <v>6</v>
      </c>
      <c r="I146" s="26" t="s">
        <v>178</v>
      </c>
    </row>
  </sheetData>
  <mergeCells count="23">
    <mergeCell ref="C130:F130"/>
    <mergeCell ref="C134:F134"/>
    <mergeCell ref="C138:F138"/>
    <mergeCell ref="C142:F142"/>
    <mergeCell ref="C146:F146"/>
    <mergeCell ref="C126:F126"/>
    <mergeCell ref="C34:F34"/>
    <mergeCell ref="E38:F38"/>
    <mergeCell ref="C57:F57"/>
    <mergeCell ref="C62:F62"/>
    <mergeCell ref="C65:F65"/>
    <mergeCell ref="C76:F76"/>
    <mergeCell ref="C89:F89"/>
    <mergeCell ref="C99:F99"/>
    <mergeCell ref="C103:F103"/>
    <mergeCell ref="C111:F111"/>
    <mergeCell ref="C120:F120"/>
    <mergeCell ref="C27:F27"/>
    <mergeCell ref="A1:I1"/>
    <mergeCell ref="C9:F9"/>
    <mergeCell ref="C13:F13"/>
    <mergeCell ref="C17:F17"/>
    <mergeCell ref="C23:F23"/>
  </mergeCells>
  <printOptions horizontalCentered="1"/>
  <pageMargins left="0.5" right="0.25" top="0.55000000000000004" bottom="0.25" header="0.17" footer="0.17"/>
  <pageSetup paperSize="9" scale="70" fitToHeight="0" orientation="portrait" r:id="rId1"/>
  <headerFooter alignWithMargins="0">
    <oddHeader>&amp;R&amp;"Arial Narrow,Regular"&amp;10&amp;A
 Page &amp;P of &amp;N</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K144"/>
  <sheetViews>
    <sheetView view="pageBreakPreview" topLeftCell="A126" zoomScaleSheetLayoutView="100" workbookViewId="0">
      <selection activeCell="I6" sqref="I6"/>
    </sheetView>
  </sheetViews>
  <sheetFormatPr defaultColWidth="23.5703125" defaultRowHeight="15" x14ac:dyDescent="0.25"/>
  <cols>
    <col min="1" max="1" width="5.7109375" style="8" customWidth="1"/>
    <col min="2" max="2" width="52.7109375" style="7" customWidth="1"/>
    <col min="3" max="6" width="10.7109375" style="3" customWidth="1"/>
    <col min="7" max="7" width="13.7109375" style="56" customWidth="1"/>
    <col min="8" max="8" width="13.7109375" style="70" customWidth="1"/>
    <col min="9" max="9" width="7.7109375" style="22" customWidth="1"/>
    <col min="10" max="16384" width="23.5703125" style="5"/>
  </cols>
  <sheetData>
    <row r="1" spans="1:11" s="1" customFormat="1" ht="24.95" customHeight="1" x14ac:dyDescent="0.25">
      <c r="A1" s="778" t="s">
        <v>27</v>
      </c>
      <c r="B1" s="778"/>
      <c r="C1" s="778"/>
      <c r="D1" s="778"/>
      <c r="E1" s="778"/>
      <c r="F1" s="778"/>
      <c r="G1" s="778"/>
      <c r="H1" s="778"/>
      <c r="I1" s="778"/>
    </row>
    <row r="2" spans="1:11" s="1" customFormat="1" ht="15" customHeight="1" x14ac:dyDescent="0.25">
      <c r="A2" s="12"/>
      <c r="B2" s="2"/>
      <c r="C2" s="2"/>
      <c r="D2" s="2"/>
      <c r="E2" s="2"/>
      <c r="F2" s="2"/>
      <c r="G2" s="47"/>
      <c r="H2" s="62"/>
      <c r="I2" s="2"/>
    </row>
    <row r="3" spans="1:11" s="3" customFormat="1" ht="30" x14ac:dyDescent="0.25">
      <c r="A3" s="74" t="s">
        <v>28</v>
      </c>
      <c r="B3" s="75" t="s">
        <v>0</v>
      </c>
      <c r="C3" s="75" t="s">
        <v>13</v>
      </c>
      <c r="D3" s="75" t="s">
        <v>14</v>
      </c>
      <c r="E3" s="75" t="s">
        <v>15</v>
      </c>
      <c r="F3" s="75" t="s">
        <v>16</v>
      </c>
      <c r="G3" s="75" t="s">
        <v>1</v>
      </c>
      <c r="H3" s="68" t="s">
        <v>30</v>
      </c>
      <c r="I3" s="75" t="s">
        <v>2</v>
      </c>
    </row>
    <row r="4" spans="1:11" s="3" customFormat="1" ht="18.75" customHeight="1" x14ac:dyDescent="0.25">
      <c r="A4" s="19" t="s">
        <v>3</v>
      </c>
      <c r="B4" s="20" t="s">
        <v>46</v>
      </c>
      <c r="C4" s="27"/>
      <c r="D4" s="27"/>
      <c r="E4" s="27"/>
      <c r="F4" s="27"/>
      <c r="G4" s="48"/>
      <c r="H4" s="69"/>
      <c r="I4" s="21"/>
    </row>
    <row r="5" spans="1:11" ht="156.75" x14ac:dyDescent="0.25">
      <c r="A5" s="65">
        <v>1</v>
      </c>
      <c r="B5" s="66" t="s">
        <v>20</v>
      </c>
      <c r="C5" s="28"/>
      <c r="D5" s="29"/>
      <c r="E5" s="29"/>
      <c r="F5" s="29"/>
      <c r="G5" s="49"/>
      <c r="H5" s="63"/>
      <c r="I5" s="23"/>
    </row>
    <row r="6" spans="1:11" x14ac:dyDescent="0.25">
      <c r="A6" s="14" t="s">
        <v>4</v>
      </c>
      <c r="B6" s="9" t="s">
        <v>170</v>
      </c>
      <c r="C6" s="30"/>
      <c r="D6" s="31"/>
      <c r="E6" s="31"/>
      <c r="F6" s="31"/>
      <c r="G6" s="50"/>
      <c r="H6" s="25"/>
      <c r="I6" s="24"/>
    </row>
    <row r="7" spans="1:11" x14ac:dyDescent="0.25">
      <c r="A7" s="13"/>
      <c r="B7" s="4"/>
      <c r="C7" s="32">
        <v>1</v>
      </c>
      <c r="D7" s="76">
        <v>28</v>
      </c>
      <c r="E7" s="76">
        <v>68</v>
      </c>
      <c r="F7" s="76">
        <v>7</v>
      </c>
      <c r="G7" s="51">
        <f>PRODUCT(C7:F7)</f>
        <v>13328</v>
      </c>
      <c r="H7" s="64"/>
      <c r="I7" s="24"/>
      <c r="J7" s="11"/>
      <c r="K7" s="11"/>
    </row>
    <row r="8" spans="1:11" x14ac:dyDescent="0.25">
      <c r="A8" s="13"/>
      <c r="B8" s="4"/>
      <c r="C8" s="138"/>
      <c r="D8" s="139"/>
      <c r="E8" s="139"/>
      <c r="F8" s="139"/>
      <c r="G8" s="78"/>
      <c r="H8" s="25"/>
      <c r="I8" s="24"/>
    </row>
    <row r="9" spans="1:11" ht="15" customHeight="1" x14ac:dyDescent="0.25">
      <c r="A9" s="13"/>
      <c r="B9" s="10"/>
      <c r="C9" s="779" t="s">
        <v>29</v>
      </c>
      <c r="D9" s="779"/>
      <c r="E9" s="779"/>
      <c r="F9" s="779"/>
      <c r="G9" s="53">
        <f>SUM(G7:G8)</f>
        <v>13328</v>
      </c>
      <c r="H9" s="67">
        <f>ROUND(G9*1.001,0)</f>
        <v>13341</v>
      </c>
      <c r="I9" s="26" t="s">
        <v>11</v>
      </c>
    </row>
    <row r="10" spans="1:11" ht="128.25" x14ac:dyDescent="0.25">
      <c r="A10" s="57">
        <v>2</v>
      </c>
      <c r="B10" s="59" t="s">
        <v>53</v>
      </c>
      <c r="C10" s="36"/>
      <c r="D10" s="37"/>
      <c r="E10" s="37"/>
      <c r="F10" s="37"/>
      <c r="G10" s="52"/>
      <c r="H10" s="25"/>
      <c r="I10" s="24"/>
    </row>
    <row r="11" spans="1:11" x14ac:dyDescent="0.25">
      <c r="A11" s="14"/>
      <c r="B11" s="9"/>
      <c r="C11" s="32">
        <v>1</v>
      </c>
      <c r="D11" s="76">
        <f>+D7</f>
        <v>28</v>
      </c>
      <c r="E11" s="76">
        <f>+E7</f>
        <v>68</v>
      </c>
      <c r="F11" s="76">
        <f>+F7</f>
        <v>7</v>
      </c>
      <c r="G11" s="51">
        <f>PRODUCT(C11:F11)</f>
        <v>13328</v>
      </c>
      <c r="H11" s="64"/>
      <c r="I11" s="24"/>
    </row>
    <row r="12" spans="1:11" x14ac:dyDescent="0.25">
      <c r="A12" s="14"/>
      <c r="B12" s="9" t="s">
        <v>203</v>
      </c>
      <c r="C12" s="32">
        <v>-1</v>
      </c>
      <c r="D12" s="76">
        <v>27</v>
      </c>
      <c r="E12" s="76">
        <f>+E11-0.5-0.5</f>
        <v>67</v>
      </c>
      <c r="F12" s="76">
        <f>+F11</f>
        <v>7</v>
      </c>
      <c r="G12" s="51">
        <f>PRODUCT(C12:F12)</f>
        <v>-12663</v>
      </c>
      <c r="H12" s="64"/>
      <c r="I12" s="24"/>
    </row>
    <row r="13" spans="1:11" ht="15" customHeight="1" x14ac:dyDescent="0.25">
      <c r="A13" s="13"/>
      <c r="B13" s="10"/>
      <c r="C13" s="779" t="s">
        <v>29</v>
      </c>
      <c r="D13" s="779"/>
      <c r="E13" s="779"/>
      <c r="F13" s="779"/>
      <c r="G13" s="53">
        <f>SUM(G11:G12)</f>
        <v>665</v>
      </c>
      <c r="H13" s="67">
        <f>ROUND(G13*1.001,0)</f>
        <v>666</v>
      </c>
      <c r="I13" s="26" t="s">
        <v>11</v>
      </c>
    </row>
    <row r="14" spans="1:11" ht="42.75" x14ac:dyDescent="0.25">
      <c r="A14" s="57">
        <v>3</v>
      </c>
      <c r="B14" s="58" t="s">
        <v>25</v>
      </c>
      <c r="C14" s="38"/>
      <c r="D14" s="39"/>
      <c r="E14" s="39"/>
      <c r="F14" s="39"/>
      <c r="G14" s="54"/>
      <c r="H14" s="25"/>
      <c r="I14" s="24"/>
    </row>
    <row r="15" spans="1:11" x14ac:dyDescent="0.25">
      <c r="A15" s="14"/>
      <c r="B15" s="9"/>
      <c r="C15" s="30"/>
      <c r="D15" s="31"/>
      <c r="E15" s="31"/>
      <c r="F15" s="31"/>
      <c r="G15" s="50"/>
      <c r="H15" s="25"/>
      <c r="I15" s="24"/>
    </row>
    <row r="16" spans="1:11" x14ac:dyDescent="0.25">
      <c r="A16" s="14"/>
      <c r="B16" s="9"/>
      <c r="C16" s="32">
        <v>1</v>
      </c>
      <c r="D16" s="76">
        <f>+D7</f>
        <v>28</v>
      </c>
      <c r="E16" s="76">
        <f>+E7</f>
        <v>68</v>
      </c>
      <c r="F16" s="76">
        <v>0.67</v>
      </c>
      <c r="G16" s="51">
        <f>PRODUCT(C16:F16)</f>
        <v>1275.68</v>
      </c>
      <c r="H16" s="64"/>
      <c r="I16" s="24"/>
    </row>
    <row r="17" spans="1:9" ht="15" customHeight="1" x14ac:dyDescent="0.25">
      <c r="A17" s="13"/>
      <c r="B17" s="10"/>
      <c r="C17" s="779" t="s">
        <v>29</v>
      </c>
      <c r="D17" s="779"/>
      <c r="E17" s="779"/>
      <c r="F17" s="779"/>
      <c r="G17" s="53">
        <f>SUM(G16:G16)</f>
        <v>1275.68</v>
      </c>
      <c r="H17" s="67">
        <f>ROUND(G17*1.001,0)</f>
        <v>1277</v>
      </c>
      <c r="I17" s="26" t="s">
        <v>11</v>
      </c>
    </row>
    <row r="18" spans="1:9" ht="71.25" x14ac:dyDescent="0.25">
      <c r="A18" s="57">
        <v>4</v>
      </c>
      <c r="B18" s="58" t="s">
        <v>6</v>
      </c>
      <c r="C18" s="38"/>
      <c r="D18" s="39"/>
      <c r="E18" s="39"/>
      <c r="F18" s="39"/>
      <c r="G18" s="54"/>
      <c r="H18" s="25"/>
      <c r="I18" s="24"/>
    </row>
    <row r="19" spans="1:9" x14ac:dyDescent="0.25">
      <c r="A19" s="14" t="s">
        <v>4</v>
      </c>
      <c r="B19" s="9" t="s">
        <v>204</v>
      </c>
      <c r="C19" s="30"/>
      <c r="D19" s="31"/>
      <c r="E19" s="31"/>
      <c r="F19" s="31"/>
      <c r="G19" s="50"/>
      <c r="H19" s="25"/>
      <c r="I19" s="24"/>
    </row>
    <row r="20" spans="1:9" x14ac:dyDescent="0.25">
      <c r="A20" s="13"/>
      <c r="B20" s="4"/>
      <c r="C20" s="32">
        <v>1</v>
      </c>
      <c r="D20" s="76">
        <f>+D7</f>
        <v>28</v>
      </c>
      <c r="E20" s="76">
        <f>+E7</f>
        <v>68</v>
      </c>
      <c r="F20" s="76">
        <v>0.5</v>
      </c>
      <c r="G20" s="140">
        <f>PRODUCT(C20:F20)</f>
        <v>952</v>
      </c>
      <c r="H20" s="64"/>
      <c r="I20" s="24"/>
    </row>
    <row r="21" spans="1:9" x14ac:dyDescent="0.25">
      <c r="A21" s="14" t="s">
        <v>48</v>
      </c>
      <c r="B21" s="9" t="s">
        <v>205</v>
      </c>
      <c r="C21" s="34"/>
      <c r="D21" s="35"/>
      <c r="E21" s="35"/>
      <c r="F21" s="35"/>
      <c r="G21" s="52"/>
      <c r="H21" s="25"/>
      <c r="I21" s="24"/>
    </row>
    <row r="22" spans="1:9" x14ac:dyDescent="0.25">
      <c r="A22" s="13"/>
      <c r="B22" s="4"/>
      <c r="C22" s="32">
        <f>+C30</f>
        <v>2</v>
      </c>
      <c r="D22" s="76">
        <v>5</v>
      </c>
      <c r="E22" s="76">
        <f>+E30</f>
        <v>4</v>
      </c>
      <c r="F22" s="76">
        <v>0.33</v>
      </c>
      <c r="G22" s="140">
        <f>PRODUCT(C22:F22)</f>
        <v>13.200000000000001</v>
      </c>
      <c r="H22" s="64"/>
      <c r="I22" s="24"/>
    </row>
    <row r="23" spans="1:9" ht="15" customHeight="1" x14ac:dyDescent="0.25">
      <c r="A23" s="13"/>
      <c r="B23" s="10"/>
      <c r="C23" s="779" t="s">
        <v>29</v>
      </c>
      <c r="D23" s="779"/>
      <c r="E23" s="779"/>
      <c r="F23" s="779"/>
      <c r="G23" s="53">
        <f>SUM(G20:G22)</f>
        <v>965.2</v>
      </c>
      <c r="H23" s="67">
        <f>ROUND(G23*1.001,0)</f>
        <v>966</v>
      </c>
      <c r="I23" s="26" t="s">
        <v>11</v>
      </c>
    </row>
    <row r="24" spans="1:9" x14ac:dyDescent="0.25">
      <c r="A24" s="57">
        <v>5</v>
      </c>
      <c r="B24" s="58" t="s">
        <v>206</v>
      </c>
      <c r="C24" s="38"/>
      <c r="D24" s="39"/>
      <c r="E24" s="39"/>
      <c r="F24" s="39"/>
      <c r="G24" s="54"/>
      <c r="H24" s="25"/>
      <c r="I24" s="24"/>
    </row>
    <row r="25" spans="1:9" x14ac:dyDescent="0.25">
      <c r="A25" s="14" t="s">
        <v>4</v>
      </c>
      <c r="B25" s="9" t="s">
        <v>204</v>
      </c>
      <c r="C25" s="34"/>
      <c r="D25" s="35"/>
      <c r="E25" s="35"/>
      <c r="F25" s="35"/>
      <c r="G25" s="52"/>
      <c r="H25" s="25"/>
      <c r="I25" s="24"/>
    </row>
    <row r="26" spans="1:9" x14ac:dyDescent="0.25">
      <c r="A26" s="13"/>
      <c r="B26" s="4"/>
      <c r="C26" s="32">
        <f>+C20</f>
        <v>1</v>
      </c>
      <c r="D26" s="76">
        <f>+D20</f>
        <v>28</v>
      </c>
      <c r="E26" s="76">
        <f>+E20</f>
        <v>68</v>
      </c>
      <c r="F26" s="76"/>
      <c r="G26" s="140">
        <f>PRODUCT(C26:F26)</f>
        <v>1904</v>
      </c>
      <c r="H26" s="64"/>
      <c r="I26" s="24"/>
    </row>
    <row r="27" spans="1:9" ht="15" customHeight="1" x14ac:dyDescent="0.25">
      <c r="A27" s="13"/>
      <c r="B27" s="10"/>
      <c r="C27" s="779" t="s">
        <v>29</v>
      </c>
      <c r="D27" s="779"/>
      <c r="E27" s="779"/>
      <c r="F27" s="779"/>
      <c r="G27" s="53">
        <f>SUM(G26:G26)</f>
        <v>1904</v>
      </c>
      <c r="H27" s="67">
        <f>ROUND(G27*1.001,0)</f>
        <v>1906</v>
      </c>
      <c r="I27" s="26" t="s">
        <v>10</v>
      </c>
    </row>
    <row r="28" spans="1:9" ht="114" x14ac:dyDescent="0.25">
      <c r="A28" s="57">
        <v>6</v>
      </c>
      <c r="B28" s="58" t="s">
        <v>60</v>
      </c>
      <c r="C28" s="38"/>
      <c r="D28" s="39"/>
      <c r="E28" s="39" t="s">
        <v>189</v>
      </c>
      <c r="F28" s="39"/>
      <c r="G28" s="54"/>
      <c r="H28" s="25"/>
      <c r="I28" s="24"/>
    </row>
    <row r="29" spans="1:9" x14ac:dyDescent="0.25">
      <c r="A29" s="14" t="s">
        <v>4</v>
      </c>
      <c r="B29" s="9" t="s">
        <v>207</v>
      </c>
      <c r="C29" s="34"/>
      <c r="D29" s="35"/>
      <c r="E29" s="35"/>
      <c r="F29" s="35"/>
      <c r="G29" s="52"/>
      <c r="H29" s="25"/>
      <c r="I29" s="24"/>
    </row>
    <row r="30" spans="1:9" x14ac:dyDescent="0.25">
      <c r="A30" s="13"/>
      <c r="B30" s="4"/>
      <c r="C30" s="32">
        <v>2</v>
      </c>
      <c r="D30" s="76">
        <v>4</v>
      </c>
      <c r="E30" s="76">
        <v>4</v>
      </c>
      <c r="F30" s="76">
        <v>0.5</v>
      </c>
      <c r="G30" s="51">
        <f>PRODUCT(C30:F30)</f>
        <v>16</v>
      </c>
      <c r="H30" s="64"/>
      <c r="I30" s="24"/>
    </row>
    <row r="31" spans="1:9" x14ac:dyDescent="0.25">
      <c r="A31" s="13"/>
      <c r="B31" s="4"/>
      <c r="C31" s="32">
        <v>2</v>
      </c>
      <c r="D31" s="76">
        <v>4</v>
      </c>
      <c r="E31" s="76">
        <v>3</v>
      </c>
      <c r="F31" s="76">
        <v>0.5</v>
      </c>
      <c r="G31" s="51">
        <f>PRODUCT(C31:F31)</f>
        <v>12</v>
      </c>
      <c r="H31" s="64"/>
      <c r="I31" s="24"/>
    </row>
    <row r="32" spans="1:9" x14ac:dyDescent="0.25">
      <c r="A32" s="13"/>
      <c r="B32" s="4"/>
      <c r="C32" s="32">
        <v>2</v>
      </c>
      <c r="D32" s="76">
        <f>+D31</f>
        <v>4</v>
      </c>
      <c r="E32" s="76">
        <v>2</v>
      </c>
      <c r="F32" s="76">
        <v>0.5</v>
      </c>
      <c r="G32" s="51">
        <f>PRODUCT(C32:F32)</f>
        <v>8</v>
      </c>
      <c r="H32" s="64"/>
      <c r="I32" s="24"/>
    </row>
    <row r="33" spans="1:11" x14ac:dyDescent="0.25">
      <c r="A33" s="13"/>
      <c r="B33" s="4"/>
      <c r="C33" s="32">
        <v>2</v>
      </c>
      <c r="D33" s="76">
        <f>+D32</f>
        <v>4</v>
      </c>
      <c r="E33" s="76">
        <v>1</v>
      </c>
      <c r="F33" s="76">
        <v>0.5</v>
      </c>
      <c r="G33" s="51">
        <f>PRODUCT(C33:F33)</f>
        <v>4</v>
      </c>
      <c r="H33" s="64"/>
      <c r="I33" s="24"/>
    </row>
    <row r="34" spans="1:11" ht="15" customHeight="1" x14ac:dyDescent="0.25">
      <c r="A34" s="13"/>
      <c r="B34" s="10"/>
      <c r="C34" s="779" t="s">
        <v>29</v>
      </c>
      <c r="D34" s="779"/>
      <c r="E34" s="779"/>
      <c r="F34" s="779"/>
      <c r="G34" s="53">
        <f>SUM(G30:G33)</f>
        <v>40</v>
      </c>
      <c r="H34" s="67">
        <f>ROUND(G34*1.001,0)</f>
        <v>40</v>
      </c>
      <c r="I34" s="26" t="s">
        <v>11</v>
      </c>
    </row>
    <row r="35" spans="1:11" ht="171" x14ac:dyDescent="0.25">
      <c r="A35" s="57">
        <v>7</v>
      </c>
      <c r="B35" s="58" t="s">
        <v>7</v>
      </c>
      <c r="C35" s="38"/>
      <c r="D35" s="39"/>
      <c r="E35" s="39"/>
      <c r="F35" s="39"/>
      <c r="G35" s="54"/>
      <c r="H35" s="25"/>
      <c r="I35" s="24"/>
    </row>
    <row r="36" spans="1:11" x14ac:dyDescent="0.25">
      <c r="A36" s="15" t="s">
        <v>4</v>
      </c>
      <c r="B36" s="141" t="s">
        <v>208</v>
      </c>
      <c r="C36" s="142"/>
      <c r="D36" s="143"/>
      <c r="E36" s="143"/>
      <c r="F36" s="143"/>
      <c r="G36" s="50"/>
      <c r="H36" s="25"/>
      <c r="I36" s="24"/>
    </row>
    <row r="37" spans="1:11" x14ac:dyDescent="0.25">
      <c r="A37" s="13"/>
      <c r="B37" s="4"/>
      <c r="C37" s="32">
        <v>1</v>
      </c>
      <c r="D37" s="76">
        <v>27</v>
      </c>
      <c r="E37" s="76">
        <v>67</v>
      </c>
      <c r="F37" s="76">
        <v>1.25</v>
      </c>
      <c r="G37" s="51">
        <f>PRODUCT(C37:F37)</f>
        <v>2261.25</v>
      </c>
      <c r="H37" s="64"/>
      <c r="I37" s="24"/>
      <c r="J37" s="11"/>
      <c r="K37" s="11"/>
    </row>
    <row r="38" spans="1:11" x14ac:dyDescent="0.25">
      <c r="A38" s="13"/>
      <c r="B38" s="4" t="s">
        <v>151</v>
      </c>
      <c r="C38" s="32">
        <v>1</v>
      </c>
      <c r="D38" s="76">
        <f>67+67+23.5+23.5+23.5+23.5</f>
        <v>228</v>
      </c>
      <c r="E38" s="783">
        <v>1</v>
      </c>
      <c r="F38" s="784"/>
      <c r="G38" s="51">
        <f>PRODUCT(C38:F38)</f>
        <v>228</v>
      </c>
      <c r="H38" s="64"/>
      <c r="I38" s="24"/>
      <c r="J38" s="11">
        <f>+J37/2</f>
        <v>0</v>
      </c>
      <c r="K38" s="11"/>
    </row>
    <row r="39" spans="1:11" x14ac:dyDescent="0.25">
      <c r="A39" s="15" t="s">
        <v>48</v>
      </c>
      <c r="B39" s="141" t="s">
        <v>209</v>
      </c>
      <c r="C39" s="142"/>
      <c r="D39" s="143"/>
      <c r="E39" s="143"/>
      <c r="F39" s="143"/>
      <c r="G39" s="50"/>
      <c r="H39" s="25"/>
      <c r="I39" s="24"/>
    </row>
    <row r="40" spans="1:11" x14ac:dyDescent="0.25">
      <c r="A40" s="13"/>
      <c r="B40" s="4"/>
      <c r="C40" s="32">
        <v>2</v>
      </c>
      <c r="D40" s="76">
        <f>23.5+0.67+0.66</f>
        <v>24.830000000000002</v>
      </c>
      <c r="E40" s="76">
        <v>0.83</v>
      </c>
      <c r="F40" s="76">
        <v>8.5</v>
      </c>
      <c r="G40" s="51">
        <f>PRODUCT(C40:F40)</f>
        <v>350.35130000000004</v>
      </c>
      <c r="H40" s="64"/>
      <c r="I40" s="24"/>
      <c r="J40" s="11"/>
      <c r="K40" s="11"/>
    </row>
    <row r="41" spans="1:11" x14ac:dyDescent="0.25">
      <c r="A41" s="13"/>
      <c r="B41" s="4"/>
      <c r="C41" s="32">
        <v>2</v>
      </c>
      <c r="D41" s="76">
        <f>44.83+19.5</f>
        <v>64.33</v>
      </c>
      <c r="E41" s="76">
        <v>0.83</v>
      </c>
      <c r="F41" s="76">
        <v>8.5</v>
      </c>
      <c r="G41" s="51">
        <f>PRODUCT(C41:F41)</f>
        <v>907.69629999999995</v>
      </c>
      <c r="H41" s="64"/>
      <c r="I41" s="24"/>
      <c r="J41" s="11"/>
      <c r="K41" s="11"/>
    </row>
    <row r="42" spans="1:11" x14ac:dyDescent="0.25">
      <c r="A42" s="13"/>
      <c r="B42" s="4"/>
      <c r="C42" s="32">
        <v>1</v>
      </c>
      <c r="D42" s="76">
        <v>23.5</v>
      </c>
      <c r="E42" s="76">
        <v>0.83</v>
      </c>
      <c r="F42" s="76">
        <v>8.5</v>
      </c>
      <c r="G42" s="51">
        <f>PRODUCT(C42:F42)</f>
        <v>165.79249999999999</v>
      </c>
      <c r="H42" s="64"/>
      <c r="I42" s="24"/>
      <c r="J42" s="11"/>
      <c r="K42" s="11"/>
    </row>
    <row r="43" spans="1:11" x14ac:dyDescent="0.25">
      <c r="A43" s="13"/>
      <c r="B43" s="4"/>
      <c r="C43" s="32">
        <v>8</v>
      </c>
      <c r="D43" s="76">
        <v>8.5</v>
      </c>
      <c r="E43" s="783">
        <v>1</v>
      </c>
      <c r="F43" s="784"/>
      <c r="G43" s="51">
        <f>PRODUCT(C43:F43)</f>
        <v>68</v>
      </c>
      <c r="H43" s="25"/>
      <c r="I43" s="24"/>
      <c r="J43" s="11"/>
      <c r="K43" s="11"/>
    </row>
    <row r="44" spans="1:11" x14ac:dyDescent="0.25">
      <c r="A44" s="15" t="s">
        <v>51</v>
      </c>
      <c r="B44" s="141" t="s">
        <v>153</v>
      </c>
      <c r="C44" s="142"/>
      <c r="D44" s="143"/>
      <c r="E44" s="143"/>
      <c r="F44" s="143"/>
      <c r="G44" s="50"/>
      <c r="H44" s="25"/>
      <c r="I44" s="24"/>
    </row>
    <row r="45" spans="1:11" x14ac:dyDescent="0.25">
      <c r="A45" s="13"/>
      <c r="B45" s="4"/>
      <c r="C45" s="32">
        <v>1</v>
      </c>
      <c r="D45" s="76">
        <f>44.83+0.83+0.83</f>
        <v>46.489999999999995</v>
      </c>
      <c r="E45" s="76">
        <v>25</v>
      </c>
      <c r="F45" s="76">
        <v>0.67</v>
      </c>
      <c r="G45" s="51">
        <f>PRODUCT(C45:F45)</f>
        <v>778.70749999999987</v>
      </c>
      <c r="H45" s="64"/>
      <c r="I45" s="24"/>
      <c r="J45" s="11"/>
      <c r="K45" s="11"/>
    </row>
    <row r="46" spans="1:11" x14ac:dyDescent="0.25">
      <c r="A46" s="13"/>
      <c r="B46" s="4" t="s">
        <v>154</v>
      </c>
      <c r="C46" s="32">
        <v>-1</v>
      </c>
      <c r="D46" s="76">
        <v>2.5</v>
      </c>
      <c r="E46" s="76">
        <v>2.5</v>
      </c>
      <c r="F46" s="76">
        <v>0.67</v>
      </c>
      <c r="G46" s="51">
        <f>PRODUCT(C46:F46)</f>
        <v>-4.1875</v>
      </c>
      <c r="H46" s="64"/>
      <c r="I46" s="24"/>
      <c r="J46" s="11"/>
      <c r="K46" s="11"/>
    </row>
    <row r="47" spans="1:11" x14ac:dyDescent="0.25">
      <c r="A47" s="15" t="s">
        <v>52</v>
      </c>
      <c r="B47" s="141" t="s">
        <v>155</v>
      </c>
      <c r="C47" s="142"/>
      <c r="D47" s="143"/>
      <c r="E47" s="143"/>
      <c r="F47" s="143"/>
      <c r="G47" s="50"/>
      <c r="H47" s="25"/>
      <c r="I47" s="24"/>
    </row>
    <row r="48" spans="1:11" x14ac:dyDescent="0.25">
      <c r="A48" s="13"/>
      <c r="B48" s="4" t="s">
        <v>156</v>
      </c>
      <c r="C48" s="32">
        <v>2</v>
      </c>
      <c r="D48" s="76">
        <v>23</v>
      </c>
      <c r="E48" s="76">
        <v>1</v>
      </c>
      <c r="F48" s="76">
        <v>2</v>
      </c>
      <c r="G48" s="51">
        <f>PRODUCT(C48:F48)</f>
        <v>92</v>
      </c>
      <c r="H48" s="64"/>
      <c r="I48" s="24"/>
      <c r="J48" s="11"/>
      <c r="K48" s="11"/>
    </row>
    <row r="49" spans="1:11" x14ac:dyDescent="0.25">
      <c r="A49" s="13"/>
      <c r="B49" s="4" t="s">
        <v>157</v>
      </c>
      <c r="C49" s="32">
        <v>1</v>
      </c>
      <c r="D49" s="76">
        <v>19.5</v>
      </c>
      <c r="E49" s="76">
        <v>1</v>
      </c>
      <c r="F49" s="76">
        <f>2.5-0.67</f>
        <v>1.83</v>
      </c>
      <c r="G49" s="51">
        <f>PRODUCT(C49:F49)</f>
        <v>35.685000000000002</v>
      </c>
      <c r="H49" s="64"/>
      <c r="I49" s="24"/>
      <c r="J49" s="11"/>
      <c r="K49" s="11"/>
    </row>
    <row r="50" spans="1:11" x14ac:dyDescent="0.25">
      <c r="A50" s="15" t="s">
        <v>58</v>
      </c>
      <c r="B50" s="141" t="s">
        <v>158</v>
      </c>
      <c r="C50" s="142"/>
      <c r="D50" s="143"/>
      <c r="E50" s="143"/>
      <c r="F50" s="143"/>
      <c r="G50" s="50"/>
      <c r="H50" s="25"/>
      <c r="I50" s="24"/>
    </row>
    <row r="51" spans="1:11" x14ac:dyDescent="0.25">
      <c r="A51" s="13"/>
      <c r="B51" s="4" t="s">
        <v>159</v>
      </c>
      <c r="C51" s="32">
        <v>2</v>
      </c>
      <c r="D51" s="76">
        <f>22.17+27</f>
        <v>49.17</v>
      </c>
      <c r="E51" s="76">
        <v>0.67</v>
      </c>
      <c r="F51" s="76">
        <v>1.5</v>
      </c>
      <c r="G51" s="51">
        <f>PRODUCT(C51:F51)</f>
        <v>98.831700000000012</v>
      </c>
      <c r="H51" s="64"/>
      <c r="I51" s="24"/>
      <c r="J51" s="11"/>
      <c r="K51" s="11"/>
    </row>
    <row r="52" spans="1:11" x14ac:dyDescent="0.25">
      <c r="A52" s="15" t="s">
        <v>161</v>
      </c>
      <c r="B52" s="141" t="s">
        <v>162</v>
      </c>
      <c r="C52" s="142"/>
      <c r="D52" s="143"/>
      <c r="E52" s="143"/>
      <c r="F52" s="143"/>
      <c r="G52" s="50"/>
      <c r="H52" s="25"/>
      <c r="I52" s="24"/>
    </row>
    <row r="53" spans="1:11" x14ac:dyDescent="0.25">
      <c r="A53" s="13"/>
      <c r="B53" s="4"/>
      <c r="C53" s="32">
        <v>6</v>
      </c>
      <c r="D53" s="76">
        <v>1.5</v>
      </c>
      <c r="E53" s="76">
        <v>0.67</v>
      </c>
      <c r="F53" s="76">
        <v>10</v>
      </c>
      <c r="G53" s="51">
        <f>PRODUCT(C53:F53)</f>
        <v>60.300000000000004</v>
      </c>
      <c r="H53" s="64"/>
      <c r="I53" s="24"/>
      <c r="J53" s="11"/>
      <c r="K53" s="11"/>
    </row>
    <row r="54" spans="1:11" x14ac:dyDescent="0.25">
      <c r="A54" s="15" t="s">
        <v>163</v>
      </c>
      <c r="B54" s="141" t="s">
        <v>164</v>
      </c>
      <c r="C54" s="142"/>
      <c r="D54" s="143"/>
      <c r="E54" s="143"/>
      <c r="F54" s="143"/>
      <c r="G54" s="50"/>
      <c r="H54" s="25"/>
      <c r="I54" s="24"/>
    </row>
    <row r="55" spans="1:11" x14ac:dyDescent="0.25">
      <c r="A55" s="13"/>
      <c r="B55" s="4"/>
      <c r="C55" s="32">
        <v>1</v>
      </c>
      <c r="D55" s="76">
        <v>22.17</v>
      </c>
      <c r="E55" s="76">
        <v>27</v>
      </c>
      <c r="F55" s="76">
        <v>0.42</v>
      </c>
      <c r="G55" s="51">
        <f>PRODUCT(C55:F55)</f>
        <v>251.40780000000001</v>
      </c>
      <c r="H55" s="64"/>
      <c r="I55" s="24"/>
      <c r="J55" s="11"/>
      <c r="K55" s="11"/>
    </row>
    <row r="56" spans="1:11" x14ac:dyDescent="0.25">
      <c r="A56" s="13"/>
      <c r="B56" s="4"/>
      <c r="C56" s="32"/>
      <c r="D56" s="76"/>
      <c r="E56" s="144"/>
      <c r="F56" s="145"/>
      <c r="G56" s="51"/>
      <c r="H56" s="64"/>
      <c r="I56" s="24"/>
      <c r="J56" s="11"/>
      <c r="K56" s="11"/>
    </row>
    <row r="57" spans="1:11" ht="15" customHeight="1" x14ac:dyDescent="0.25">
      <c r="A57" s="13"/>
      <c r="B57" s="10"/>
      <c r="C57" s="779" t="s">
        <v>29</v>
      </c>
      <c r="D57" s="779"/>
      <c r="E57" s="779"/>
      <c r="F57" s="779"/>
      <c r="G57" s="53">
        <f>SUM(G37:G56)</f>
        <v>5293.8346000000001</v>
      </c>
      <c r="H57" s="67">
        <f>ROUND(G57*1.001,0)</f>
        <v>5299</v>
      </c>
      <c r="I57" s="26" t="s">
        <v>11</v>
      </c>
    </row>
    <row r="58" spans="1:11" ht="42.75" x14ac:dyDescent="0.25">
      <c r="A58" s="57">
        <v>8</v>
      </c>
      <c r="B58" s="58" t="s">
        <v>35</v>
      </c>
      <c r="C58" s="40"/>
      <c r="D58" s="41"/>
      <c r="E58" s="41"/>
      <c r="F58" s="41"/>
      <c r="G58" s="55"/>
      <c r="H58" s="25"/>
      <c r="I58" s="24"/>
    </row>
    <row r="59" spans="1:11" x14ac:dyDescent="0.25">
      <c r="A59" s="15"/>
      <c r="B59" s="81" t="s">
        <v>165</v>
      </c>
      <c r="C59" s="42"/>
      <c r="D59" s="43"/>
      <c r="E59" s="43"/>
      <c r="F59" s="43"/>
      <c r="G59" s="50"/>
      <c r="H59" s="25"/>
      <c r="I59" s="24"/>
    </row>
    <row r="60" spans="1:11" x14ac:dyDescent="0.25">
      <c r="A60" s="13"/>
      <c r="B60" s="4" t="s">
        <v>166</v>
      </c>
      <c r="C60" s="32">
        <v>1</v>
      </c>
      <c r="D60" s="76">
        <f>67+67+27+27</f>
        <v>188</v>
      </c>
      <c r="E60" s="76">
        <v>2</v>
      </c>
      <c r="F60" s="76" t="s">
        <v>19</v>
      </c>
      <c r="G60" s="51">
        <f>PRODUCT(C60:F60)</f>
        <v>376</v>
      </c>
      <c r="H60" s="64"/>
      <c r="I60" s="24"/>
      <c r="J60" s="11"/>
      <c r="K60" s="11"/>
    </row>
    <row r="61" spans="1:11" x14ac:dyDescent="0.25">
      <c r="A61" s="13"/>
      <c r="B61" s="4" t="s">
        <v>167</v>
      </c>
      <c r="C61" s="32">
        <v>1</v>
      </c>
      <c r="D61" s="76">
        <f>D60-4</f>
        <v>184</v>
      </c>
      <c r="E61" s="76"/>
      <c r="F61" s="76">
        <v>8.5</v>
      </c>
      <c r="G61" s="51">
        <f>PRODUCT(C61:F61)</f>
        <v>1564</v>
      </c>
      <c r="H61" s="64"/>
      <c r="I61" s="24"/>
      <c r="J61" s="11"/>
      <c r="K61" s="11"/>
    </row>
    <row r="62" spans="1:11" ht="15" customHeight="1" x14ac:dyDescent="0.25">
      <c r="A62" s="13"/>
      <c r="B62" s="10"/>
      <c r="C62" s="779" t="s">
        <v>29</v>
      </c>
      <c r="D62" s="779"/>
      <c r="E62" s="779"/>
      <c r="F62" s="779"/>
      <c r="G62" s="53">
        <f>SUM(G60:G61)</f>
        <v>1940</v>
      </c>
      <c r="H62" s="67">
        <f>ROUND(G62*1.001,0)</f>
        <v>1942</v>
      </c>
      <c r="I62" s="26" t="s">
        <v>10</v>
      </c>
    </row>
    <row r="63" spans="1:11" ht="42.75" x14ac:dyDescent="0.25">
      <c r="A63" s="57">
        <v>9</v>
      </c>
      <c r="B63" s="61" t="s">
        <v>9</v>
      </c>
      <c r="C63" s="30"/>
      <c r="D63" s="31"/>
      <c r="E63" s="31"/>
      <c r="F63" s="31"/>
      <c r="G63" s="50"/>
      <c r="H63" s="25"/>
      <c r="I63" s="24"/>
    </row>
    <row r="64" spans="1:11" x14ac:dyDescent="0.25">
      <c r="A64" s="13"/>
      <c r="B64" s="4"/>
      <c r="C64" s="32">
        <v>1</v>
      </c>
      <c r="D64" s="76">
        <f>+H57</f>
        <v>5299</v>
      </c>
      <c r="E64" s="76">
        <v>3.5</v>
      </c>
      <c r="F64" s="76" t="s">
        <v>31</v>
      </c>
      <c r="G64" s="51">
        <f>ROUND(PRODUCT(C64:F64),)</f>
        <v>18547</v>
      </c>
      <c r="H64" s="64"/>
      <c r="I64" s="24"/>
    </row>
    <row r="65" spans="1:9" ht="15" customHeight="1" x14ac:dyDescent="0.25">
      <c r="A65" s="13"/>
      <c r="B65" s="10"/>
      <c r="C65" s="779" t="s">
        <v>29</v>
      </c>
      <c r="D65" s="779"/>
      <c r="E65" s="779"/>
      <c r="F65" s="779"/>
      <c r="G65" s="53">
        <f>SUM(G64)</f>
        <v>18547</v>
      </c>
      <c r="H65" s="67">
        <f>ROUND(G65*1.001,0)</f>
        <v>18566</v>
      </c>
      <c r="I65" s="26" t="s">
        <v>12</v>
      </c>
    </row>
    <row r="66" spans="1:9" x14ac:dyDescent="0.25">
      <c r="A66" s="85"/>
      <c r="B66" s="86" t="s">
        <v>65</v>
      </c>
      <c r="C66" s="87"/>
      <c r="D66" s="88"/>
      <c r="E66" s="88"/>
      <c r="F66" s="88"/>
      <c r="G66" s="89"/>
      <c r="H66" s="90"/>
      <c r="I66" s="91"/>
    </row>
    <row r="67" spans="1:9" ht="42.75" x14ac:dyDescent="0.25">
      <c r="A67" s="57">
        <v>10</v>
      </c>
      <c r="B67" s="58" t="s">
        <v>66</v>
      </c>
      <c r="C67" s="38"/>
      <c r="D67" s="39"/>
      <c r="E67" s="39"/>
      <c r="F67" s="39"/>
      <c r="G67" s="54"/>
      <c r="H67" s="25"/>
      <c r="I67" s="24"/>
    </row>
    <row r="68" spans="1:9" x14ac:dyDescent="0.25">
      <c r="A68" s="92" t="s">
        <v>4</v>
      </c>
      <c r="B68" s="81" t="s">
        <v>168</v>
      </c>
      <c r="C68" s="93"/>
      <c r="D68" s="94"/>
      <c r="E68" s="94"/>
      <c r="F68" s="94"/>
      <c r="G68" s="95"/>
      <c r="H68" s="96"/>
      <c r="I68" s="97"/>
    </row>
    <row r="69" spans="1:9" x14ac:dyDescent="0.25">
      <c r="A69" s="98"/>
      <c r="B69" s="99" t="s">
        <v>168</v>
      </c>
      <c r="C69" s="100"/>
      <c r="D69" s="101"/>
      <c r="E69" s="101"/>
      <c r="F69" s="101"/>
      <c r="G69" s="102"/>
      <c r="H69" s="103"/>
      <c r="I69" s="104"/>
    </row>
    <row r="70" spans="1:9" x14ac:dyDescent="0.25">
      <c r="A70" s="98"/>
      <c r="B70" s="105" t="s">
        <v>68</v>
      </c>
      <c r="C70" s="106">
        <v>2</v>
      </c>
      <c r="D70" s="107">
        <f>D55+E55+E55+D55-(6*1.5)</f>
        <v>89.34</v>
      </c>
      <c r="E70" s="107">
        <v>0.67</v>
      </c>
      <c r="F70" s="107">
        <f>10-1.5</f>
        <v>8.5</v>
      </c>
      <c r="G70" s="51">
        <f t="shared" ref="G70" si="0">PRODUCT(C70:F70)</f>
        <v>1017.5826000000001</v>
      </c>
      <c r="H70" s="108"/>
      <c r="I70" s="109"/>
    </row>
    <row r="71" spans="1:9" x14ac:dyDescent="0.25">
      <c r="A71" s="98"/>
      <c r="B71" s="99" t="s">
        <v>169</v>
      </c>
      <c r="C71" s="100"/>
      <c r="D71" s="101"/>
      <c r="E71" s="101"/>
      <c r="F71" s="101"/>
      <c r="G71" s="102"/>
      <c r="H71" s="103"/>
      <c r="I71" s="104"/>
    </row>
    <row r="72" spans="1:9" x14ac:dyDescent="0.25">
      <c r="A72" s="98"/>
      <c r="B72" s="105"/>
      <c r="C72" s="106">
        <v>-2</v>
      </c>
      <c r="D72" s="107">
        <v>2.5</v>
      </c>
      <c r="E72" s="107">
        <v>0.67</v>
      </c>
      <c r="F72" s="107">
        <v>7</v>
      </c>
      <c r="G72" s="51">
        <f t="shared" ref="G72:G73" si="1">PRODUCT(C72:F72)</f>
        <v>-23.45</v>
      </c>
      <c r="H72" s="108"/>
      <c r="I72" s="109"/>
    </row>
    <row r="73" spans="1:9" x14ac:dyDescent="0.25">
      <c r="A73" s="98"/>
      <c r="B73" s="105"/>
      <c r="C73" s="106">
        <v>-4</v>
      </c>
      <c r="D73" s="107">
        <v>4</v>
      </c>
      <c r="E73" s="107">
        <v>0.67</v>
      </c>
      <c r="F73" s="107">
        <v>3</v>
      </c>
      <c r="G73" s="51">
        <f t="shared" si="1"/>
        <v>-32.160000000000004</v>
      </c>
      <c r="H73" s="108"/>
      <c r="I73" s="109"/>
    </row>
    <row r="74" spans="1:9" ht="15" customHeight="1" x14ac:dyDescent="0.25">
      <c r="A74" s="82"/>
      <c r="B74" s="83"/>
      <c r="C74" s="779" t="s">
        <v>29</v>
      </c>
      <c r="D74" s="779"/>
      <c r="E74" s="779"/>
      <c r="F74" s="779"/>
      <c r="G74" s="53">
        <f>SUM(G70:G73)</f>
        <v>961.97260000000006</v>
      </c>
      <c r="H74" s="67">
        <f>ROUND(G74*1.001,0)</f>
        <v>963</v>
      </c>
      <c r="I74" s="26" t="s">
        <v>11</v>
      </c>
    </row>
    <row r="75" spans="1:9" ht="28.5" x14ac:dyDescent="0.25">
      <c r="A75" s="57">
        <v>11</v>
      </c>
      <c r="B75" s="58" t="s">
        <v>73</v>
      </c>
      <c r="C75" s="38"/>
      <c r="D75" s="39"/>
      <c r="E75" s="39"/>
      <c r="F75" s="39"/>
      <c r="G75" s="54"/>
      <c r="H75" s="25"/>
      <c r="I75" s="24"/>
    </row>
    <row r="76" spans="1:9" x14ac:dyDescent="0.25">
      <c r="A76" s="92" t="s">
        <v>4</v>
      </c>
      <c r="B76" s="81" t="s">
        <v>170</v>
      </c>
      <c r="C76" s="115"/>
      <c r="D76" s="116"/>
      <c r="E76" s="116"/>
      <c r="F76" s="116"/>
      <c r="G76" s="117"/>
      <c r="H76" s="112"/>
      <c r="I76" s="109"/>
    </row>
    <row r="77" spans="1:9" x14ac:dyDescent="0.25">
      <c r="A77" s="98"/>
      <c r="B77" s="99" t="s">
        <v>170</v>
      </c>
      <c r="C77" s="100"/>
      <c r="D77" s="101"/>
      <c r="E77" s="101"/>
      <c r="F77" s="101"/>
      <c r="G77" s="102"/>
      <c r="H77" s="103"/>
      <c r="I77" s="104"/>
    </row>
    <row r="78" spans="1:9" x14ac:dyDescent="0.25">
      <c r="A78" s="98"/>
      <c r="B78" s="105" t="s">
        <v>75</v>
      </c>
      <c r="C78" s="106">
        <v>1</v>
      </c>
      <c r="D78" s="107">
        <f>67-2-0.83</f>
        <v>64.17</v>
      </c>
      <c r="E78" s="107">
        <v>23</v>
      </c>
      <c r="F78" s="107"/>
      <c r="G78" s="51">
        <f t="shared" ref="G78" si="2">PRODUCT(C78:F78)</f>
        <v>1475.91</v>
      </c>
      <c r="H78" s="108"/>
      <c r="I78" s="109"/>
    </row>
    <row r="79" spans="1:9" x14ac:dyDescent="0.25">
      <c r="A79" s="98"/>
      <c r="B79" s="105" t="s">
        <v>171</v>
      </c>
      <c r="C79" s="106">
        <v>4</v>
      </c>
      <c r="D79" s="107">
        <f>(D78+E78)/2</f>
        <v>43.585000000000001</v>
      </c>
      <c r="E79" s="107"/>
      <c r="F79" s="107">
        <v>8.5</v>
      </c>
      <c r="G79" s="51">
        <f>PRODUCT(C79:F79)</f>
        <v>1481.89</v>
      </c>
      <c r="H79" s="108"/>
      <c r="I79" s="109"/>
    </row>
    <row r="80" spans="1:9" x14ac:dyDescent="0.25">
      <c r="A80" s="98"/>
      <c r="B80" s="99" t="s">
        <v>168</v>
      </c>
      <c r="C80" s="100"/>
      <c r="D80" s="101"/>
      <c r="E80" s="101"/>
      <c r="F80" s="101"/>
      <c r="G80" s="102"/>
      <c r="H80" s="103"/>
      <c r="I80" s="104"/>
    </row>
    <row r="81" spans="1:9" x14ac:dyDescent="0.25">
      <c r="A81" s="98"/>
      <c r="B81" s="105" t="s">
        <v>172</v>
      </c>
      <c r="C81" s="106">
        <v>1</v>
      </c>
      <c r="D81" s="107">
        <v>27</v>
      </c>
      <c r="E81" s="107">
        <v>22</v>
      </c>
      <c r="F81" s="107"/>
      <c r="G81" s="51">
        <f>+C81*D81*E81</f>
        <v>594</v>
      </c>
      <c r="H81" s="108"/>
      <c r="I81" s="109"/>
    </row>
    <row r="82" spans="1:9" x14ac:dyDescent="0.25">
      <c r="A82" s="98"/>
      <c r="B82" s="105" t="s">
        <v>171</v>
      </c>
      <c r="C82" s="106">
        <v>2</v>
      </c>
      <c r="D82" s="107">
        <v>13.42</v>
      </c>
      <c r="E82" s="107"/>
      <c r="F82" s="107">
        <v>10</v>
      </c>
      <c r="G82" s="51">
        <f t="shared" ref="G82:G83" si="3">PRODUCT(C82:F82)</f>
        <v>268.39999999999998</v>
      </c>
      <c r="H82" s="108"/>
      <c r="I82" s="109"/>
    </row>
    <row r="83" spans="1:9" x14ac:dyDescent="0.25">
      <c r="A83" s="98"/>
      <c r="B83" s="105" t="s">
        <v>171</v>
      </c>
      <c r="C83" s="106">
        <v>2</v>
      </c>
      <c r="D83" s="107">
        <v>9.58</v>
      </c>
      <c r="E83" s="107"/>
      <c r="F83" s="107">
        <v>10</v>
      </c>
      <c r="G83" s="51">
        <f t="shared" si="3"/>
        <v>191.6</v>
      </c>
      <c r="H83" s="108"/>
      <c r="I83" s="109"/>
    </row>
    <row r="84" spans="1:9" x14ac:dyDescent="0.25">
      <c r="A84" s="98"/>
      <c r="B84" s="99" t="s">
        <v>169</v>
      </c>
      <c r="C84" s="100"/>
      <c r="D84" s="101"/>
      <c r="E84" s="101"/>
      <c r="F84" s="101"/>
      <c r="G84" s="102"/>
      <c r="H84" s="103"/>
      <c r="I84" s="104"/>
    </row>
    <row r="85" spans="1:9" x14ac:dyDescent="0.25">
      <c r="A85" s="98"/>
      <c r="B85" s="105"/>
      <c r="C85" s="106">
        <v>-2</v>
      </c>
      <c r="D85" s="107">
        <v>2.5</v>
      </c>
      <c r="E85" s="107"/>
      <c r="F85" s="107">
        <v>7</v>
      </c>
      <c r="G85" s="51">
        <f>PRODUCT(C85:F85)</f>
        <v>-35</v>
      </c>
      <c r="H85" s="108"/>
      <c r="I85" s="109"/>
    </row>
    <row r="86" spans="1:9" x14ac:dyDescent="0.25">
      <c r="A86" s="98"/>
      <c r="B86" s="105"/>
      <c r="C86" s="106">
        <v>-4</v>
      </c>
      <c r="D86" s="107">
        <v>4</v>
      </c>
      <c r="E86" s="107"/>
      <c r="F86" s="107">
        <v>3</v>
      </c>
      <c r="G86" s="51">
        <f>PRODUCT(C86:F86)</f>
        <v>-48</v>
      </c>
      <c r="H86" s="108"/>
      <c r="I86" s="109"/>
    </row>
    <row r="87" spans="1:9" ht="15" customHeight="1" x14ac:dyDescent="0.25">
      <c r="A87" s="82"/>
      <c r="B87" s="83"/>
      <c r="C87" s="780" t="s">
        <v>29</v>
      </c>
      <c r="D87" s="781"/>
      <c r="E87" s="781"/>
      <c r="F87" s="782"/>
      <c r="G87" s="53">
        <f>SUM(G78:G86)</f>
        <v>3928.8</v>
      </c>
      <c r="H87" s="67">
        <f>ROUND(G87*1.001,0)</f>
        <v>3933</v>
      </c>
      <c r="I87" s="26" t="s">
        <v>10</v>
      </c>
    </row>
    <row r="88" spans="1:9" ht="28.5" x14ac:dyDescent="0.25">
      <c r="A88" s="57">
        <v>12</v>
      </c>
      <c r="B88" s="58" t="s">
        <v>77</v>
      </c>
      <c r="C88" s="38"/>
      <c r="D88" s="39"/>
      <c r="E88" s="39"/>
      <c r="F88" s="39"/>
      <c r="G88" s="54"/>
      <c r="H88" s="25"/>
      <c r="I88" s="24"/>
    </row>
    <row r="89" spans="1:9" x14ac:dyDescent="0.25">
      <c r="A89" s="98"/>
      <c r="B89" s="81" t="s">
        <v>78</v>
      </c>
      <c r="C89" s="115"/>
      <c r="D89" s="116"/>
      <c r="E89" s="116"/>
      <c r="F89" s="116"/>
      <c r="G89" s="117"/>
      <c r="H89" s="112"/>
      <c r="I89" s="109"/>
    </row>
    <row r="90" spans="1:9" x14ac:dyDescent="0.25">
      <c r="A90" s="98"/>
      <c r="B90" s="99" t="s">
        <v>168</v>
      </c>
      <c r="C90" s="100"/>
      <c r="D90" s="101"/>
      <c r="E90" s="101"/>
      <c r="F90" s="101"/>
      <c r="G90" s="102"/>
      <c r="H90" s="103"/>
      <c r="I90" s="104"/>
    </row>
    <row r="91" spans="1:9" x14ac:dyDescent="0.25">
      <c r="A91" s="98"/>
      <c r="B91" s="105"/>
      <c r="C91" s="106">
        <v>2</v>
      </c>
      <c r="D91" s="107">
        <v>27</v>
      </c>
      <c r="E91" s="107"/>
      <c r="F91" s="107">
        <v>10</v>
      </c>
      <c r="G91" s="51">
        <f t="shared" ref="G91:G92" si="4">PRODUCT(C91:F91)</f>
        <v>540</v>
      </c>
      <c r="H91" s="108"/>
      <c r="I91" s="109"/>
    </row>
    <row r="92" spans="1:9" x14ac:dyDescent="0.25">
      <c r="A92" s="98"/>
      <c r="B92" s="105"/>
      <c r="C92" s="106">
        <v>2</v>
      </c>
      <c r="D92" s="107">
        <v>22</v>
      </c>
      <c r="E92" s="107"/>
      <c r="F92" s="107">
        <v>10</v>
      </c>
      <c r="G92" s="51">
        <f t="shared" si="4"/>
        <v>440</v>
      </c>
      <c r="H92" s="108"/>
      <c r="I92" s="109"/>
    </row>
    <row r="93" spans="1:9" x14ac:dyDescent="0.25">
      <c r="A93" s="98"/>
      <c r="B93" s="105" t="s">
        <v>173</v>
      </c>
      <c r="C93" s="106">
        <v>1</v>
      </c>
      <c r="D93" s="107">
        <f>(27+22)*2</f>
        <v>98</v>
      </c>
      <c r="E93" s="107"/>
      <c r="F93" s="107">
        <f>2+0.42</f>
        <v>2.42</v>
      </c>
      <c r="G93" s="51">
        <f>PRODUCT(C93:F93)</f>
        <v>237.16</v>
      </c>
      <c r="H93" s="108"/>
      <c r="I93" s="109"/>
    </row>
    <row r="94" spans="1:9" x14ac:dyDescent="0.25">
      <c r="A94" s="98"/>
      <c r="B94" s="99" t="s">
        <v>169</v>
      </c>
      <c r="C94" s="100"/>
      <c r="D94" s="101"/>
      <c r="E94" s="101"/>
      <c r="F94" s="101"/>
      <c r="G94" s="102"/>
      <c r="H94" s="103"/>
      <c r="I94" s="104"/>
    </row>
    <row r="95" spans="1:9" x14ac:dyDescent="0.25">
      <c r="A95" s="98"/>
      <c r="B95" s="105"/>
      <c r="C95" s="106">
        <v>-2</v>
      </c>
      <c r="D95" s="107">
        <v>2.5</v>
      </c>
      <c r="E95" s="107"/>
      <c r="F95" s="107">
        <v>7</v>
      </c>
      <c r="G95" s="51">
        <f>PRODUCT(C95:F95)</f>
        <v>-35</v>
      </c>
      <c r="H95" s="108"/>
      <c r="I95" s="109"/>
    </row>
    <row r="96" spans="1:9" x14ac:dyDescent="0.25">
      <c r="A96" s="98"/>
      <c r="B96" s="105"/>
      <c r="C96" s="106">
        <v>-4</v>
      </c>
      <c r="D96" s="107">
        <v>4</v>
      </c>
      <c r="E96" s="107"/>
      <c r="F96" s="107">
        <v>3</v>
      </c>
      <c r="G96" s="51">
        <f>PRODUCT(C96:F96)</f>
        <v>-48</v>
      </c>
      <c r="H96" s="108"/>
      <c r="I96" s="109"/>
    </row>
    <row r="97" spans="1:9" ht="15" customHeight="1" x14ac:dyDescent="0.25">
      <c r="A97" s="13"/>
      <c r="B97" s="10"/>
      <c r="C97" s="779" t="s">
        <v>29</v>
      </c>
      <c r="D97" s="779"/>
      <c r="E97" s="779"/>
      <c r="F97" s="779"/>
      <c r="G97" s="53">
        <f>SUM(G91:G96)</f>
        <v>1134.1600000000001</v>
      </c>
      <c r="H97" s="67">
        <f>ROUND(G97*1.001,0)</f>
        <v>1135</v>
      </c>
      <c r="I97" s="26" t="s">
        <v>10</v>
      </c>
    </row>
    <row r="98" spans="1:9" ht="71.25" x14ac:dyDescent="0.25">
      <c r="A98" s="57">
        <v>13</v>
      </c>
      <c r="B98" s="58" t="s">
        <v>79</v>
      </c>
      <c r="C98" s="38"/>
      <c r="D98" s="39"/>
      <c r="E98" s="39"/>
      <c r="F98" s="39"/>
      <c r="G98" s="120"/>
      <c r="H98" s="112"/>
      <c r="I98" s="121"/>
    </row>
    <row r="99" spans="1:9" x14ac:dyDescent="0.25">
      <c r="A99" s="98"/>
      <c r="B99" s="99" t="s">
        <v>168</v>
      </c>
      <c r="C99" s="100"/>
      <c r="D99" s="101"/>
      <c r="E99" s="101"/>
      <c r="F99" s="101"/>
      <c r="G99" s="102"/>
      <c r="H99" s="103"/>
      <c r="I99" s="104"/>
    </row>
    <row r="100" spans="1:9" x14ac:dyDescent="0.25">
      <c r="A100" s="98"/>
      <c r="B100" s="105" t="s">
        <v>172</v>
      </c>
      <c r="C100" s="106">
        <v>1</v>
      </c>
      <c r="D100" s="107">
        <v>27</v>
      </c>
      <c r="E100" s="107">
        <v>22</v>
      </c>
      <c r="F100" s="107"/>
      <c r="G100" s="51">
        <f>+C100*D100*E100</f>
        <v>594</v>
      </c>
      <c r="H100" s="108"/>
      <c r="I100" s="109"/>
    </row>
    <row r="101" spans="1:9" ht="15" customHeight="1" x14ac:dyDescent="0.25">
      <c r="A101" s="82"/>
      <c r="B101" s="83"/>
      <c r="C101" s="780" t="s">
        <v>29</v>
      </c>
      <c r="D101" s="781"/>
      <c r="E101" s="781"/>
      <c r="F101" s="782"/>
      <c r="G101" s="53">
        <f>SUM(G100)</f>
        <v>594</v>
      </c>
      <c r="H101" s="67">
        <f>ROUND(G101*1.001,0)</f>
        <v>595</v>
      </c>
      <c r="I101" s="26" t="s">
        <v>10</v>
      </c>
    </row>
    <row r="102" spans="1:9" ht="57" x14ac:dyDescent="0.25">
      <c r="A102" s="57">
        <v>14</v>
      </c>
      <c r="B102" s="58" t="s">
        <v>81</v>
      </c>
      <c r="C102" s="38"/>
      <c r="D102" s="39"/>
      <c r="E102" s="39"/>
      <c r="F102" s="39"/>
      <c r="G102" s="120"/>
      <c r="H102" s="112"/>
      <c r="I102" s="121"/>
    </row>
    <row r="103" spans="1:9" x14ac:dyDescent="0.25">
      <c r="A103" s="98"/>
      <c r="B103" s="99" t="s">
        <v>168</v>
      </c>
      <c r="C103" s="100"/>
      <c r="D103" s="101"/>
      <c r="E103" s="101"/>
      <c r="F103" s="101"/>
      <c r="G103" s="102"/>
      <c r="H103" s="103"/>
      <c r="I103" s="104"/>
    </row>
    <row r="104" spans="1:9" x14ac:dyDescent="0.25">
      <c r="A104" s="98"/>
      <c r="B104" s="105" t="s">
        <v>171</v>
      </c>
      <c r="C104" s="106">
        <v>2</v>
      </c>
      <c r="D104" s="107">
        <v>27</v>
      </c>
      <c r="E104" s="107"/>
      <c r="F104" s="107">
        <v>10</v>
      </c>
      <c r="G104" s="51">
        <f t="shared" ref="G104:G105" si="5">PRODUCT(C104:F104)</f>
        <v>540</v>
      </c>
      <c r="H104" s="108"/>
      <c r="I104" s="109"/>
    </row>
    <row r="105" spans="1:9" x14ac:dyDescent="0.25">
      <c r="A105" s="98"/>
      <c r="B105" s="105" t="s">
        <v>171</v>
      </c>
      <c r="C105" s="106">
        <v>2</v>
      </c>
      <c r="D105" s="107">
        <v>22</v>
      </c>
      <c r="E105" s="107"/>
      <c r="F105" s="107">
        <v>10</v>
      </c>
      <c r="G105" s="51">
        <f t="shared" si="5"/>
        <v>440</v>
      </c>
      <c r="H105" s="108"/>
      <c r="I105" s="109"/>
    </row>
    <row r="106" spans="1:9" x14ac:dyDescent="0.25">
      <c r="A106" s="98"/>
      <c r="B106" s="99" t="s">
        <v>169</v>
      </c>
      <c r="C106" s="100"/>
      <c r="D106" s="101"/>
      <c r="E106" s="101"/>
      <c r="F106" s="101"/>
      <c r="G106" s="102"/>
      <c r="H106" s="103"/>
      <c r="I106" s="104"/>
    </row>
    <row r="107" spans="1:9" x14ac:dyDescent="0.25">
      <c r="A107" s="98"/>
      <c r="B107" s="105"/>
      <c r="C107" s="106">
        <v>-2</v>
      </c>
      <c r="D107" s="107">
        <v>2.5</v>
      </c>
      <c r="E107" s="107"/>
      <c r="F107" s="107">
        <v>7</v>
      </c>
      <c r="G107" s="51">
        <f>PRODUCT(C107:F107)</f>
        <v>-35</v>
      </c>
      <c r="H107" s="108"/>
      <c r="I107" s="109"/>
    </row>
    <row r="108" spans="1:9" x14ac:dyDescent="0.25">
      <c r="A108" s="98"/>
      <c r="B108" s="105"/>
      <c r="C108" s="106">
        <v>-4</v>
      </c>
      <c r="D108" s="107">
        <v>4</v>
      </c>
      <c r="E108" s="107"/>
      <c r="F108" s="107">
        <v>3</v>
      </c>
      <c r="G108" s="51">
        <f>PRODUCT(C108:F108)</f>
        <v>-48</v>
      </c>
      <c r="H108" s="108"/>
      <c r="I108" s="109"/>
    </row>
    <row r="109" spans="1:9" ht="15" customHeight="1" x14ac:dyDescent="0.25">
      <c r="A109" s="82"/>
      <c r="B109" s="83"/>
      <c r="C109" s="780" t="s">
        <v>29</v>
      </c>
      <c r="D109" s="781"/>
      <c r="E109" s="781"/>
      <c r="F109" s="782"/>
      <c r="G109" s="53">
        <f>SUM(G101:G108)</f>
        <v>1491</v>
      </c>
      <c r="H109" s="67">
        <f>ROUND(G109*1.001,0)</f>
        <v>1492</v>
      </c>
      <c r="I109" s="26" t="s">
        <v>10</v>
      </c>
    </row>
    <row r="110" spans="1:9" ht="71.25" x14ac:dyDescent="0.25">
      <c r="A110" s="57">
        <v>15</v>
      </c>
      <c r="B110" s="58" t="s">
        <v>82</v>
      </c>
      <c r="C110" s="38"/>
      <c r="D110" s="39"/>
      <c r="E110" s="39"/>
      <c r="F110" s="39"/>
      <c r="G110" s="54"/>
      <c r="H110" s="25"/>
      <c r="I110" s="24"/>
    </row>
    <row r="111" spans="1:9" x14ac:dyDescent="0.25">
      <c r="A111" s="98"/>
      <c r="B111" s="99" t="s">
        <v>168</v>
      </c>
      <c r="C111" s="100"/>
      <c r="D111" s="101"/>
      <c r="E111" s="101"/>
      <c r="F111" s="101"/>
      <c r="G111" s="102"/>
      <c r="H111" s="103"/>
      <c r="I111" s="104"/>
    </row>
    <row r="112" spans="1:9" x14ac:dyDescent="0.25">
      <c r="A112" s="98"/>
      <c r="B112" s="105"/>
      <c r="C112" s="106">
        <v>2</v>
      </c>
      <c r="D112" s="107">
        <v>27</v>
      </c>
      <c r="E112" s="107"/>
      <c r="F112" s="107">
        <v>10</v>
      </c>
      <c r="G112" s="51">
        <f t="shared" ref="G112:G113" si="6">PRODUCT(C112:F112)</f>
        <v>540</v>
      </c>
      <c r="H112" s="108"/>
      <c r="I112" s="109"/>
    </row>
    <row r="113" spans="1:9" x14ac:dyDescent="0.25">
      <c r="A113" s="98"/>
      <c r="B113" s="105"/>
      <c r="C113" s="106">
        <v>2</v>
      </c>
      <c r="D113" s="107">
        <v>22</v>
      </c>
      <c r="E113" s="107"/>
      <c r="F113" s="107">
        <v>10</v>
      </c>
      <c r="G113" s="51">
        <f t="shared" si="6"/>
        <v>440</v>
      </c>
      <c r="H113" s="108"/>
      <c r="I113" s="109"/>
    </row>
    <row r="114" spans="1:9" x14ac:dyDescent="0.25">
      <c r="A114" s="98"/>
      <c r="B114" s="105" t="s">
        <v>173</v>
      </c>
      <c r="C114" s="106">
        <v>1</v>
      </c>
      <c r="D114" s="107">
        <f>(27+22)*2</f>
        <v>98</v>
      </c>
      <c r="E114" s="107"/>
      <c r="F114" s="107">
        <f>2+0.42</f>
        <v>2.42</v>
      </c>
      <c r="G114" s="51">
        <f>PRODUCT(C114:F114)</f>
        <v>237.16</v>
      </c>
      <c r="H114" s="108"/>
      <c r="I114" s="109"/>
    </row>
    <row r="115" spans="1:9" x14ac:dyDescent="0.25">
      <c r="A115" s="98"/>
      <c r="B115" s="99" t="s">
        <v>169</v>
      </c>
      <c r="C115" s="100"/>
      <c r="D115" s="101"/>
      <c r="E115" s="101"/>
      <c r="F115" s="101"/>
      <c r="G115" s="102"/>
      <c r="H115" s="103"/>
      <c r="I115" s="104"/>
    </row>
    <row r="116" spans="1:9" x14ac:dyDescent="0.25">
      <c r="A116" s="98"/>
      <c r="B116" s="105"/>
      <c r="C116" s="106">
        <v>-2</v>
      </c>
      <c r="D116" s="107">
        <v>2.5</v>
      </c>
      <c r="E116" s="107"/>
      <c r="F116" s="107">
        <v>7</v>
      </c>
      <c r="G116" s="51">
        <f>PRODUCT(C116:F116)</f>
        <v>-35</v>
      </c>
      <c r="H116" s="108"/>
      <c r="I116" s="109"/>
    </row>
    <row r="117" spans="1:9" x14ac:dyDescent="0.25">
      <c r="A117" s="98"/>
      <c r="B117" s="105"/>
      <c r="C117" s="106">
        <v>-4</v>
      </c>
      <c r="D117" s="107">
        <v>4</v>
      </c>
      <c r="E117" s="107"/>
      <c r="F117" s="107">
        <v>3</v>
      </c>
      <c r="G117" s="51">
        <f>PRODUCT(C117:F117)</f>
        <v>-48</v>
      </c>
      <c r="H117" s="108"/>
      <c r="I117" s="109"/>
    </row>
    <row r="118" spans="1:9" ht="15" customHeight="1" x14ac:dyDescent="0.25">
      <c r="A118" s="13"/>
      <c r="B118" s="10"/>
      <c r="C118" s="779" t="s">
        <v>29</v>
      </c>
      <c r="D118" s="779"/>
      <c r="E118" s="779"/>
      <c r="F118" s="779"/>
      <c r="G118" s="53">
        <f>SUM(G112:G117)</f>
        <v>1134.1600000000001</v>
      </c>
      <c r="H118" s="67">
        <f>ROUND(G118*1.001,0)</f>
        <v>1135</v>
      </c>
      <c r="I118" s="26" t="s">
        <v>10</v>
      </c>
    </row>
    <row r="119" spans="1:9" x14ac:dyDescent="0.25">
      <c r="A119" s="57">
        <v>16</v>
      </c>
      <c r="B119" s="58" t="s">
        <v>174</v>
      </c>
      <c r="C119" s="38"/>
      <c r="D119" s="39"/>
      <c r="E119" s="39"/>
      <c r="F119" s="39"/>
      <c r="G119" s="54"/>
      <c r="H119" s="25"/>
      <c r="I119" s="24"/>
    </row>
    <row r="120" spans="1:9" x14ac:dyDescent="0.25">
      <c r="A120" s="92"/>
      <c r="B120" s="81" t="s">
        <v>168</v>
      </c>
      <c r="C120" s="115"/>
      <c r="D120" s="116"/>
      <c r="E120" s="116"/>
      <c r="F120" s="116"/>
      <c r="G120" s="117"/>
      <c r="H120" s="112"/>
      <c r="I120" s="109"/>
    </row>
    <row r="121" spans="1:9" x14ac:dyDescent="0.25">
      <c r="A121" s="98"/>
      <c r="B121" s="105"/>
      <c r="C121" s="115"/>
      <c r="D121" s="116"/>
      <c r="E121" s="116"/>
      <c r="F121" s="116"/>
      <c r="G121" s="117"/>
      <c r="H121" s="112"/>
      <c r="I121" s="109"/>
    </row>
    <row r="122" spans="1:9" x14ac:dyDescent="0.25">
      <c r="A122" s="98"/>
      <c r="B122" s="99" t="s">
        <v>168</v>
      </c>
      <c r="C122" s="100"/>
      <c r="D122" s="101"/>
      <c r="E122" s="101"/>
      <c r="F122" s="101"/>
      <c r="G122" s="102"/>
      <c r="H122" s="103"/>
      <c r="I122" s="104"/>
    </row>
    <row r="123" spans="1:9" x14ac:dyDescent="0.25">
      <c r="A123" s="98"/>
      <c r="B123" s="105"/>
      <c r="C123" s="106">
        <v>1</v>
      </c>
      <c r="D123" s="107">
        <v>27</v>
      </c>
      <c r="E123" s="107">
        <v>22</v>
      </c>
      <c r="F123" s="107"/>
      <c r="G123" s="51">
        <f>PRODUCT(C123:F123)</f>
        <v>594</v>
      </c>
      <c r="H123" s="108"/>
      <c r="I123" s="109"/>
    </row>
    <row r="124" spans="1:9" ht="15" customHeight="1" x14ac:dyDescent="0.25">
      <c r="A124" s="13"/>
      <c r="B124" s="10"/>
      <c r="C124" s="779" t="s">
        <v>29</v>
      </c>
      <c r="D124" s="779"/>
      <c r="E124" s="779"/>
      <c r="F124" s="779"/>
      <c r="G124" s="53">
        <f>SUM(G123)</f>
        <v>594</v>
      </c>
      <c r="H124" s="67">
        <f>ROUND(G124*1.001,0)</f>
        <v>595</v>
      </c>
      <c r="I124" s="26" t="s">
        <v>10</v>
      </c>
    </row>
    <row r="125" spans="1:9" x14ac:dyDescent="0.25">
      <c r="A125" s="57">
        <v>17</v>
      </c>
      <c r="B125" s="81" t="s">
        <v>175</v>
      </c>
      <c r="C125" s="110"/>
      <c r="D125" s="111"/>
      <c r="E125" s="111"/>
      <c r="F125" s="111"/>
      <c r="G125" s="113"/>
      <c r="H125" s="112"/>
      <c r="I125" s="109"/>
    </row>
    <row r="126" spans="1:9" x14ac:dyDescent="0.25">
      <c r="A126" s="98"/>
      <c r="B126" s="99"/>
      <c r="C126" s="100"/>
      <c r="D126" s="101"/>
      <c r="E126" s="101"/>
      <c r="F126" s="101"/>
      <c r="G126" s="102"/>
      <c r="H126" s="103"/>
      <c r="I126" s="104"/>
    </row>
    <row r="127" spans="1:9" x14ac:dyDescent="0.25">
      <c r="A127" s="98"/>
      <c r="B127" s="105"/>
      <c r="C127" s="106">
        <v>1</v>
      </c>
      <c r="D127" s="107">
        <f>25+67+25+67</f>
        <v>184</v>
      </c>
      <c r="E127" s="107"/>
      <c r="F127" s="107"/>
      <c r="G127" s="51">
        <f t="shared" ref="G127" si="7">PRODUCT(C127:F127)</f>
        <v>184</v>
      </c>
      <c r="H127" s="108"/>
      <c r="I127" s="109"/>
    </row>
    <row r="128" spans="1:9" ht="15" customHeight="1" x14ac:dyDescent="0.25">
      <c r="A128" s="13"/>
      <c r="B128" s="10"/>
      <c r="C128" s="779" t="s">
        <v>29</v>
      </c>
      <c r="D128" s="779"/>
      <c r="E128" s="779"/>
      <c r="F128" s="779"/>
      <c r="G128" s="53">
        <f>SUM(G127:G127)</f>
        <v>184</v>
      </c>
      <c r="H128" s="67">
        <f>ROUND(G128*1.001,0)</f>
        <v>184</v>
      </c>
      <c r="I128" s="26" t="s">
        <v>176</v>
      </c>
    </row>
    <row r="129" spans="1:9" x14ac:dyDescent="0.25">
      <c r="A129" s="57">
        <v>18</v>
      </c>
      <c r="B129" s="81" t="s">
        <v>177</v>
      </c>
      <c r="C129" s="110"/>
      <c r="D129" s="111"/>
      <c r="E129" s="111"/>
      <c r="F129" s="111"/>
      <c r="G129" s="113"/>
      <c r="H129" s="112"/>
      <c r="I129" s="109"/>
    </row>
    <row r="130" spans="1:9" x14ac:dyDescent="0.25">
      <c r="A130" s="98"/>
      <c r="B130" s="99"/>
      <c r="C130" s="100"/>
      <c r="D130" s="101"/>
      <c r="E130" s="101"/>
      <c r="F130" s="101"/>
      <c r="G130" s="102"/>
      <c r="H130" s="103"/>
      <c r="I130" s="104"/>
    </row>
    <row r="131" spans="1:9" x14ac:dyDescent="0.25">
      <c r="A131" s="98"/>
      <c r="B131" s="105"/>
      <c r="C131" s="106">
        <v>1</v>
      </c>
      <c r="D131" s="107"/>
      <c r="E131" s="107"/>
      <c r="F131" s="107"/>
      <c r="G131" s="51">
        <f t="shared" ref="G131" si="8">PRODUCT(C131:F131)</f>
        <v>1</v>
      </c>
      <c r="H131" s="108"/>
      <c r="I131" s="109"/>
    </row>
    <row r="132" spans="1:9" ht="15" customHeight="1" x14ac:dyDescent="0.25">
      <c r="A132" s="13"/>
      <c r="B132" s="10"/>
      <c r="C132" s="779" t="s">
        <v>29</v>
      </c>
      <c r="D132" s="779"/>
      <c r="E132" s="779"/>
      <c r="F132" s="779"/>
      <c r="G132" s="53">
        <f>SUM(G131:G131)</f>
        <v>1</v>
      </c>
      <c r="H132" s="67">
        <f>ROUND(G132*1.001,0)</f>
        <v>1</v>
      </c>
      <c r="I132" s="26" t="s">
        <v>178</v>
      </c>
    </row>
    <row r="133" spans="1:9" x14ac:dyDescent="0.25">
      <c r="A133" s="57">
        <v>19</v>
      </c>
      <c r="B133" s="81" t="s">
        <v>179</v>
      </c>
      <c r="C133" s="110"/>
      <c r="D133" s="111"/>
      <c r="E133" s="111"/>
      <c r="F133" s="111"/>
      <c r="G133" s="113"/>
      <c r="H133" s="112"/>
      <c r="I133" s="109"/>
    </row>
    <row r="134" spans="1:9" x14ac:dyDescent="0.25">
      <c r="A134" s="98"/>
      <c r="B134" s="99"/>
      <c r="C134" s="100"/>
      <c r="D134" s="101"/>
      <c r="E134" s="101"/>
      <c r="F134" s="101"/>
      <c r="G134" s="102"/>
      <c r="H134" s="103"/>
      <c r="I134" s="104"/>
    </row>
    <row r="135" spans="1:9" x14ac:dyDescent="0.25">
      <c r="A135" s="98"/>
      <c r="B135" s="105"/>
      <c r="C135" s="106">
        <v>2</v>
      </c>
      <c r="D135" s="107"/>
      <c r="E135" s="107"/>
      <c r="F135" s="107"/>
      <c r="G135" s="51">
        <f t="shared" ref="G135" si="9">PRODUCT(C135:F135)</f>
        <v>2</v>
      </c>
      <c r="H135" s="108"/>
      <c r="I135" s="109"/>
    </row>
    <row r="136" spans="1:9" ht="15" customHeight="1" x14ac:dyDescent="0.25">
      <c r="A136" s="13"/>
      <c r="B136" s="10"/>
      <c r="C136" s="779" t="s">
        <v>29</v>
      </c>
      <c r="D136" s="779"/>
      <c r="E136" s="779"/>
      <c r="F136" s="779"/>
      <c r="G136" s="53">
        <f>SUM(G135:G135)</f>
        <v>2</v>
      </c>
      <c r="H136" s="67">
        <f>ROUND(G136*1.001,0)</f>
        <v>2</v>
      </c>
      <c r="I136" s="26" t="s">
        <v>178</v>
      </c>
    </row>
    <row r="137" spans="1:9" x14ac:dyDescent="0.25">
      <c r="A137" s="57">
        <v>20</v>
      </c>
      <c r="B137" s="81" t="s">
        <v>98</v>
      </c>
      <c r="C137" s="110"/>
      <c r="D137" s="111"/>
      <c r="E137" s="111"/>
      <c r="F137" s="111"/>
      <c r="G137" s="113"/>
      <c r="H137" s="112"/>
      <c r="I137" s="109"/>
    </row>
    <row r="138" spans="1:9" x14ac:dyDescent="0.25">
      <c r="A138" s="98"/>
      <c r="B138" s="99"/>
      <c r="C138" s="100"/>
      <c r="D138" s="101"/>
      <c r="E138" s="101"/>
      <c r="F138" s="101"/>
      <c r="G138" s="102"/>
      <c r="H138" s="103"/>
      <c r="I138" s="104"/>
    </row>
    <row r="139" spans="1:9" x14ac:dyDescent="0.25">
      <c r="A139" s="98"/>
      <c r="B139" s="105"/>
      <c r="C139" s="106">
        <v>4</v>
      </c>
      <c r="D139" s="107"/>
      <c r="E139" s="107"/>
      <c r="F139" s="107"/>
      <c r="G139" s="51">
        <f t="shared" ref="G139" si="10">PRODUCT(C139:F139)</f>
        <v>4</v>
      </c>
      <c r="H139" s="108"/>
      <c r="I139" s="109"/>
    </row>
    <row r="140" spans="1:9" ht="15" customHeight="1" x14ac:dyDescent="0.25">
      <c r="A140" s="13"/>
      <c r="B140" s="10"/>
      <c r="C140" s="779" t="s">
        <v>29</v>
      </c>
      <c r="D140" s="779"/>
      <c r="E140" s="779"/>
      <c r="F140" s="779"/>
      <c r="G140" s="53">
        <f>SUM(G139:G139)</f>
        <v>4</v>
      </c>
      <c r="H140" s="67">
        <f>ROUND(G140*1.001,0)</f>
        <v>4</v>
      </c>
      <c r="I140" s="26" t="s">
        <v>178</v>
      </c>
    </row>
    <row r="141" spans="1:9" x14ac:dyDescent="0.25">
      <c r="A141" s="57">
        <v>21</v>
      </c>
      <c r="B141" s="81" t="s">
        <v>210</v>
      </c>
      <c r="C141" s="110"/>
      <c r="D141" s="111"/>
      <c r="E141" s="111"/>
      <c r="F141" s="111"/>
      <c r="G141" s="113"/>
      <c r="H141" s="112"/>
      <c r="I141" s="109"/>
    </row>
    <row r="142" spans="1:9" x14ac:dyDescent="0.25">
      <c r="A142" s="98"/>
      <c r="B142" s="99"/>
      <c r="C142" s="100"/>
      <c r="D142" s="101"/>
      <c r="E142" s="101"/>
      <c r="F142" s="101"/>
      <c r="G142" s="102"/>
      <c r="H142" s="103"/>
      <c r="I142" s="104"/>
    </row>
    <row r="143" spans="1:9" x14ac:dyDescent="0.25">
      <c r="A143" s="98"/>
      <c r="B143" s="105"/>
      <c r="C143" s="106">
        <v>6</v>
      </c>
      <c r="D143" s="107"/>
      <c r="E143" s="107"/>
      <c r="F143" s="107"/>
      <c r="G143" s="51">
        <f t="shared" ref="G143" si="11">PRODUCT(C143:F143)</f>
        <v>6</v>
      </c>
      <c r="H143" s="108"/>
      <c r="I143" s="109"/>
    </row>
    <row r="144" spans="1:9" ht="15" customHeight="1" x14ac:dyDescent="0.25">
      <c r="A144" s="13"/>
      <c r="B144" s="10"/>
      <c r="C144" s="779" t="s">
        <v>29</v>
      </c>
      <c r="D144" s="779"/>
      <c r="E144" s="779"/>
      <c r="F144" s="779"/>
      <c r="G144" s="53">
        <f>SUM(G143:G143)</f>
        <v>6</v>
      </c>
      <c r="H144" s="67">
        <f>ROUND(G144*1.001,0)</f>
        <v>6</v>
      </c>
      <c r="I144" s="26" t="s">
        <v>178</v>
      </c>
    </row>
  </sheetData>
  <mergeCells count="24">
    <mergeCell ref="C128:F128"/>
    <mergeCell ref="C132:F132"/>
    <mergeCell ref="C136:F136"/>
    <mergeCell ref="C140:F140"/>
    <mergeCell ref="C144:F144"/>
    <mergeCell ref="C118:F118"/>
    <mergeCell ref="C124:F124"/>
    <mergeCell ref="C34:F34"/>
    <mergeCell ref="E38:F38"/>
    <mergeCell ref="C57:F57"/>
    <mergeCell ref="C62:F62"/>
    <mergeCell ref="C65:F65"/>
    <mergeCell ref="C74:F74"/>
    <mergeCell ref="E43:F43"/>
    <mergeCell ref="C87:F87"/>
    <mergeCell ref="C97:F97"/>
    <mergeCell ref="C101:F101"/>
    <mergeCell ref="C109:F109"/>
    <mergeCell ref="C27:F27"/>
    <mergeCell ref="A1:I1"/>
    <mergeCell ref="C9:F9"/>
    <mergeCell ref="C13:F13"/>
    <mergeCell ref="C17:F17"/>
    <mergeCell ref="C23:F23"/>
  </mergeCells>
  <printOptions horizontalCentered="1"/>
  <pageMargins left="0.5" right="0.25" top="0.55000000000000004" bottom="0.25" header="0.17" footer="0.17"/>
  <pageSetup paperSize="9" scale="70" fitToHeight="0" orientation="portrait" r:id="rId1"/>
  <headerFooter alignWithMargins="0">
    <oddHeader>&amp;R&amp;"Arial Narrow,Regular"&amp;10&amp;A
 Page &amp;P of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F152"/>
  <sheetViews>
    <sheetView view="pageBreakPreview" zoomScale="70" zoomScaleNormal="100" zoomScaleSheetLayoutView="70" workbookViewId="0">
      <selection activeCell="C12" sqref="C12"/>
    </sheetView>
  </sheetViews>
  <sheetFormatPr defaultRowHeight="15.75" x14ac:dyDescent="0.25"/>
  <cols>
    <col min="1" max="1" width="21.28515625" style="683" customWidth="1"/>
    <col min="2" max="2" width="65.85546875" style="684" customWidth="1"/>
    <col min="3" max="3" width="27" style="683" customWidth="1"/>
    <col min="4" max="4" width="15.42578125" style="654" bestFit="1" customWidth="1"/>
    <col min="5" max="5" width="19" style="654" bestFit="1" customWidth="1"/>
    <col min="6" max="256" width="9.140625" style="654"/>
    <col min="257" max="257" width="21.28515625" style="654" customWidth="1"/>
    <col min="258" max="258" width="65.85546875" style="654" customWidth="1"/>
    <col min="259" max="259" width="27" style="654" customWidth="1"/>
    <col min="260" max="260" width="15.42578125" style="654" bestFit="1" customWidth="1"/>
    <col min="261" max="261" width="19" style="654" bestFit="1" customWidth="1"/>
    <col min="262" max="512" width="9.140625" style="654"/>
    <col min="513" max="513" width="21.28515625" style="654" customWidth="1"/>
    <col min="514" max="514" width="65.85546875" style="654" customWidth="1"/>
    <col min="515" max="515" width="27" style="654" customWidth="1"/>
    <col min="516" max="516" width="15.42578125" style="654" bestFit="1" customWidth="1"/>
    <col min="517" max="517" width="19" style="654" bestFit="1" customWidth="1"/>
    <col min="518" max="768" width="9.140625" style="654"/>
    <col min="769" max="769" width="21.28515625" style="654" customWidth="1"/>
    <col min="770" max="770" width="65.85546875" style="654" customWidth="1"/>
    <col min="771" max="771" width="27" style="654" customWidth="1"/>
    <col min="772" max="772" width="15.42578125" style="654" bestFit="1" customWidth="1"/>
    <col min="773" max="773" width="19" style="654" bestFit="1" customWidth="1"/>
    <col min="774" max="1024" width="9.140625" style="654"/>
    <col min="1025" max="1025" width="21.28515625" style="654" customWidth="1"/>
    <col min="1026" max="1026" width="65.85546875" style="654" customWidth="1"/>
    <col min="1027" max="1027" width="27" style="654" customWidth="1"/>
    <col min="1028" max="1028" width="15.42578125" style="654" bestFit="1" customWidth="1"/>
    <col min="1029" max="1029" width="19" style="654" bestFit="1" customWidth="1"/>
    <col min="1030" max="1280" width="9.140625" style="654"/>
    <col min="1281" max="1281" width="21.28515625" style="654" customWidth="1"/>
    <col min="1282" max="1282" width="65.85546875" style="654" customWidth="1"/>
    <col min="1283" max="1283" width="27" style="654" customWidth="1"/>
    <col min="1284" max="1284" width="15.42578125" style="654" bestFit="1" customWidth="1"/>
    <col min="1285" max="1285" width="19" style="654" bestFit="1" customWidth="1"/>
    <col min="1286" max="1536" width="9.140625" style="654"/>
    <col min="1537" max="1537" width="21.28515625" style="654" customWidth="1"/>
    <col min="1538" max="1538" width="65.85546875" style="654" customWidth="1"/>
    <col min="1539" max="1539" width="27" style="654" customWidth="1"/>
    <col min="1540" max="1540" width="15.42578125" style="654" bestFit="1" customWidth="1"/>
    <col min="1541" max="1541" width="19" style="654" bestFit="1" customWidth="1"/>
    <col min="1542" max="1792" width="9.140625" style="654"/>
    <col min="1793" max="1793" width="21.28515625" style="654" customWidth="1"/>
    <col min="1794" max="1794" width="65.85546875" style="654" customWidth="1"/>
    <col min="1795" max="1795" width="27" style="654" customWidth="1"/>
    <col min="1796" max="1796" width="15.42578125" style="654" bestFit="1" customWidth="1"/>
    <col min="1797" max="1797" width="19" style="654" bestFit="1" customWidth="1"/>
    <col min="1798" max="2048" width="9.140625" style="654"/>
    <col min="2049" max="2049" width="21.28515625" style="654" customWidth="1"/>
    <col min="2050" max="2050" width="65.85546875" style="654" customWidth="1"/>
    <col min="2051" max="2051" width="27" style="654" customWidth="1"/>
    <col min="2052" max="2052" width="15.42578125" style="654" bestFit="1" customWidth="1"/>
    <col min="2053" max="2053" width="19" style="654" bestFit="1" customWidth="1"/>
    <col min="2054" max="2304" width="9.140625" style="654"/>
    <col min="2305" max="2305" width="21.28515625" style="654" customWidth="1"/>
    <col min="2306" max="2306" width="65.85546875" style="654" customWidth="1"/>
    <col min="2307" max="2307" width="27" style="654" customWidth="1"/>
    <col min="2308" max="2308" width="15.42578125" style="654" bestFit="1" customWidth="1"/>
    <col min="2309" max="2309" width="19" style="654" bestFit="1" customWidth="1"/>
    <col min="2310" max="2560" width="9.140625" style="654"/>
    <col min="2561" max="2561" width="21.28515625" style="654" customWidth="1"/>
    <col min="2562" max="2562" width="65.85546875" style="654" customWidth="1"/>
    <col min="2563" max="2563" width="27" style="654" customWidth="1"/>
    <col min="2564" max="2564" width="15.42578125" style="654" bestFit="1" customWidth="1"/>
    <col min="2565" max="2565" width="19" style="654" bestFit="1" customWidth="1"/>
    <col min="2566" max="2816" width="9.140625" style="654"/>
    <col min="2817" max="2817" width="21.28515625" style="654" customWidth="1"/>
    <col min="2818" max="2818" width="65.85546875" style="654" customWidth="1"/>
    <col min="2819" max="2819" width="27" style="654" customWidth="1"/>
    <col min="2820" max="2820" width="15.42578125" style="654" bestFit="1" customWidth="1"/>
    <col min="2821" max="2821" width="19" style="654" bestFit="1" customWidth="1"/>
    <col min="2822" max="3072" width="9.140625" style="654"/>
    <col min="3073" max="3073" width="21.28515625" style="654" customWidth="1"/>
    <col min="3074" max="3074" width="65.85546875" style="654" customWidth="1"/>
    <col min="3075" max="3075" width="27" style="654" customWidth="1"/>
    <col min="3076" max="3076" width="15.42578125" style="654" bestFit="1" customWidth="1"/>
    <col min="3077" max="3077" width="19" style="654" bestFit="1" customWidth="1"/>
    <col min="3078" max="3328" width="9.140625" style="654"/>
    <col min="3329" max="3329" width="21.28515625" style="654" customWidth="1"/>
    <col min="3330" max="3330" width="65.85546875" style="654" customWidth="1"/>
    <col min="3331" max="3331" width="27" style="654" customWidth="1"/>
    <col min="3332" max="3332" width="15.42578125" style="654" bestFit="1" customWidth="1"/>
    <col min="3333" max="3333" width="19" style="654" bestFit="1" customWidth="1"/>
    <col min="3334" max="3584" width="9.140625" style="654"/>
    <col min="3585" max="3585" width="21.28515625" style="654" customWidth="1"/>
    <col min="3586" max="3586" width="65.85546875" style="654" customWidth="1"/>
    <col min="3587" max="3587" width="27" style="654" customWidth="1"/>
    <col min="3588" max="3588" width="15.42578125" style="654" bestFit="1" customWidth="1"/>
    <col min="3589" max="3589" width="19" style="654" bestFit="1" customWidth="1"/>
    <col min="3590" max="3840" width="9.140625" style="654"/>
    <col min="3841" max="3841" width="21.28515625" style="654" customWidth="1"/>
    <col min="3842" max="3842" width="65.85546875" style="654" customWidth="1"/>
    <col min="3843" max="3843" width="27" style="654" customWidth="1"/>
    <col min="3844" max="3844" width="15.42578125" style="654" bestFit="1" customWidth="1"/>
    <col min="3845" max="3845" width="19" style="654" bestFit="1" customWidth="1"/>
    <col min="3846" max="4096" width="9.140625" style="654"/>
    <col min="4097" max="4097" width="21.28515625" style="654" customWidth="1"/>
    <col min="4098" max="4098" width="65.85546875" style="654" customWidth="1"/>
    <col min="4099" max="4099" width="27" style="654" customWidth="1"/>
    <col min="4100" max="4100" width="15.42578125" style="654" bestFit="1" customWidth="1"/>
    <col min="4101" max="4101" width="19" style="654" bestFit="1" customWidth="1"/>
    <col min="4102" max="4352" width="9.140625" style="654"/>
    <col min="4353" max="4353" width="21.28515625" style="654" customWidth="1"/>
    <col min="4354" max="4354" width="65.85546875" style="654" customWidth="1"/>
    <col min="4355" max="4355" width="27" style="654" customWidth="1"/>
    <col min="4356" max="4356" width="15.42578125" style="654" bestFit="1" customWidth="1"/>
    <col min="4357" max="4357" width="19" style="654" bestFit="1" customWidth="1"/>
    <col min="4358" max="4608" width="9.140625" style="654"/>
    <col min="4609" max="4609" width="21.28515625" style="654" customWidth="1"/>
    <col min="4610" max="4610" width="65.85546875" style="654" customWidth="1"/>
    <col min="4611" max="4611" width="27" style="654" customWidth="1"/>
    <col min="4612" max="4612" width="15.42578125" style="654" bestFit="1" customWidth="1"/>
    <col min="4613" max="4613" width="19" style="654" bestFit="1" customWidth="1"/>
    <col min="4614" max="4864" width="9.140625" style="654"/>
    <col min="4865" max="4865" width="21.28515625" style="654" customWidth="1"/>
    <col min="4866" max="4866" width="65.85546875" style="654" customWidth="1"/>
    <col min="4867" max="4867" width="27" style="654" customWidth="1"/>
    <col min="4868" max="4868" width="15.42578125" style="654" bestFit="1" customWidth="1"/>
    <col min="4869" max="4869" width="19" style="654" bestFit="1" customWidth="1"/>
    <col min="4870" max="5120" width="9.140625" style="654"/>
    <col min="5121" max="5121" width="21.28515625" style="654" customWidth="1"/>
    <col min="5122" max="5122" width="65.85546875" style="654" customWidth="1"/>
    <col min="5123" max="5123" width="27" style="654" customWidth="1"/>
    <col min="5124" max="5124" width="15.42578125" style="654" bestFit="1" customWidth="1"/>
    <col min="5125" max="5125" width="19" style="654" bestFit="1" customWidth="1"/>
    <col min="5126" max="5376" width="9.140625" style="654"/>
    <col min="5377" max="5377" width="21.28515625" style="654" customWidth="1"/>
    <col min="5378" max="5378" width="65.85546875" style="654" customWidth="1"/>
    <col min="5379" max="5379" width="27" style="654" customWidth="1"/>
    <col min="5380" max="5380" width="15.42578125" style="654" bestFit="1" customWidth="1"/>
    <col min="5381" max="5381" width="19" style="654" bestFit="1" customWidth="1"/>
    <col min="5382" max="5632" width="9.140625" style="654"/>
    <col min="5633" max="5633" width="21.28515625" style="654" customWidth="1"/>
    <col min="5634" max="5634" width="65.85546875" style="654" customWidth="1"/>
    <col min="5635" max="5635" width="27" style="654" customWidth="1"/>
    <col min="5636" max="5636" width="15.42578125" style="654" bestFit="1" customWidth="1"/>
    <col min="5637" max="5637" width="19" style="654" bestFit="1" customWidth="1"/>
    <col min="5638" max="5888" width="9.140625" style="654"/>
    <col min="5889" max="5889" width="21.28515625" style="654" customWidth="1"/>
    <col min="5890" max="5890" width="65.85546875" style="654" customWidth="1"/>
    <col min="5891" max="5891" width="27" style="654" customWidth="1"/>
    <col min="5892" max="5892" width="15.42578125" style="654" bestFit="1" customWidth="1"/>
    <col min="5893" max="5893" width="19" style="654" bestFit="1" customWidth="1"/>
    <col min="5894" max="6144" width="9.140625" style="654"/>
    <col min="6145" max="6145" width="21.28515625" style="654" customWidth="1"/>
    <col min="6146" max="6146" width="65.85546875" style="654" customWidth="1"/>
    <col min="6147" max="6147" width="27" style="654" customWidth="1"/>
    <col min="6148" max="6148" width="15.42578125" style="654" bestFit="1" customWidth="1"/>
    <col min="6149" max="6149" width="19" style="654" bestFit="1" customWidth="1"/>
    <col min="6150" max="6400" width="9.140625" style="654"/>
    <col min="6401" max="6401" width="21.28515625" style="654" customWidth="1"/>
    <col min="6402" max="6402" width="65.85546875" style="654" customWidth="1"/>
    <col min="6403" max="6403" width="27" style="654" customWidth="1"/>
    <col min="6404" max="6404" width="15.42578125" style="654" bestFit="1" customWidth="1"/>
    <col min="6405" max="6405" width="19" style="654" bestFit="1" customWidth="1"/>
    <col min="6406" max="6656" width="9.140625" style="654"/>
    <col min="6657" max="6657" width="21.28515625" style="654" customWidth="1"/>
    <col min="6658" max="6658" width="65.85546875" style="654" customWidth="1"/>
    <col min="6659" max="6659" width="27" style="654" customWidth="1"/>
    <col min="6660" max="6660" width="15.42578125" style="654" bestFit="1" customWidth="1"/>
    <col min="6661" max="6661" width="19" style="654" bestFit="1" customWidth="1"/>
    <col min="6662" max="6912" width="9.140625" style="654"/>
    <col min="6913" max="6913" width="21.28515625" style="654" customWidth="1"/>
    <col min="6914" max="6914" width="65.85546875" style="654" customWidth="1"/>
    <col min="6915" max="6915" width="27" style="654" customWidth="1"/>
    <col min="6916" max="6916" width="15.42578125" style="654" bestFit="1" customWidth="1"/>
    <col min="6917" max="6917" width="19" style="654" bestFit="1" customWidth="1"/>
    <col min="6918" max="7168" width="9.140625" style="654"/>
    <col min="7169" max="7169" width="21.28515625" style="654" customWidth="1"/>
    <col min="7170" max="7170" width="65.85546875" style="654" customWidth="1"/>
    <col min="7171" max="7171" width="27" style="654" customWidth="1"/>
    <col min="7172" max="7172" width="15.42578125" style="654" bestFit="1" customWidth="1"/>
    <col min="7173" max="7173" width="19" style="654" bestFit="1" customWidth="1"/>
    <col min="7174" max="7424" width="9.140625" style="654"/>
    <col min="7425" max="7425" width="21.28515625" style="654" customWidth="1"/>
    <col min="7426" max="7426" width="65.85546875" style="654" customWidth="1"/>
    <col min="7427" max="7427" width="27" style="654" customWidth="1"/>
    <col min="7428" max="7428" width="15.42578125" style="654" bestFit="1" customWidth="1"/>
    <col min="7429" max="7429" width="19" style="654" bestFit="1" customWidth="1"/>
    <col min="7430" max="7680" width="9.140625" style="654"/>
    <col min="7681" max="7681" width="21.28515625" style="654" customWidth="1"/>
    <col min="7682" max="7682" width="65.85546875" style="654" customWidth="1"/>
    <col min="7683" max="7683" width="27" style="654" customWidth="1"/>
    <col min="7684" max="7684" width="15.42578125" style="654" bestFit="1" customWidth="1"/>
    <col min="7685" max="7685" width="19" style="654" bestFit="1" customWidth="1"/>
    <col min="7686" max="7936" width="9.140625" style="654"/>
    <col min="7937" max="7937" width="21.28515625" style="654" customWidth="1"/>
    <col min="7938" max="7938" width="65.85546875" style="654" customWidth="1"/>
    <col min="7939" max="7939" width="27" style="654" customWidth="1"/>
    <col min="7940" max="7940" width="15.42578125" style="654" bestFit="1" customWidth="1"/>
    <col min="7941" max="7941" width="19" style="654" bestFit="1" customWidth="1"/>
    <col min="7942" max="8192" width="9.140625" style="654"/>
    <col min="8193" max="8193" width="21.28515625" style="654" customWidth="1"/>
    <col min="8194" max="8194" width="65.85546875" style="654" customWidth="1"/>
    <col min="8195" max="8195" width="27" style="654" customWidth="1"/>
    <col min="8196" max="8196" width="15.42578125" style="654" bestFit="1" customWidth="1"/>
    <col min="8197" max="8197" width="19" style="654" bestFit="1" customWidth="1"/>
    <col min="8198" max="8448" width="9.140625" style="654"/>
    <col min="8449" max="8449" width="21.28515625" style="654" customWidth="1"/>
    <col min="8450" max="8450" width="65.85546875" style="654" customWidth="1"/>
    <col min="8451" max="8451" width="27" style="654" customWidth="1"/>
    <col min="8452" max="8452" width="15.42578125" style="654" bestFit="1" customWidth="1"/>
    <col min="8453" max="8453" width="19" style="654" bestFit="1" customWidth="1"/>
    <col min="8454" max="8704" width="9.140625" style="654"/>
    <col min="8705" max="8705" width="21.28515625" style="654" customWidth="1"/>
    <col min="8706" max="8706" width="65.85546875" style="654" customWidth="1"/>
    <col min="8707" max="8707" width="27" style="654" customWidth="1"/>
    <col min="8708" max="8708" width="15.42578125" style="654" bestFit="1" customWidth="1"/>
    <col min="8709" max="8709" width="19" style="654" bestFit="1" customWidth="1"/>
    <col min="8710" max="8960" width="9.140625" style="654"/>
    <col min="8961" max="8961" width="21.28515625" style="654" customWidth="1"/>
    <col min="8962" max="8962" width="65.85546875" style="654" customWidth="1"/>
    <col min="8963" max="8963" width="27" style="654" customWidth="1"/>
    <col min="8964" max="8964" width="15.42578125" style="654" bestFit="1" customWidth="1"/>
    <col min="8965" max="8965" width="19" style="654" bestFit="1" customWidth="1"/>
    <col min="8966" max="9216" width="9.140625" style="654"/>
    <col min="9217" max="9217" width="21.28515625" style="654" customWidth="1"/>
    <col min="9218" max="9218" width="65.85546875" style="654" customWidth="1"/>
    <col min="9219" max="9219" width="27" style="654" customWidth="1"/>
    <col min="9220" max="9220" width="15.42578125" style="654" bestFit="1" customWidth="1"/>
    <col min="9221" max="9221" width="19" style="654" bestFit="1" customWidth="1"/>
    <col min="9222" max="9472" width="9.140625" style="654"/>
    <col min="9473" max="9473" width="21.28515625" style="654" customWidth="1"/>
    <col min="9474" max="9474" width="65.85546875" style="654" customWidth="1"/>
    <col min="9475" max="9475" width="27" style="654" customWidth="1"/>
    <col min="9476" max="9476" width="15.42578125" style="654" bestFit="1" customWidth="1"/>
    <col min="9477" max="9477" width="19" style="654" bestFit="1" customWidth="1"/>
    <col min="9478" max="9728" width="9.140625" style="654"/>
    <col min="9729" max="9729" width="21.28515625" style="654" customWidth="1"/>
    <col min="9730" max="9730" width="65.85546875" style="654" customWidth="1"/>
    <col min="9731" max="9731" width="27" style="654" customWidth="1"/>
    <col min="9732" max="9732" width="15.42578125" style="654" bestFit="1" customWidth="1"/>
    <col min="9733" max="9733" width="19" style="654" bestFit="1" customWidth="1"/>
    <col min="9734" max="9984" width="9.140625" style="654"/>
    <col min="9985" max="9985" width="21.28515625" style="654" customWidth="1"/>
    <col min="9986" max="9986" width="65.85546875" style="654" customWidth="1"/>
    <col min="9987" max="9987" width="27" style="654" customWidth="1"/>
    <col min="9988" max="9988" width="15.42578125" style="654" bestFit="1" customWidth="1"/>
    <col min="9989" max="9989" width="19" style="654" bestFit="1" customWidth="1"/>
    <col min="9990" max="10240" width="9.140625" style="654"/>
    <col min="10241" max="10241" width="21.28515625" style="654" customWidth="1"/>
    <col min="10242" max="10242" width="65.85546875" style="654" customWidth="1"/>
    <col min="10243" max="10243" width="27" style="654" customWidth="1"/>
    <col min="10244" max="10244" width="15.42578125" style="654" bestFit="1" customWidth="1"/>
    <col min="10245" max="10245" width="19" style="654" bestFit="1" customWidth="1"/>
    <col min="10246" max="10496" width="9.140625" style="654"/>
    <col min="10497" max="10497" width="21.28515625" style="654" customWidth="1"/>
    <col min="10498" max="10498" width="65.85546875" style="654" customWidth="1"/>
    <col min="10499" max="10499" width="27" style="654" customWidth="1"/>
    <col min="10500" max="10500" width="15.42578125" style="654" bestFit="1" customWidth="1"/>
    <col min="10501" max="10501" width="19" style="654" bestFit="1" customWidth="1"/>
    <col min="10502" max="10752" width="9.140625" style="654"/>
    <col min="10753" max="10753" width="21.28515625" style="654" customWidth="1"/>
    <col min="10754" max="10754" width="65.85546875" style="654" customWidth="1"/>
    <col min="10755" max="10755" width="27" style="654" customWidth="1"/>
    <col min="10756" max="10756" width="15.42578125" style="654" bestFit="1" customWidth="1"/>
    <col min="10757" max="10757" width="19" style="654" bestFit="1" customWidth="1"/>
    <col min="10758" max="11008" width="9.140625" style="654"/>
    <col min="11009" max="11009" width="21.28515625" style="654" customWidth="1"/>
    <col min="11010" max="11010" width="65.85546875" style="654" customWidth="1"/>
    <col min="11011" max="11011" width="27" style="654" customWidth="1"/>
    <col min="11012" max="11012" width="15.42578125" style="654" bestFit="1" customWidth="1"/>
    <col min="11013" max="11013" width="19" style="654" bestFit="1" customWidth="1"/>
    <col min="11014" max="11264" width="9.140625" style="654"/>
    <col min="11265" max="11265" width="21.28515625" style="654" customWidth="1"/>
    <col min="11266" max="11266" width="65.85546875" style="654" customWidth="1"/>
    <col min="11267" max="11267" width="27" style="654" customWidth="1"/>
    <col min="11268" max="11268" width="15.42578125" style="654" bestFit="1" customWidth="1"/>
    <col min="11269" max="11269" width="19" style="654" bestFit="1" customWidth="1"/>
    <col min="11270" max="11520" width="9.140625" style="654"/>
    <col min="11521" max="11521" width="21.28515625" style="654" customWidth="1"/>
    <col min="11522" max="11522" width="65.85546875" style="654" customWidth="1"/>
    <col min="11523" max="11523" width="27" style="654" customWidth="1"/>
    <col min="11524" max="11524" width="15.42578125" style="654" bestFit="1" customWidth="1"/>
    <col min="11525" max="11525" width="19" style="654" bestFit="1" customWidth="1"/>
    <col min="11526" max="11776" width="9.140625" style="654"/>
    <col min="11777" max="11777" width="21.28515625" style="654" customWidth="1"/>
    <col min="11778" max="11778" width="65.85546875" style="654" customWidth="1"/>
    <col min="11779" max="11779" width="27" style="654" customWidth="1"/>
    <col min="11780" max="11780" width="15.42578125" style="654" bestFit="1" customWidth="1"/>
    <col min="11781" max="11781" width="19" style="654" bestFit="1" customWidth="1"/>
    <col min="11782" max="12032" width="9.140625" style="654"/>
    <col min="12033" max="12033" width="21.28515625" style="654" customWidth="1"/>
    <col min="12034" max="12034" width="65.85546875" style="654" customWidth="1"/>
    <col min="12035" max="12035" width="27" style="654" customWidth="1"/>
    <col min="12036" max="12036" width="15.42578125" style="654" bestFit="1" customWidth="1"/>
    <col min="12037" max="12037" width="19" style="654" bestFit="1" customWidth="1"/>
    <col min="12038" max="12288" width="9.140625" style="654"/>
    <col min="12289" max="12289" width="21.28515625" style="654" customWidth="1"/>
    <col min="12290" max="12290" width="65.85546875" style="654" customWidth="1"/>
    <col min="12291" max="12291" width="27" style="654" customWidth="1"/>
    <col min="12292" max="12292" width="15.42578125" style="654" bestFit="1" customWidth="1"/>
    <col min="12293" max="12293" width="19" style="654" bestFit="1" customWidth="1"/>
    <col min="12294" max="12544" width="9.140625" style="654"/>
    <col min="12545" max="12545" width="21.28515625" style="654" customWidth="1"/>
    <col min="12546" max="12546" width="65.85546875" style="654" customWidth="1"/>
    <col min="12547" max="12547" width="27" style="654" customWidth="1"/>
    <col min="12548" max="12548" width="15.42578125" style="654" bestFit="1" customWidth="1"/>
    <col min="12549" max="12549" width="19" style="654" bestFit="1" customWidth="1"/>
    <col min="12550" max="12800" width="9.140625" style="654"/>
    <col min="12801" max="12801" width="21.28515625" style="654" customWidth="1"/>
    <col min="12802" max="12802" width="65.85546875" style="654" customWidth="1"/>
    <col min="12803" max="12803" width="27" style="654" customWidth="1"/>
    <col min="12804" max="12804" width="15.42578125" style="654" bestFit="1" customWidth="1"/>
    <col min="12805" max="12805" width="19" style="654" bestFit="1" customWidth="1"/>
    <col min="12806" max="13056" width="9.140625" style="654"/>
    <col min="13057" max="13057" width="21.28515625" style="654" customWidth="1"/>
    <col min="13058" max="13058" width="65.85546875" style="654" customWidth="1"/>
    <col min="13059" max="13059" width="27" style="654" customWidth="1"/>
    <col min="13060" max="13060" width="15.42578125" style="654" bestFit="1" customWidth="1"/>
    <col min="13061" max="13061" width="19" style="654" bestFit="1" customWidth="1"/>
    <col min="13062" max="13312" width="9.140625" style="654"/>
    <col min="13313" max="13313" width="21.28515625" style="654" customWidth="1"/>
    <col min="13314" max="13314" width="65.85546875" style="654" customWidth="1"/>
    <col min="13315" max="13315" width="27" style="654" customWidth="1"/>
    <col min="13316" max="13316" width="15.42578125" style="654" bestFit="1" customWidth="1"/>
    <col min="13317" max="13317" width="19" style="654" bestFit="1" customWidth="1"/>
    <col min="13318" max="13568" width="9.140625" style="654"/>
    <col min="13569" max="13569" width="21.28515625" style="654" customWidth="1"/>
    <col min="13570" max="13570" width="65.85546875" style="654" customWidth="1"/>
    <col min="13571" max="13571" width="27" style="654" customWidth="1"/>
    <col min="13572" max="13572" width="15.42578125" style="654" bestFit="1" customWidth="1"/>
    <col min="13573" max="13573" width="19" style="654" bestFit="1" customWidth="1"/>
    <col min="13574" max="13824" width="9.140625" style="654"/>
    <col min="13825" max="13825" width="21.28515625" style="654" customWidth="1"/>
    <col min="13826" max="13826" width="65.85546875" style="654" customWidth="1"/>
    <col min="13827" max="13827" width="27" style="654" customWidth="1"/>
    <col min="13828" max="13828" width="15.42578125" style="654" bestFit="1" customWidth="1"/>
    <col min="13829" max="13829" width="19" style="654" bestFit="1" customWidth="1"/>
    <col min="13830" max="14080" width="9.140625" style="654"/>
    <col min="14081" max="14081" width="21.28515625" style="654" customWidth="1"/>
    <col min="14082" max="14082" width="65.85546875" style="654" customWidth="1"/>
    <col min="14083" max="14083" width="27" style="654" customWidth="1"/>
    <col min="14084" max="14084" width="15.42578125" style="654" bestFit="1" customWidth="1"/>
    <col min="14085" max="14085" width="19" style="654" bestFit="1" customWidth="1"/>
    <col min="14086" max="14336" width="9.140625" style="654"/>
    <col min="14337" max="14337" width="21.28515625" style="654" customWidth="1"/>
    <col min="14338" max="14338" width="65.85546875" style="654" customWidth="1"/>
    <col min="14339" max="14339" width="27" style="654" customWidth="1"/>
    <col min="14340" max="14340" width="15.42578125" style="654" bestFit="1" customWidth="1"/>
    <col min="14341" max="14341" width="19" style="654" bestFit="1" customWidth="1"/>
    <col min="14342" max="14592" width="9.140625" style="654"/>
    <col min="14593" max="14593" width="21.28515625" style="654" customWidth="1"/>
    <col min="14594" max="14594" width="65.85546875" style="654" customWidth="1"/>
    <col min="14595" max="14595" width="27" style="654" customWidth="1"/>
    <col min="14596" max="14596" width="15.42578125" style="654" bestFit="1" customWidth="1"/>
    <col min="14597" max="14597" width="19" style="654" bestFit="1" customWidth="1"/>
    <col min="14598" max="14848" width="9.140625" style="654"/>
    <col min="14849" max="14849" width="21.28515625" style="654" customWidth="1"/>
    <col min="14850" max="14850" width="65.85546875" style="654" customWidth="1"/>
    <col min="14851" max="14851" width="27" style="654" customWidth="1"/>
    <col min="14852" max="14852" width="15.42578125" style="654" bestFit="1" customWidth="1"/>
    <col min="14853" max="14853" width="19" style="654" bestFit="1" customWidth="1"/>
    <col min="14854" max="15104" width="9.140625" style="654"/>
    <col min="15105" max="15105" width="21.28515625" style="654" customWidth="1"/>
    <col min="15106" max="15106" width="65.85546875" style="654" customWidth="1"/>
    <col min="15107" max="15107" width="27" style="654" customWidth="1"/>
    <col min="15108" max="15108" width="15.42578125" style="654" bestFit="1" customWidth="1"/>
    <col min="15109" max="15109" width="19" style="654" bestFit="1" customWidth="1"/>
    <col min="15110" max="15360" width="9.140625" style="654"/>
    <col min="15361" max="15361" width="21.28515625" style="654" customWidth="1"/>
    <col min="15362" max="15362" width="65.85546875" style="654" customWidth="1"/>
    <col min="15363" max="15363" width="27" style="654" customWidth="1"/>
    <col min="15364" max="15364" width="15.42578125" style="654" bestFit="1" customWidth="1"/>
    <col min="15365" max="15365" width="19" style="654" bestFit="1" customWidth="1"/>
    <col min="15366" max="15616" width="9.140625" style="654"/>
    <col min="15617" max="15617" width="21.28515625" style="654" customWidth="1"/>
    <col min="15618" max="15618" width="65.85546875" style="654" customWidth="1"/>
    <col min="15619" max="15619" width="27" style="654" customWidth="1"/>
    <col min="15620" max="15620" width="15.42578125" style="654" bestFit="1" customWidth="1"/>
    <col min="15621" max="15621" width="19" style="654" bestFit="1" customWidth="1"/>
    <col min="15622" max="15872" width="9.140625" style="654"/>
    <col min="15873" max="15873" width="21.28515625" style="654" customWidth="1"/>
    <col min="15874" max="15874" width="65.85546875" style="654" customWidth="1"/>
    <col min="15875" max="15875" width="27" style="654" customWidth="1"/>
    <col min="15876" max="15876" width="15.42578125" style="654" bestFit="1" customWidth="1"/>
    <col min="15877" max="15877" width="19" style="654" bestFit="1" customWidth="1"/>
    <col min="15878" max="16128" width="9.140625" style="654"/>
    <col min="16129" max="16129" width="21.28515625" style="654" customWidth="1"/>
    <col min="16130" max="16130" width="65.85546875" style="654" customWidth="1"/>
    <col min="16131" max="16131" width="27" style="654" customWidth="1"/>
    <col min="16132" max="16132" width="15.42578125" style="654" bestFit="1" customWidth="1"/>
    <col min="16133" max="16133" width="19" style="654" bestFit="1" customWidth="1"/>
    <col min="16134" max="16384" width="9.140625" style="654"/>
  </cols>
  <sheetData>
    <row r="1" spans="1:5" ht="22.5" customHeight="1" x14ac:dyDescent="0.25">
      <c r="A1" s="758" t="s">
        <v>774</v>
      </c>
      <c r="B1" s="759"/>
      <c r="C1" s="759"/>
    </row>
    <row r="2" spans="1:5" ht="108.75" customHeight="1" x14ac:dyDescent="0.25">
      <c r="A2" s="760" t="s">
        <v>775</v>
      </c>
      <c r="B2" s="761"/>
      <c r="C2" s="761"/>
    </row>
    <row r="3" spans="1:5" ht="18.75" x14ac:dyDescent="0.25">
      <c r="A3" s="762" t="s">
        <v>776</v>
      </c>
      <c r="B3" s="762"/>
      <c r="C3" s="762"/>
      <c r="E3" s="655"/>
    </row>
    <row r="4" spans="1:5" ht="16.5" thickBot="1" x14ac:dyDescent="0.3">
      <c r="A4" s="656"/>
      <c r="B4" s="656"/>
      <c r="C4" s="656"/>
      <c r="E4" s="655"/>
    </row>
    <row r="5" spans="1:5" ht="32.25" thickBot="1" x14ac:dyDescent="0.3">
      <c r="A5" s="657" t="s">
        <v>777</v>
      </c>
      <c r="B5" s="658" t="s">
        <v>778</v>
      </c>
      <c r="C5" s="657" t="s">
        <v>779</v>
      </c>
      <c r="E5" s="654" t="s">
        <v>780</v>
      </c>
    </row>
    <row r="6" spans="1:5" ht="24" customHeight="1" x14ac:dyDescent="0.25">
      <c r="A6" s="659" t="s">
        <v>781</v>
      </c>
      <c r="B6" s="660" t="s">
        <v>782</v>
      </c>
      <c r="C6" s="661"/>
      <c r="D6" s="662"/>
      <c r="E6" s="663"/>
    </row>
    <row r="7" spans="1:5" ht="24" customHeight="1" x14ac:dyDescent="0.25">
      <c r="A7" s="664" t="s">
        <v>651</v>
      </c>
      <c r="B7" s="665" t="s">
        <v>783</v>
      </c>
      <c r="C7" s="666">
        <f>+'BOQ-OFFICE BUILDING (Civil)'!G93</f>
        <v>49621446</v>
      </c>
      <c r="D7" s="667"/>
      <c r="E7" s="663"/>
    </row>
    <row r="8" spans="1:5" ht="24" customHeight="1" x14ac:dyDescent="0.25">
      <c r="A8" s="664" t="s">
        <v>653</v>
      </c>
      <c r="B8" s="665" t="s">
        <v>784</v>
      </c>
      <c r="C8" s="666">
        <f>+'BOQ-STAFF BUILDING (Civil)'!G81</f>
        <v>10922533</v>
      </c>
      <c r="D8" s="667"/>
      <c r="E8" s="663"/>
    </row>
    <row r="9" spans="1:5" ht="24" customHeight="1" x14ac:dyDescent="0.25">
      <c r="A9" s="664" t="s">
        <v>785</v>
      </c>
      <c r="B9" s="665" t="s">
        <v>786</v>
      </c>
      <c r="C9" s="666">
        <f>+'BOQ-AUDOTORIUM(Civil)'!G71</f>
        <v>143694655</v>
      </c>
      <c r="D9" s="667"/>
      <c r="E9" s="663"/>
    </row>
    <row r="10" spans="1:5" ht="24" customHeight="1" thickBot="1" x14ac:dyDescent="0.3">
      <c r="A10" s="664" t="s">
        <v>787</v>
      </c>
      <c r="B10" s="665" t="s">
        <v>788</v>
      </c>
      <c r="C10" s="666">
        <f>+'BOQ-EXT. DEVLOP. (Civil)'!G91</f>
        <v>29203314</v>
      </c>
      <c r="D10" s="667"/>
      <c r="E10" s="663"/>
    </row>
    <row r="11" spans="1:5" ht="24" customHeight="1" thickBot="1" x14ac:dyDescent="0.3">
      <c r="A11" s="668"/>
      <c r="B11" s="669" t="s">
        <v>789</v>
      </c>
      <c r="C11" s="670">
        <f>SUM(C7:C10)</f>
        <v>233441948</v>
      </c>
      <c r="D11" s="667"/>
      <c r="E11" s="663"/>
    </row>
    <row r="12" spans="1:5" ht="24" customHeight="1" x14ac:dyDescent="0.25">
      <c r="A12" s="668" t="s">
        <v>790</v>
      </c>
      <c r="B12" s="671" t="s">
        <v>791</v>
      </c>
      <c r="C12" s="672"/>
      <c r="D12" s="667"/>
      <c r="E12" s="663"/>
    </row>
    <row r="13" spans="1:5" ht="24" customHeight="1" x14ac:dyDescent="0.25">
      <c r="A13" s="664" t="s">
        <v>651</v>
      </c>
      <c r="B13" s="665" t="s">
        <v>783</v>
      </c>
      <c r="C13" s="666">
        <v>0</v>
      </c>
      <c r="D13" s="667"/>
      <c r="E13" s="663"/>
    </row>
    <row r="14" spans="1:5" ht="24" customHeight="1" x14ac:dyDescent="0.25">
      <c r="A14" s="664" t="s">
        <v>653</v>
      </c>
      <c r="B14" s="665" t="s">
        <v>784</v>
      </c>
      <c r="C14" s="666">
        <v>0</v>
      </c>
      <c r="D14" s="667"/>
      <c r="E14" s="663"/>
    </row>
    <row r="15" spans="1:5" ht="24" customHeight="1" x14ac:dyDescent="0.25">
      <c r="A15" s="664" t="s">
        <v>785</v>
      </c>
      <c r="B15" s="665" t="s">
        <v>786</v>
      </c>
      <c r="C15" s="666">
        <v>0</v>
      </c>
      <c r="D15" s="667"/>
      <c r="E15" s="663"/>
    </row>
    <row r="16" spans="1:5" ht="24" customHeight="1" thickBot="1" x14ac:dyDescent="0.3">
      <c r="A16" s="664" t="s">
        <v>787</v>
      </c>
      <c r="B16" s="665" t="s">
        <v>788</v>
      </c>
      <c r="C16" s="666">
        <v>0</v>
      </c>
      <c r="D16" s="667"/>
      <c r="E16" s="663"/>
    </row>
    <row r="17" spans="1:6" ht="24" customHeight="1" thickBot="1" x14ac:dyDescent="0.3">
      <c r="A17" s="668"/>
      <c r="B17" s="669" t="s">
        <v>792</v>
      </c>
      <c r="C17" s="670">
        <f>SUM(C13:C16)</f>
        <v>0</v>
      </c>
      <c r="D17" s="667"/>
      <c r="E17" s="663"/>
    </row>
    <row r="18" spans="1:6" ht="24" customHeight="1" x14ac:dyDescent="0.25">
      <c r="A18" s="668" t="s">
        <v>793</v>
      </c>
      <c r="B18" s="671" t="s">
        <v>794</v>
      </c>
      <c r="C18" s="672"/>
      <c r="D18" s="667"/>
      <c r="E18" s="663"/>
    </row>
    <row r="19" spans="1:6" ht="24" customHeight="1" x14ac:dyDescent="0.25">
      <c r="A19" s="664" t="s">
        <v>651</v>
      </c>
      <c r="B19" s="665" t="s">
        <v>783</v>
      </c>
      <c r="C19" s="666">
        <v>0</v>
      </c>
      <c r="D19" s="667"/>
      <c r="E19" s="663"/>
    </row>
    <row r="20" spans="1:6" ht="24" customHeight="1" x14ac:dyDescent="0.25">
      <c r="A20" s="664" t="s">
        <v>653</v>
      </c>
      <c r="B20" s="665" t="s">
        <v>784</v>
      </c>
      <c r="C20" s="666">
        <v>0</v>
      </c>
      <c r="D20" s="667"/>
      <c r="E20" s="663"/>
    </row>
    <row r="21" spans="1:6" ht="24" customHeight="1" x14ac:dyDescent="0.25">
      <c r="A21" s="664" t="s">
        <v>785</v>
      </c>
      <c r="B21" s="665" t="s">
        <v>786</v>
      </c>
      <c r="C21" s="666">
        <v>0</v>
      </c>
      <c r="D21" s="667"/>
      <c r="E21" s="663"/>
    </row>
    <row r="22" spans="1:6" ht="24" customHeight="1" thickBot="1" x14ac:dyDescent="0.3">
      <c r="A22" s="664" t="s">
        <v>787</v>
      </c>
      <c r="B22" s="665" t="s">
        <v>788</v>
      </c>
      <c r="C22" s="666">
        <v>0</v>
      </c>
      <c r="D22" s="667"/>
      <c r="E22" s="663"/>
    </row>
    <row r="23" spans="1:6" ht="24" customHeight="1" thickBot="1" x14ac:dyDescent="0.3">
      <c r="A23" s="668"/>
      <c r="B23" s="669" t="s">
        <v>795</v>
      </c>
      <c r="C23" s="670">
        <f>SUM(C19:C22)</f>
        <v>0</v>
      </c>
      <c r="D23" s="667"/>
      <c r="E23" s="663"/>
    </row>
    <row r="24" spans="1:6" ht="24" customHeight="1" thickBot="1" x14ac:dyDescent="0.3">
      <c r="A24" s="673"/>
      <c r="B24" s="674"/>
      <c r="C24" s="675"/>
      <c r="D24" s="667"/>
      <c r="E24" s="663"/>
    </row>
    <row r="25" spans="1:6" ht="30" customHeight="1" thickBot="1" x14ac:dyDescent="0.3">
      <c r="A25" s="763" t="s">
        <v>796</v>
      </c>
      <c r="B25" s="764"/>
      <c r="C25" s="676">
        <f>C23+C17+C11</f>
        <v>233441948</v>
      </c>
      <c r="D25" s="677"/>
      <c r="E25" s="677"/>
      <c r="F25" s="677"/>
    </row>
    <row r="26" spans="1:6" x14ac:dyDescent="0.25">
      <c r="A26" s="678"/>
      <c r="B26" s="679"/>
      <c r="C26" s="680"/>
      <c r="D26" s="681"/>
      <c r="E26" s="682"/>
      <c r="F26" s="682"/>
    </row>
    <row r="28" spans="1:6" x14ac:dyDescent="0.25">
      <c r="C28" s="685"/>
    </row>
    <row r="29" spans="1:6" x14ac:dyDescent="0.25">
      <c r="C29" s="685"/>
    </row>
    <row r="30" spans="1:6" x14ac:dyDescent="0.25">
      <c r="C30" s="685"/>
    </row>
    <row r="31" spans="1:6" x14ac:dyDescent="0.25">
      <c r="C31" s="685"/>
    </row>
    <row r="32" spans="1:6" x14ac:dyDescent="0.25">
      <c r="C32" s="685"/>
    </row>
    <row r="33" spans="3:3" x14ac:dyDescent="0.25">
      <c r="C33" s="685"/>
    </row>
    <row r="34" spans="3:3" x14ac:dyDescent="0.25">
      <c r="C34" s="685"/>
    </row>
    <row r="35" spans="3:3" x14ac:dyDescent="0.25">
      <c r="C35" s="685"/>
    </row>
    <row r="36" spans="3:3" x14ac:dyDescent="0.25">
      <c r="C36" s="685"/>
    </row>
    <row r="37" spans="3:3" x14ac:dyDescent="0.25">
      <c r="C37" s="685"/>
    </row>
    <row r="38" spans="3:3" x14ac:dyDescent="0.25">
      <c r="C38" s="685"/>
    </row>
    <row r="39" spans="3:3" x14ac:dyDescent="0.25">
      <c r="C39" s="685"/>
    </row>
    <row r="40" spans="3:3" x14ac:dyDescent="0.25">
      <c r="C40" s="685"/>
    </row>
    <row r="41" spans="3:3" x14ac:dyDescent="0.25">
      <c r="C41" s="685"/>
    </row>
    <row r="42" spans="3:3" x14ac:dyDescent="0.25">
      <c r="C42" s="685"/>
    </row>
    <row r="43" spans="3:3" x14ac:dyDescent="0.25">
      <c r="C43" s="685"/>
    </row>
    <row r="44" spans="3:3" x14ac:dyDescent="0.25">
      <c r="C44" s="685"/>
    </row>
    <row r="45" spans="3:3" x14ac:dyDescent="0.25">
      <c r="C45" s="685"/>
    </row>
    <row r="46" spans="3:3" x14ac:dyDescent="0.25">
      <c r="C46" s="685"/>
    </row>
    <row r="47" spans="3:3" x14ac:dyDescent="0.25">
      <c r="C47" s="685"/>
    </row>
    <row r="48" spans="3:3" x14ac:dyDescent="0.25">
      <c r="C48" s="685"/>
    </row>
    <row r="49" spans="3:3" x14ac:dyDescent="0.25">
      <c r="C49" s="685"/>
    </row>
    <row r="50" spans="3:3" x14ac:dyDescent="0.25">
      <c r="C50" s="685"/>
    </row>
    <row r="51" spans="3:3" x14ac:dyDescent="0.25">
      <c r="C51" s="685"/>
    </row>
    <row r="52" spans="3:3" x14ac:dyDescent="0.25">
      <c r="C52" s="685"/>
    </row>
    <row r="53" spans="3:3" x14ac:dyDescent="0.25">
      <c r="C53" s="685"/>
    </row>
    <row r="54" spans="3:3" x14ac:dyDescent="0.25">
      <c r="C54" s="685"/>
    </row>
    <row r="55" spans="3:3" x14ac:dyDescent="0.25">
      <c r="C55" s="685"/>
    </row>
    <row r="56" spans="3:3" x14ac:dyDescent="0.25">
      <c r="C56" s="685"/>
    </row>
    <row r="57" spans="3:3" x14ac:dyDescent="0.25">
      <c r="C57" s="685"/>
    </row>
    <row r="58" spans="3:3" x14ac:dyDescent="0.25">
      <c r="C58" s="685"/>
    </row>
    <row r="59" spans="3:3" x14ac:dyDescent="0.25">
      <c r="C59" s="685"/>
    </row>
    <row r="60" spans="3:3" x14ac:dyDescent="0.25">
      <c r="C60" s="685"/>
    </row>
    <row r="61" spans="3:3" x14ac:dyDescent="0.25">
      <c r="C61" s="685"/>
    </row>
    <row r="62" spans="3:3" x14ac:dyDescent="0.25">
      <c r="C62" s="685"/>
    </row>
    <row r="63" spans="3:3" x14ac:dyDescent="0.25">
      <c r="C63" s="685"/>
    </row>
    <row r="64" spans="3:3" x14ac:dyDescent="0.25">
      <c r="C64" s="685"/>
    </row>
    <row r="65" spans="3:3" x14ac:dyDescent="0.25">
      <c r="C65" s="685"/>
    </row>
    <row r="66" spans="3:3" x14ac:dyDescent="0.25">
      <c r="C66" s="685"/>
    </row>
    <row r="67" spans="3:3" x14ac:dyDescent="0.25">
      <c r="C67" s="685"/>
    </row>
    <row r="68" spans="3:3" x14ac:dyDescent="0.25">
      <c r="C68" s="685"/>
    </row>
    <row r="69" spans="3:3" x14ac:dyDescent="0.25">
      <c r="C69" s="685"/>
    </row>
    <row r="70" spans="3:3" x14ac:dyDescent="0.25">
      <c r="C70" s="685"/>
    </row>
    <row r="71" spans="3:3" x14ac:dyDescent="0.25">
      <c r="C71" s="685"/>
    </row>
    <row r="72" spans="3:3" x14ac:dyDescent="0.25">
      <c r="C72" s="685"/>
    </row>
    <row r="73" spans="3:3" x14ac:dyDescent="0.25">
      <c r="C73" s="685"/>
    </row>
    <row r="74" spans="3:3" x14ac:dyDescent="0.25">
      <c r="C74" s="685"/>
    </row>
    <row r="75" spans="3:3" x14ac:dyDescent="0.25">
      <c r="C75" s="685"/>
    </row>
    <row r="76" spans="3:3" x14ac:dyDescent="0.25">
      <c r="C76" s="685"/>
    </row>
    <row r="77" spans="3:3" x14ac:dyDescent="0.25">
      <c r="C77" s="685"/>
    </row>
    <row r="78" spans="3:3" x14ac:dyDescent="0.25">
      <c r="C78" s="685"/>
    </row>
    <row r="79" spans="3:3" x14ac:dyDescent="0.25">
      <c r="C79" s="685"/>
    </row>
    <row r="80" spans="3:3" x14ac:dyDescent="0.25">
      <c r="C80" s="685"/>
    </row>
    <row r="81" spans="3:3" x14ac:dyDescent="0.25">
      <c r="C81" s="685"/>
    </row>
    <row r="82" spans="3:3" x14ac:dyDescent="0.25">
      <c r="C82" s="685"/>
    </row>
    <row r="83" spans="3:3" x14ac:dyDescent="0.25">
      <c r="C83" s="685"/>
    </row>
    <row r="84" spans="3:3" x14ac:dyDescent="0.25">
      <c r="C84" s="685"/>
    </row>
    <row r="85" spans="3:3" x14ac:dyDescent="0.25">
      <c r="C85" s="685"/>
    </row>
    <row r="86" spans="3:3" x14ac:dyDescent="0.25">
      <c r="C86" s="685"/>
    </row>
    <row r="87" spans="3:3" x14ac:dyDescent="0.25">
      <c r="C87" s="685"/>
    </row>
    <row r="88" spans="3:3" x14ac:dyDescent="0.25">
      <c r="C88" s="685"/>
    </row>
    <row r="89" spans="3:3" x14ac:dyDescent="0.25">
      <c r="C89" s="685"/>
    </row>
    <row r="90" spans="3:3" x14ac:dyDescent="0.25">
      <c r="C90" s="685"/>
    </row>
    <row r="91" spans="3:3" x14ac:dyDescent="0.25">
      <c r="C91" s="685"/>
    </row>
    <row r="92" spans="3:3" x14ac:dyDescent="0.25">
      <c r="C92" s="685"/>
    </row>
    <row r="93" spans="3:3" x14ac:dyDescent="0.25">
      <c r="C93" s="685"/>
    </row>
    <row r="94" spans="3:3" x14ac:dyDescent="0.25">
      <c r="C94" s="685"/>
    </row>
    <row r="95" spans="3:3" x14ac:dyDescent="0.25">
      <c r="C95" s="685"/>
    </row>
    <row r="96" spans="3:3" x14ac:dyDescent="0.25">
      <c r="C96" s="685"/>
    </row>
    <row r="97" spans="3:3" x14ac:dyDescent="0.25">
      <c r="C97" s="685"/>
    </row>
    <row r="98" spans="3:3" x14ac:dyDescent="0.25">
      <c r="C98" s="685"/>
    </row>
    <row r="99" spans="3:3" x14ac:dyDescent="0.25">
      <c r="C99" s="685"/>
    </row>
    <row r="100" spans="3:3" x14ac:dyDescent="0.25">
      <c r="C100" s="685"/>
    </row>
    <row r="101" spans="3:3" x14ac:dyDescent="0.25">
      <c r="C101" s="685"/>
    </row>
    <row r="102" spans="3:3" x14ac:dyDescent="0.25">
      <c r="C102" s="685"/>
    </row>
    <row r="103" spans="3:3" x14ac:dyDescent="0.25">
      <c r="C103" s="685"/>
    </row>
    <row r="104" spans="3:3" x14ac:dyDescent="0.25">
      <c r="C104" s="685"/>
    </row>
    <row r="105" spans="3:3" x14ac:dyDescent="0.25">
      <c r="C105" s="685"/>
    </row>
    <row r="106" spans="3:3" x14ac:dyDescent="0.25">
      <c r="C106" s="685"/>
    </row>
    <row r="107" spans="3:3" x14ac:dyDescent="0.25">
      <c r="C107" s="685"/>
    </row>
    <row r="108" spans="3:3" x14ac:dyDescent="0.25">
      <c r="C108" s="685"/>
    </row>
    <row r="109" spans="3:3" x14ac:dyDescent="0.25">
      <c r="C109" s="685"/>
    </row>
    <row r="110" spans="3:3" x14ac:dyDescent="0.25">
      <c r="C110" s="685"/>
    </row>
    <row r="111" spans="3:3" x14ac:dyDescent="0.25">
      <c r="C111" s="685"/>
    </row>
    <row r="112" spans="3:3" x14ac:dyDescent="0.25">
      <c r="C112" s="685"/>
    </row>
    <row r="113" spans="3:3" x14ac:dyDescent="0.25">
      <c r="C113" s="685"/>
    </row>
    <row r="114" spans="3:3" x14ac:dyDescent="0.25">
      <c r="C114" s="685"/>
    </row>
    <row r="115" spans="3:3" x14ac:dyDescent="0.25">
      <c r="C115" s="685"/>
    </row>
    <row r="116" spans="3:3" x14ac:dyDescent="0.25">
      <c r="C116" s="685"/>
    </row>
    <row r="117" spans="3:3" x14ac:dyDescent="0.25">
      <c r="C117" s="685"/>
    </row>
    <row r="118" spans="3:3" x14ac:dyDescent="0.25">
      <c r="C118" s="685"/>
    </row>
    <row r="119" spans="3:3" x14ac:dyDescent="0.25">
      <c r="C119" s="685"/>
    </row>
    <row r="120" spans="3:3" x14ac:dyDescent="0.25">
      <c r="C120" s="685"/>
    </row>
    <row r="121" spans="3:3" x14ac:dyDescent="0.25">
      <c r="C121" s="685"/>
    </row>
    <row r="122" spans="3:3" x14ac:dyDescent="0.25">
      <c r="C122" s="685"/>
    </row>
    <row r="123" spans="3:3" x14ac:dyDescent="0.25">
      <c r="C123" s="685"/>
    </row>
    <row r="124" spans="3:3" x14ac:dyDescent="0.25">
      <c r="C124" s="685"/>
    </row>
    <row r="125" spans="3:3" x14ac:dyDescent="0.25">
      <c r="C125" s="685"/>
    </row>
    <row r="126" spans="3:3" x14ac:dyDescent="0.25">
      <c r="C126" s="685"/>
    </row>
    <row r="127" spans="3:3" x14ac:dyDescent="0.25">
      <c r="C127" s="685"/>
    </row>
    <row r="128" spans="3:3" x14ac:dyDescent="0.25">
      <c r="C128" s="685"/>
    </row>
    <row r="129" spans="3:3" x14ac:dyDescent="0.25">
      <c r="C129" s="685"/>
    </row>
    <row r="130" spans="3:3" x14ac:dyDescent="0.25">
      <c r="C130" s="685"/>
    </row>
    <row r="131" spans="3:3" x14ac:dyDescent="0.25">
      <c r="C131" s="685"/>
    </row>
    <row r="132" spans="3:3" x14ac:dyDescent="0.25">
      <c r="C132" s="685"/>
    </row>
    <row r="133" spans="3:3" x14ac:dyDescent="0.25">
      <c r="C133" s="685"/>
    </row>
    <row r="134" spans="3:3" x14ac:dyDescent="0.25">
      <c r="C134" s="685"/>
    </row>
    <row r="135" spans="3:3" x14ac:dyDescent="0.25">
      <c r="C135" s="685"/>
    </row>
    <row r="136" spans="3:3" x14ac:dyDescent="0.25">
      <c r="C136" s="685"/>
    </row>
    <row r="137" spans="3:3" x14ac:dyDescent="0.25">
      <c r="C137" s="685"/>
    </row>
    <row r="138" spans="3:3" x14ac:dyDescent="0.25">
      <c r="C138" s="685"/>
    </row>
    <row r="139" spans="3:3" x14ac:dyDescent="0.25">
      <c r="C139" s="685"/>
    </row>
    <row r="140" spans="3:3" x14ac:dyDescent="0.25">
      <c r="C140" s="685"/>
    </row>
    <row r="141" spans="3:3" x14ac:dyDescent="0.25">
      <c r="C141" s="685"/>
    </row>
    <row r="142" spans="3:3" x14ac:dyDescent="0.25">
      <c r="C142" s="685"/>
    </row>
    <row r="143" spans="3:3" x14ac:dyDescent="0.25">
      <c r="C143" s="685"/>
    </row>
    <row r="144" spans="3:3" x14ac:dyDescent="0.25">
      <c r="C144" s="685"/>
    </row>
    <row r="145" spans="3:3" x14ac:dyDescent="0.25">
      <c r="C145" s="685"/>
    </row>
    <row r="146" spans="3:3" x14ac:dyDescent="0.25">
      <c r="C146" s="685"/>
    </row>
    <row r="147" spans="3:3" x14ac:dyDescent="0.25">
      <c r="C147" s="685"/>
    </row>
    <row r="148" spans="3:3" x14ac:dyDescent="0.25">
      <c r="C148" s="685"/>
    </row>
    <row r="149" spans="3:3" x14ac:dyDescent="0.25">
      <c r="C149" s="685"/>
    </row>
    <row r="150" spans="3:3" x14ac:dyDescent="0.25">
      <c r="C150" s="685"/>
    </row>
    <row r="151" spans="3:3" x14ac:dyDescent="0.25">
      <c r="C151" s="685"/>
    </row>
    <row r="152" spans="3:3" x14ac:dyDescent="0.25">
      <c r="C152" s="685"/>
    </row>
  </sheetData>
  <mergeCells count="4">
    <mergeCell ref="A1:C1"/>
    <mergeCell ref="A2:C2"/>
    <mergeCell ref="A3:C3"/>
    <mergeCell ref="A25:B25"/>
  </mergeCells>
  <printOptions horizontalCentered="1"/>
  <pageMargins left="0.5" right="0" top="0.5" bottom="0.55000000000000004" header="0.17" footer="0"/>
  <pageSetup paperSize="9" scale="84" fitToHeight="0" orientation="portrait" r:id="rId1"/>
  <headerFooter alignWithMargins="0">
    <oddFooter>&amp;R&amp;8______________________________
&amp;A
Page &amp;P of &amp;N</oddFooter>
  </headerFooter>
  <colBreaks count="1" manualBreakCount="1">
    <brk id="4"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K89"/>
  <sheetViews>
    <sheetView view="pageBreakPreview" topLeftCell="A4" zoomScaleSheetLayoutView="100" workbookViewId="0">
      <selection activeCell="I6" sqref="I6"/>
    </sheetView>
  </sheetViews>
  <sheetFormatPr defaultColWidth="23.5703125" defaultRowHeight="15" x14ac:dyDescent="0.25"/>
  <cols>
    <col min="1" max="1" width="5.7109375" style="8" customWidth="1"/>
    <col min="2" max="2" width="52.7109375" style="7" customWidth="1"/>
    <col min="3" max="6" width="10.7109375" style="3" customWidth="1"/>
    <col min="7" max="7" width="13.7109375" style="56" customWidth="1"/>
    <col min="8" max="8" width="13.7109375" style="70" customWidth="1"/>
    <col min="9" max="9" width="7.7109375" style="22" customWidth="1"/>
    <col min="10" max="16384" width="23.5703125" style="5"/>
  </cols>
  <sheetData>
    <row r="1" spans="1:11" s="1" customFormat="1" ht="24.95" customHeight="1" x14ac:dyDescent="0.25">
      <c r="A1" s="778" t="s">
        <v>27</v>
      </c>
      <c r="B1" s="778"/>
      <c r="C1" s="778"/>
      <c r="D1" s="778"/>
      <c r="E1" s="778"/>
      <c r="F1" s="778"/>
      <c r="G1" s="778"/>
      <c r="H1" s="778"/>
      <c r="I1" s="778"/>
    </row>
    <row r="2" spans="1:11" s="1" customFormat="1" ht="15" customHeight="1" x14ac:dyDescent="0.25">
      <c r="A2" s="12"/>
      <c r="B2" s="2"/>
      <c r="C2" s="2"/>
      <c r="D2" s="2"/>
      <c r="E2" s="2"/>
      <c r="F2" s="2"/>
      <c r="G2" s="47"/>
      <c r="H2" s="62"/>
      <c r="I2" s="2"/>
    </row>
    <row r="3" spans="1:11" s="3" customFormat="1" ht="30" x14ac:dyDescent="0.25">
      <c r="A3" s="74" t="s">
        <v>28</v>
      </c>
      <c r="B3" s="75" t="s">
        <v>0</v>
      </c>
      <c r="C3" s="75" t="s">
        <v>13</v>
      </c>
      <c r="D3" s="75" t="s">
        <v>14</v>
      </c>
      <c r="E3" s="75" t="s">
        <v>15</v>
      </c>
      <c r="F3" s="75" t="s">
        <v>16</v>
      </c>
      <c r="G3" s="75" t="s">
        <v>1</v>
      </c>
      <c r="H3" s="68" t="s">
        <v>30</v>
      </c>
      <c r="I3" s="75" t="s">
        <v>2</v>
      </c>
    </row>
    <row r="4" spans="1:11" s="3" customFormat="1" ht="18.75" customHeight="1" x14ac:dyDescent="0.25">
      <c r="A4" s="19" t="s">
        <v>3</v>
      </c>
      <c r="B4" s="20" t="s">
        <v>46</v>
      </c>
      <c r="C4" s="27"/>
      <c r="D4" s="27"/>
      <c r="E4" s="27"/>
      <c r="F4" s="27"/>
      <c r="G4" s="48"/>
      <c r="H4" s="69"/>
      <c r="I4" s="21"/>
    </row>
    <row r="5" spans="1:11" ht="156.75" x14ac:dyDescent="0.25">
      <c r="A5" s="65">
        <v>1</v>
      </c>
      <c r="B5" s="66" t="s">
        <v>20</v>
      </c>
      <c r="C5" s="28"/>
      <c r="D5" s="29"/>
      <c r="E5" s="29"/>
      <c r="F5" s="29"/>
      <c r="G5" s="49"/>
      <c r="H5" s="63"/>
      <c r="I5" s="23"/>
    </row>
    <row r="6" spans="1:11" x14ac:dyDescent="0.25">
      <c r="A6" s="14" t="s">
        <v>4</v>
      </c>
      <c r="B6" s="9" t="s">
        <v>211</v>
      </c>
      <c r="C6" s="30"/>
      <c r="D6" s="31"/>
      <c r="E6" s="31"/>
      <c r="F6" s="31"/>
      <c r="G6" s="50"/>
      <c r="H6" s="25"/>
      <c r="I6" s="24"/>
    </row>
    <row r="7" spans="1:11" x14ac:dyDescent="0.25">
      <c r="A7" s="13"/>
      <c r="B7" s="4"/>
      <c r="C7" s="32">
        <v>1</v>
      </c>
      <c r="D7" s="76">
        <f>30+5</f>
        <v>35</v>
      </c>
      <c r="E7" s="76">
        <f>21.33+5</f>
        <v>26.33</v>
      </c>
      <c r="F7" s="76">
        <f>13.75+0.5+1.5+0.67+1.5+0.5+0.5</f>
        <v>18.920000000000002</v>
      </c>
      <c r="G7" s="51">
        <f>PRODUCT(C7:F7)</f>
        <v>17435.726000000002</v>
      </c>
      <c r="H7" s="64"/>
      <c r="I7" s="24"/>
      <c r="J7" s="11"/>
      <c r="K7" s="11"/>
    </row>
    <row r="8" spans="1:11" x14ac:dyDescent="0.25">
      <c r="A8" s="14" t="s">
        <v>48</v>
      </c>
      <c r="B8" s="9" t="s">
        <v>212</v>
      </c>
      <c r="C8" s="30"/>
      <c r="D8" s="31"/>
      <c r="E8" s="31"/>
      <c r="F8" s="31"/>
      <c r="G8" s="50"/>
      <c r="H8" s="25"/>
      <c r="I8" s="24"/>
    </row>
    <row r="9" spans="1:11" x14ac:dyDescent="0.25">
      <c r="A9" s="13"/>
      <c r="B9" s="4"/>
      <c r="C9" s="32"/>
      <c r="D9" s="76"/>
      <c r="E9" s="76"/>
      <c r="F9" s="76"/>
      <c r="G9" s="51"/>
      <c r="H9" s="64"/>
      <c r="I9" s="24"/>
      <c r="J9" s="11"/>
      <c r="K9" s="11"/>
    </row>
    <row r="10" spans="1:11" x14ac:dyDescent="0.25">
      <c r="A10" s="13"/>
      <c r="B10" s="4"/>
      <c r="C10" s="32">
        <v>1</v>
      </c>
      <c r="D10" s="76">
        <v>78.540000000000006</v>
      </c>
      <c r="E10" s="76" t="s">
        <v>213</v>
      </c>
      <c r="F10" s="76">
        <v>10</v>
      </c>
      <c r="G10" s="51">
        <f>PRODUCT(C10:F10)</f>
        <v>785.40000000000009</v>
      </c>
      <c r="H10" s="64"/>
      <c r="I10" s="24"/>
      <c r="J10" s="11"/>
      <c r="K10" s="11"/>
    </row>
    <row r="11" spans="1:11" x14ac:dyDescent="0.25">
      <c r="A11" s="13"/>
      <c r="B11" s="4"/>
      <c r="C11" s="138"/>
      <c r="D11" s="139"/>
      <c r="E11" s="139"/>
      <c r="F11" s="139"/>
      <c r="G11" s="78"/>
      <c r="H11" s="25"/>
      <c r="I11" s="24"/>
    </row>
    <row r="12" spans="1:11" ht="15" customHeight="1" x14ac:dyDescent="0.25">
      <c r="A12" s="13"/>
      <c r="B12" s="10"/>
      <c r="C12" s="779" t="s">
        <v>29</v>
      </c>
      <c r="D12" s="779"/>
      <c r="E12" s="779"/>
      <c r="F12" s="779"/>
      <c r="G12" s="53">
        <f>SUM(G7:G11)</f>
        <v>18221.126000000004</v>
      </c>
      <c r="H12" s="67">
        <f>ROUND(G12*1.001,0)</f>
        <v>18239</v>
      </c>
      <c r="I12" s="26" t="s">
        <v>11</v>
      </c>
    </row>
    <row r="13" spans="1:11" ht="128.25" x14ac:dyDescent="0.25">
      <c r="A13" s="57">
        <v>2</v>
      </c>
      <c r="B13" s="59" t="s">
        <v>53</v>
      </c>
      <c r="C13" s="36"/>
      <c r="D13" s="37"/>
      <c r="E13" s="37"/>
      <c r="F13" s="37"/>
      <c r="G13" s="52"/>
      <c r="H13" s="25"/>
      <c r="I13" s="24"/>
    </row>
    <row r="14" spans="1:11" x14ac:dyDescent="0.25">
      <c r="A14" s="14"/>
      <c r="B14" s="9"/>
      <c r="C14" s="32">
        <v>1</v>
      </c>
      <c r="D14" s="76">
        <f>+D7</f>
        <v>35</v>
      </c>
      <c r="E14" s="76">
        <f>+E7</f>
        <v>26.33</v>
      </c>
      <c r="F14" s="76">
        <f>+F7</f>
        <v>18.920000000000002</v>
      </c>
      <c r="G14" s="51">
        <f>PRODUCT(C14:F14)</f>
        <v>17435.726000000002</v>
      </c>
      <c r="H14" s="64"/>
      <c r="I14" s="24"/>
    </row>
    <row r="15" spans="1:11" x14ac:dyDescent="0.25">
      <c r="A15" s="14"/>
      <c r="B15" s="9" t="s">
        <v>214</v>
      </c>
      <c r="C15" s="32">
        <v>-1</v>
      </c>
      <c r="D15" s="76">
        <v>32</v>
      </c>
      <c r="E15" s="76">
        <v>21.33</v>
      </c>
      <c r="F15" s="76">
        <f>+F14</f>
        <v>18.920000000000002</v>
      </c>
      <c r="G15" s="51">
        <f>PRODUCT(C15:F15)</f>
        <v>-12914.0352</v>
      </c>
      <c r="H15" s="64"/>
      <c r="I15" s="24"/>
    </row>
    <row r="16" spans="1:11" ht="15" customHeight="1" x14ac:dyDescent="0.25">
      <c r="A16" s="13"/>
      <c r="B16" s="10"/>
      <c r="C16" s="779" t="s">
        <v>29</v>
      </c>
      <c r="D16" s="779"/>
      <c r="E16" s="779"/>
      <c r="F16" s="779"/>
      <c r="G16" s="53">
        <f>SUM(G14:G15)</f>
        <v>4521.6908000000021</v>
      </c>
      <c r="H16" s="67">
        <f>ROUND(G16*1.001,0)</f>
        <v>4526</v>
      </c>
      <c r="I16" s="26" t="s">
        <v>11</v>
      </c>
    </row>
    <row r="17" spans="1:11" ht="42.75" x14ac:dyDescent="0.25">
      <c r="A17" s="57">
        <v>3</v>
      </c>
      <c r="B17" s="58" t="s">
        <v>25</v>
      </c>
      <c r="C17" s="38"/>
      <c r="D17" s="39"/>
      <c r="E17" s="39"/>
      <c r="F17" s="39"/>
      <c r="G17" s="54"/>
      <c r="H17" s="25"/>
      <c r="I17" s="24"/>
    </row>
    <row r="18" spans="1:11" x14ac:dyDescent="0.25">
      <c r="A18" s="14"/>
      <c r="B18" s="9" t="s">
        <v>211</v>
      </c>
      <c r="C18" s="30"/>
      <c r="D18" s="31"/>
      <c r="E18" s="31"/>
      <c r="F18" s="31"/>
      <c r="G18" s="50"/>
      <c r="H18" s="25"/>
      <c r="I18" s="24"/>
    </row>
    <row r="19" spans="1:11" x14ac:dyDescent="0.25">
      <c r="A19" s="14"/>
      <c r="B19" s="9"/>
      <c r="C19" s="32">
        <v>1</v>
      </c>
      <c r="D19" s="76">
        <f>+D7</f>
        <v>35</v>
      </c>
      <c r="E19" s="76">
        <f>+E7</f>
        <v>26.33</v>
      </c>
      <c r="F19" s="76">
        <v>0.5</v>
      </c>
      <c r="G19" s="51">
        <f>PRODUCT(C19:F19)</f>
        <v>460.77499999999998</v>
      </c>
      <c r="H19" s="64"/>
      <c r="I19" s="24"/>
    </row>
    <row r="20" spans="1:11" x14ac:dyDescent="0.25">
      <c r="A20" s="14"/>
      <c r="B20" s="9" t="s">
        <v>215</v>
      </c>
      <c r="C20" s="30"/>
      <c r="D20" s="31"/>
      <c r="E20" s="31"/>
      <c r="F20" s="31"/>
      <c r="G20" s="50"/>
      <c r="H20" s="25"/>
      <c r="I20" s="24"/>
    </row>
    <row r="21" spans="1:11" x14ac:dyDescent="0.25">
      <c r="A21" s="13"/>
      <c r="B21" s="4"/>
      <c r="C21" s="32"/>
      <c r="D21" s="76"/>
      <c r="E21" s="76"/>
      <c r="F21" s="76"/>
      <c r="G21" s="51"/>
      <c r="H21" s="64"/>
      <c r="I21" s="24"/>
      <c r="J21" s="11"/>
      <c r="K21" s="11"/>
    </row>
    <row r="22" spans="1:11" x14ac:dyDescent="0.25">
      <c r="A22" s="13"/>
      <c r="B22" s="4"/>
      <c r="C22" s="32">
        <f>+C10</f>
        <v>1</v>
      </c>
      <c r="D22" s="76">
        <f>+D10</f>
        <v>78.540000000000006</v>
      </c>
      <c r="E22" s="76" t="str">
        <f>+E10</f>
        <v xml:space="preserve">Area </v>
      </c>
      <c r="F22" s="76">
        <v>8</v>
      </c>
      <c r="G22" s="51">
        <f>PRODUCT(C22:F22)</f>
        <v>628.32000000000005</v>
      </c>
      <c r="H22" s="64"/>
      <c r="I22" s="24"/>
      <c r="J22" s="11"/>
      <c r="K22" s="11"/>
    </row>
    <row r="23" spans="1:11" ht="15" customHeight="1" x14ac:dyDescent="0.25">
      <c r="A23" s="13"/>
      <c r="B23" s="10"/>
      <c r="C23" s="779" t="s">
        <v>29</v>
      </c>
      <c r="D23" s="779"/>
      <c r="E23" s="779"/>
      <c r="F23" s="779"/>
      <c r="G23" s="53">
        <f>SUM(G19:G22)</f>
        <v>1089.095</v>
      </c>
      <c r="H23" s="67">
        <f>ROUND(G23*1.001,0)</f>
        <v>1090</v>
      </c>
      <c r="I23" s="26" t="s">
        <v>11</v>
      </c>
    </row>
    <row r="24" spans="1:11" ht="71.25" x14ac:dyDescent="0.25">
      <c r="A24" s="57">
        <v>4</v>
      </c>
      <c r="B24" s="58" t="s">
        <v>6</v>
      </c>
      <c r="C24" s="38"/>
      <c r="D24" s="39"/>
      <c r="E24" s="39"/>
      <c r="F24" s="39"/>
      <c r="G24" s="54"/>
      <c r="H24" s="25"/>
      <c r="I24" s="24"/>
    </row>
    <row r="25" spans="1:11" x14ac:dyDescent="0.25">
      <c r="A25" s="14" t="s">
        <v>4</v>
      </c>
      <c r="B25" s="9" t="s">
        <v>216</v>
      </c>
      <c r="C25" s="34"/>
      <c r="D25" s="35"/>
      <c r="E25" s="35"/>
      <c r="F25" s="35"/>
      <c r="G25" s="52"/>
      <c r="H25" s="25"/>
      <c r="I25" s="24"/>
    </row>
    <row r="26" spans="1:11" x14ac:dyDescent="0.25">
      <c r="A26" s="13"/>
      <c r="B26" s="4"/>
      <c r="C26" s="32">
        <v>1</v>
      </c>
      <c r="D26" s="76">
        <f>+D7</f>
        <v>35</v>
      </c>
      <c r="E26" s="76">
        <f>+E7</f>
        <v>26.33</v>
      </c>
      <c r="F26" s="76">
        <v>0.5</v>
      </c>
      <c r="G26" s="140">
        <f>PRODUCT(C26:F26)</f>
        <v>460.77499999999998</v>
      </c>
      <c r="H26" s="64"/>
      <c r="I26" s="24"/>
    </row>
    <row r="27" spans="1:11" ht="15" customHeight="1" x14ac:dyDescent="0.25">
      <c r="A27" s="13"/>
      <c r="B27" s="10"/>
      <c r="C27" s="779" t="s">
        <v>29</v>
      </c>
      <c r="D27" s="779"/>
      <c r="E27" s="779"/>
      <c r="F27" s="779"/>
      <c r="G27" s="53">
        <f>SUM(G26:G26)</f>
        <v>460.77499999999998</v>
      </c>
      <c r="H27" s="67">
        <f>ROUND(G27*1.001,0)</f>
        <v>461</v>
      </c>
      <c r="I27" s="26" t="s">
        <v>11</v>
      </c>
    </row>
    <row r="28" spans="1:11" x14ac:dyDescent="0.25">
      <c r="A28" s="57">
        <v>4</v>
      </c>
      <c r="B28" s="146" t="s">
        <v>217</v>
      </c>
      <c r="C28" s="38"/>
      <c r="D28" s="39"/>
      <c r="E28" s="39"/>
      <c r="F28" s="39"/>
      <c r="G28" s="54"/>
      <c r="H28" s="25"/>
      <c r="I28" s="24"/>
    </row>
    <row r="29" spans="1:11" x14ac:dyDescent="0.25">
      <c r="A29" s="14" t="s">
        <v>4</v>
      </c>
      <c r="B29" s="9" t="s">
        <v>218</v>
      </c>
      <c r="C29" s="34"/>
      <c r="D29" s="35"/>
      <c r="E29" s="35"/>
      <c r="F29" s="35"/>
      <c r="G29" s="52"/>
      <c r="H29" s="25"/>
      <c r="I29" s="24"/>
    </row>
    <row r="30" spans="1:11" x14ac:dyDescent="0.25">
      <c r="A30" s="13"/>
      <c r="B30" s="4"/>
      <c r="C30" s="32">
        <v>1</v>
      </c>
      <c r="D30" s="76">
        <v>32</v>
      </c>
      <c r="E30" s="76">
        <v>1</v>
      </c>
      <c r="F30" s="76">
        <v>1</v>
      </c>
      <c r="G30" s="140">
        <f>PRODUCT(C30:F30)</f>
        <v>32</v>
      </c>
      <c r="H30" s="64"/>
      <c r="I30" s="24"/>
    </row>
    <row r="31" spans="1:11" ht="15" customHeight="1" x14ac:dyDescent="0.25">
      <c r="A31" s="13"/>
      <c r="B31" s="10"/>
      <c r="C31" s="779" t="s">
        <v>29</v>
      </c>
      <c r="D31" s="779"/>
      <c r="E31" s="779"/>
      <c r="F31" s="779"/>
      <c r="G31" s="53">
        <f>SUM(G30:G30)</f>
        <v>32</v>
      </c>
      <c r="H31" s="67">
        <f>ROUND(G31*1.001,0)</f>
        <v>32</v>
      </c>
      <c r="I31" s="26" t="s">
        <v>11</v>
      </c>
    </row>
    <row r="32" spans="1:11" x14ac:dyDescent="0.25">
      <c r="A32" s="57">
        <v>5</v>
      </c>
      <c r="B32" s="58" t="s">
        <v>206</v>
      </c>
      <c r="C32" s="38"/>
      <c r="D32" s="39"/>
      <c r="E32" s="39"/>
      <c r="F32" s="39"/>
      <c r="G32" s="54"/>
      <c r="H32" s="25"/>
      <c r="I32" s="24"/>
    </row>
    <row r="33" spans="1:11" x14ac:dyDescent="0.25">
      <c r="A33" s="14" t="s">
        <v>4</v>
      </c>
      <c r="B33" s="9" t="s">
        <v>216</v>
      </c>
      <c r="C33" s="34"/>
      <c r="D33" s="35"/>
      <c r="E33" s="35"/>
      <c r="F33" s="35"/>
      <c r="G33" s="52"/>
      <c r="H33" s="25"/>
      <c r="I33" s="24"/>
    </row>
    <row r="34" spans="1:11" x14ac:dyDescent="0.25">
      <c r="A34" s="13"/>
      <c r="B34" s="4"/>
      <c r="C34" s="32">
        <f>+C26</f>
        <v>1</v>
      </c>
      <c r="D34" s="76">
        <f>+D26</f>
        <v>35</v>
      </c>
      <c r="E34" s="76">
        <f>+E26</f>
        <v>26.33</v>
      </c>
      <c r="F34" s="76"/>
      <c r="G34" s="140">
        <f>PRODUCT(C34:F34)</f>
        <v>921.55</v>
      </c>
      <c r="H34" s="64"/>
      <c r="I34" s="24"/>
    </row>
    <row r="35" spans="1:11" ht="15" customHeight="1" x14ac:dyDescent="0.25">
      <c r="A35" s="13"/>
      <c r="B35" s="10"/>
      <c r="C35" s="779" t="s">
        <v>29</v>
      </c>
      <c r="D35" s="779"/>
      <c r="E35" s="779"/>
      <c r="F35" s="779"/>
      <c r="G35" s="53">
        <f>SUM(G34:G34)</f>
        <v>921.55</v>
      </c>
      <c r="H35" s="67">
        <f>ROUND(G35*1.001,0)</f>
        <v>922</v>
      </c>
      <c r="I35" s="26" t="s">
        <v>10</v>
      </c>
    </row>
    <row r="36" spans="1:11" ht="171" x14ac:dyDescent="0.25">
      <c r="A36" s="57">
        <v>7</v>
      </c>
      <c r="B36" s="58" t="s">
        <v>7</v>
      </c>
      <c r="C36" s="38"/>
      <c r="D36" s="39"/>
      <c r="E36" s="39"/>
      <c r="F36" s="39"/>
      <c r="G36" s="54"/>
      <c r="H36" s="25"/>
      <c r="I36" s="24"/>
    </row>
    <row r="37" spans="1:11" x14ac:dyDescent="0.25">
      <c r="A37" s="15" t="s">
        <v>4</v>
      </c>
      <c r="B37" s="141" t="s">
        <v>219</v>
      </c>
      <c r="C37" s="142"/>
      <c r="D37" s="143"/>
      <c r="E37" s="143"/>
      <c r="F37" s="143"/>
      <c r="G37" s="50"/>
      <c r="H37" s="25"/>
      <c r="I37" s="24"/>
    </row>
    <row r="38" spans="1:11" x14ac:dyDescent="0.25">
      <c r="A38" s="13"/>
      <c r="B38" s="4"/>
      <c r="C38" s="32">
        <v>1</v>
      </c>
      <c r="D38" s="76">
        <v>31.33</v>
      </c>
      <c r="E38" s="76">
        <v>21.33</v>
      </c>
      <c r="F38" s="76">
        <v>1.5</v>
      </c>
      <c r="G38" s="51">
        <f>PRODUCT(C38:F38)</f>
        <v>1002.4033499999998</v>
      </c>
      <c r="H38" s="64"/>
      <c r="I38" s="24"/>
      <c r="J38" s="11"/>
      <c r="K38" s="11"/>
    </row>
    <row r="39" spans="1:11" x14ac:dyDescent="0.25">
      <c r="A39" s="13"/>
      <c r="B39" s="4" t="s">
        <v>151</v>
      </c>
      <c r="C39" s="32">
        <v>1</v>
      </c>
      <c r="D39" s="76">
        <f>19.33+19.33+9.25+9.25</f>
        <v>57.16</v>
      </c>
      <c r="E39" s="783">
        <v>1</v>
      </c>
      <c r="F39" s="784"/>
      <c r="G39" s="51">
        <f>PRODUCT(C39:F39)</f>
        <v>57.16</v>
      </c>
      <c r="H39" s="64"/>
      <c r="I39" s="24"/>
      <c r="J39" s="11">
        <f>+J38/2</f>
        <v>0</v>
      </c>
      <c r="K39" s="11"/>
    </row>
    <row r="40" spans="1:11" x14ac:dyDescent="0.25">
      <c r="A40" s="13"/>
      <c r="B40" s="4" t="s">
        <v>151</v>
      </c>
      <c r="C40" s="32">
        <v>1</v>
      </c>
      <c r="D40" s="76">
        <f>19.33+19.33+9.58+9.58</f>
        <v>57.819999999999993</v>
      </c>
      <c r="E40" s="783">
        <v>1</v>
      </c>
      <c r="F40" s="784"/>
      <c r="G40" s="51">
        <f>PRODUCT(C40:F40)</f>
        <v>57.819999999999993</v>
      </c>
      <c r="H40" s="64"/>
      <c r="I40" s="24"/>
      <c r="J40" s="11">
        <f>+J39/2</f>
        <v>0</v>
      </c>
      <c r="K40" s="11"/>
    </row>
    <row r="41" spans="1:11" x14ac:dyDescent="0.25">
      <c r="A41" s="13"/>
      <c r="B41" s="4" t="s">
        <v>151</v>
      </c>
      <c r="C41" s="32">
        <v>1</v>
      </c>
      <c r="D41" s="76">
        <f>19.33+19.33+9.25+9.25</f>
        <v>57.16</v>
      </c>
      <c r="E41" s="783">
        <v>1</v>
      </c>
      <c r="F41" s="784"/>
      <c r="G41" s="51">
        <f>PRODUCT(C41:F41)</f>
        <v>57.16</v>
      </c>
      <c r="H41" s="64"/>
      <c r="I41" s="24"/>
      <c r="J41" s="11">
        <f>+J40/2</f>
        <v>0</v>
      </c>
      <c r="K41" s="11"/>
    </row>
    <row r="42" spans="1:11" x14ac:dyDescent="0.25">
      <c r="A42" s="15"/>
      <c r="B42" s="141" t="s">
        <v>220</v>
      </c>
      <c r="C42" s="142"/>
      <c r="D42" s="143"/>
      <c r="E42" s="143"/>
      <c r="F42" s="143"/>
      <c r="G42" s="50"/>
      <c r="H42" s="25"/>
      <c r="I42" s="24"/>
    </row>
    <row r="43" spans="1:11" x14ac:dyDescent="0.25">
      <c r="A43" s="13"/>
      <c r="B43" s="4"/>
      <c r="C43" s="32">
        <v>1</v>
      </c>
      <c r="D43" s="76">
        <v>32</v>
      </c>
      <c r="E43" s="76">
        <v>0.67</v>
      </c>
      <c r="F43" s="76">
        <v>0.67</v>
      </c>
      <c r="G43" s="51">
        <f>PRODUCT(C43:F43)</f>
        <v>14.364800000000002</v>
      </c>
      <c r="H43" s="64"/>
      <c r="I43" s="24"/>
      <c r="J43" s="11"/>
      <c r="K43" s="11"/>
    </row>
    <row r="44" spans="1:11" x14ac:dyDescent="0.25">
      <c r="A44" s="15" t="s">
        <v>48</v>
      </c>
      <c r="B44" s="141" t="s">
        <v>221</v>
      </c>
      <c r="C44" s="142"/>
      <c r="D44" s="143"/>
      <c r="E44" s="143"/>
      <c r="F44" s="143"/>
      <c r="G44" s="50"/>
      <c r="H44" s="25"/>
      <c r="I44" s="24"/>
    </row>
    <row r="45" spans="1:11" x14ac:dyDescent="0.25">
      <c r="A45" s="13"/>
      <c r="B45" s="4"/>
      <c r="C45" s="32">
        <v>2</v>
      </c>
      <c r="D45" s="76">
        <f>+D38</f>
        <v>31.33</v>
      </c>
      <c r="E45" s="76">
        <v>1</v>
      </c>
      <c r="F45" s="76">
        <f>13.75+0.5+1.5</f>
        <v>15.75</v>
      </c>
      <c r="G45" s="51">
        <f>PRODUCT(C45:F45)</f>
        <v>986.89499999999998</v>
      </c>
      <c r="H45" s="64"/>
      <c r="I45" s="24"/>
      <c r="J45" s="11"/>
      <c r="K45" s="11"/>
    </row>
    <row r="46" spans="1:11" x14ac:dyDescent="0.25">
      <c r="A46" s="13"/>
      <c r="B46" s="4"/>
      <c r="C46" s="32">
        <v>2</v>
      </c>
      <c r="D46" s="76">
        <v>19.329999999999998</v>
      </c>
      <c r="E46" s="76">
        <v>1</v>
      </c>
      <c r="F46" s="76">
        <f>13.75+0.5+1.5</f>
        <v>15.75</v>
      </c>
      <c r="G46" s="51">
        <f>PRODUCT(C46:F46)</f>
        <v>608.89499999999998</v>
      </c>
      <c r="H46" s="64"/>
      <c r="I46" s="24"/>
      <c r="J46" s="11"/>
      <c r="K46" s="11"/>
    </row>
    <row r="47" spans="1:11" x14ac:dyDescent="0.25">
      <c r="A47" s="15"/>
      <c r="B47" s="141" t="s">
        <v>222</v>
      </c>
      <c r="C47" s="142"/>
      <c r="D47" s="143"/>
      <c r="E47" s="143"/>
      <c r="F47" s="143"/>
      <c r="G47" s="50"/>
      <c r="H47" s="25"/>
      <c r="I47" s="24"/>
    </row>
    <row r="48" spans="1:11" x14ac:dyDescent="0.25">
      <c r="A48" s="13"/>
      <c r="B48" s="4"/>
      <c r="C48" s="32">
        <v>2</v>
      </c>
      <c r="D48" s="76">
        <v>19.329999999999998</v>
      </c>
      <c r="E48" s="76">
        <v>0.67</v>
      </c>
      <c r="F48" s="76">
        <f>13.75+0.5+1.5</f>
        <v>15.75</v>
      </c>
      <c r="G48" s="51">
        <f>PRODUCT(C48:F48)</f>
        <v>407.95965000000001</v>
      </c>
      <c r="H48" s="64"/>
      <c r="I48" s="24"/>
      <c r="J48" s="11"/>
      <c r="K48" s="11"/>
    </row>
    <row r="49" spans="1:11" x14ac:dyDescent="0.25">
      <c r="A49" s="15" t="s">
        <v>51</v>
      </c>
      <c r="B49" s="141" t="s">
        <v>223</v>
      </c>
      <c r="C49" s="142"/>
      <c r="D49" s="143"/>
      <c r="E49" s="143"/>
      <c r="F49" s="143"/>
      <c r="G49" s="50"/>
      <c r="H49" s="25"/>
      <c r="I49" s="24"/>
    </row>
    <row r="50" spans="1:11" x14ac:dyDescent="0.25">
      <c r="A50" s="13"/>
      <c r="B50" s="4"/>
      <c r="C50" s="32">
        <v>1</v>
      </c>
      <c r="D50" s="76">
        <v>31.33</v>
      </c>
      <c r="E50" s="76">
        <v>21.33</v>
      </c>
      <c r="F50" s="76">
        <v>0.5</v>
      </c>
      <c r="G50" s="51">
        <f>PRODUCT(C50:F50)</f>
        <v>334.13444999999996</v>
      </c>
      <c r="H50" s="64"/>
      <c r="I50" s="24"/>
      <c r="J50" s="11"/>
      <c r="K50" s="11"/>
    </row>
    <row r="51" spans="1:11" x14ac:dyDescent="0.25">
      <c r="A51" s="13"/>
      <c r="B51" s="4" t="s">
        <v>224</v>
      </c>
      <c r="C51" s="32">
        <v>4</v>
      </c>
      <c r="D51" s="76">
        <f>2.5+2.5+2.5+2.5-0.67-0.67</f>
        <v>8.66</v>
      </c>
      <c r="E51" s="76">
        <v>0.33</v>
      </c>
      <c r="F51" s="76">
        <v>1.25</v>
      </c>
      <c r="G51" s="51">
        <f>PRODUCT(C51:F51)</f>
        <v>14.289000000000001</v>
      </c>
      <c r="H51" s="64"/>
      <c r="I51" s="24"/>
      <c r="J51" s="11"/>
      <c r="K51" s="11"/>
    </row>
    <row r="52" spans="1:11" x14ac:dyDescent="0.25">
      <c r="A52" s="13"/>
      <c r="B52" s="4" t="s">
        <v>154</v>
      </c>
      <c r="C52" s="32">
        <v>-2</v>
      </c>
      <c r="D52" s="76">
        <v>2</v>
      </c>
      <c r="E52" s="76">
        <v>2</v>
      </c>
      <c r="F52" s="76">
        <v>0.5</v>
      </c>
      <c r="G52" s="51">
        <f>PRODUCT(C52:F52)</f>
        <v>-4</v>
      </c>
      <c r="H52" s="64"/>
      <c r="I52" s="24"/>
      <c r="J52" s="11"/>
      <c r="K52" s="11"/>
    </row>
    <row r="53" spans="1:11" x14ac:dyDescent="0.25">
      <c r="A53" s="15"/>
      <c r="B53" s="141" t="s">
        <v>225</v>
      </c>
      <c r="C53" s="142"/>
      <c r="D53" s="143"/>
      <c r="E53" s="143"/>
      <c r="F53" s="143"/>
      <c r="G53" s="50"/>
      <c r="H53" s="25"/>
      <c r="I53" s="24"/>
    </row>
    <row r="54" spans="1:11" x14ac:dyDescent="0.25">
      <c r="A54" s="13"/>
      <c r="B54" s="4"/>
      <c r="C54" s="32">
        <v>1</v>
      </c>
      <c r="D54" s="76">
        <f>+D10</f>
        <v>78.540000000000006</v>
      </c>
      <c r="E54" s="76" t="s">
        <v>213</v>
      </c>
      <c r="F54" s="76">
        <v>0.33</v>
      </c>
      <c r="G54" s="51">
        <f>PRODUCT(C54:F54)</f>
        <v>25.918200000000002</v>
      </c>
      <c r="H54" s="64"/>
      <c r="I54" s="24"/>
      <c r="J54" s="11"/>
      <c r="K54" s="11"/>
    </row>
    <row r="55" spans="1:11" x14ac:dyDescent="0.25">
      <c r="A55" s="13"/>
      <c r="B55" s="4" t="s">
        <v>154</v>
      </c>
      <c r="C55" s="32">
        <v>-1</v>
      </c>
      <c r="D55" s="76">
        <v>2</v>
      </c>
      <c r="E55" s="76">
        <v>2</v>
      </c>
      <c r="F55" s="76">
        <v>0.33</v>
      </c>
      <c r="G55" s="51">
        <f>PRODUCT(C55:F55)</f>
        <v>-1.32</v>
      </c>
      <c r="H55" s="64"/>
      <c r="I55" s="24"/>
      <c r="J55" s="11"/>
      <c r="K55" s="11"/>
    </row>
    <row r="56" spans="1:11" x14ac:dyDescent="0.25">
      <c r="A56" s="13"/>
      <c r="B56" s="4"/>
      <c r="C56" s="32"/>
      <c r="D56" s="76"/>
      <c r="E56" s="144"/>
      <c r="F56" s="145"/>
      <c r="G56" s="51"/>
      <c r="H56" s="64"/>
      <c r="I56" s="24"/>
      <c r="J56" s="11"/>
      <c r="K56" s="11"/>
    </row>
    <row r="57" spans="1:11" ht="15" customHeight="1" x14ac:dyDescent="0.25">
      <c r="A57" s="13"/>
      <c r="B57" s="10"/>
      <c r="C57" s="779" t="s">
        <v>29</v>
      </c>
      <c r="D57" s="779"/>
      <c r="E57" s="779"/>
      <c r="F57" s="779"/>
      <c r="G57" s="53">
        <f>SUM(G38:G56)</f>
        <v>3561.6794500000001</v>
      </c>
      <c r="H57" s="67">
        <f>ROUND(G57*1.001,0)</f>
        <v>3565</v>
      </c>
      <c r="I57" s="26" t="s">
        <v>11</v>
      </c>
    </row>
    <row r="58" spans="1:11" ht="42.75" x14ac:dyDescent="0.25">
      <c r="A58" s="57">
        <v>8</v>
      </c>
      <c r="B58" s="58" t="s">
        <v>35</v>
      </c>
      <c r="C58" s="40"/>
      <c r="D58" s="41"/>
      <c r="E58" s="41"/>
      <c r="F58" s="41"/>
      <c r="G58" s="55"/>
      <c r="H58" s="25"/>
      <c r="I58" s="24"/>
    </row>
    <row r="59" spans="1:11" x14ac:dyDescent="0.25">
      <c r="A59" s="15"/>
      <c r="B59" s="81" t="s">
        <v>226</v>
      </c>
      <c r="C59" s="42"/>
      <c r="D59" s="43"/>
      <c r="E59" s="43"/>
      <c r="F59" s="43"/>
      <c r="G59" s="50"/>
      <c r="H59" s="25"/>
      <c r="I59" s="24"/>
    </row>
    <row r="60" spans="1:11" x14ac:dyDescent="0.25">
      <c r="A60" s="13"/>
      <c r="B60" s="4" t="s">
        <v>166</v>
      </c>
      <c r="C60" s="32">
        <v>1</v>
      </c>
      <c r="D60" s="76">
        <f>(31.33+21.33)*2</f>
        <v>105.32</v>
      </c>
      <c r="E60" s="76"/>
      <c r="F60" s="76">
        <f>1.5+1</f>
        <v>2.5</v>
      </c>
      <c r="G60" s="51">
        <f>PRODUCT(C60:F60)</f>
        <v>263.29999999999995</v>
      </c>
      <c r="H60" s="64"/>
      <c r="I60" s="24"/>
      <c r="J60" s="11"/>
      <c r="K60" s="11"/>
    </row>
    <row r="61" spans="1:11" x14ac:dyDescent="0.25">
      <c r="A61" s="13"/>
      <c r="B61" s="4" t="s">
        <v>167</v>
      </c>
      <c r="C61" s="32">
        <v>1</v>
      </c>
      <c r="D61" s="76">
        <f>+D45+D46+D45+D46</f>
        <v>101.32</v>
      </c>
      <c r="E61" s="76"/>
      <c r="F61" s="76">
        <f>13.75+1.5+0.5+0.67</f>
        <v>16.420000000000002</v>
      </c>
      <c r="G61" s="51">
        <f>PRODUCT(C61:F61)</f>
        <v>1663.6744000000001</v>
      </c>
      <c r="H61" s="64"/>
      <c r="I61" s="24"/>
      <c r="J61" s="11"/>
      <c r="K61" s="11"/>
    </row>
    <row r="62" spans="1:11" ht="15" customHeight="1" x14ac:dyDescent="0.25">
      <c r="A62" s="13"/>
      <c r="B62" s="10"/>
      <c r="C62" s="779" t="s">
        <v>29</v>
      </c>
      <c r="D62" s="779"/>
      <c r="E62" s="779"/>
      <c r="F62" s="779"/>
      <c r="G62" s="53">
        <f>SUM(G60:G61)</f>
        <v>1926.9744000000001</v>
      </c>
      <c r="H62" s="67">
        <f>ROUND(G62*1.001,0)</f>
        <v>1929</v>
      </c>
      <c r="I62" s="26" t="s">
        <v>10</v>
      </c>
    </row>
    <row r="63" spans="1:11" ht="42.75" x14ac:dyDescent="0.25">
      <c r="A63" s="57">
        <v>9</v>
      </c>
      <c r="B63" s="61" t="s">
        <v>9</v>
      </c>
      <c r="C63" s="30"/>
      <c r="D63" s="31"/>
      <c r="E63" s="31"/>
      <c r="F63" s="31"/>
      <c r="G63" s="50"/>
      <c r="H63" s="25"/>
      <c r="I63" s="24"/>
    </row>
    <row r="64" spans="1:11" x14ac:dyDescent="0.25">
      <c r="A64" s="13"/>
      <c r="B64" s="4"/>
      <c r="C64" s="32">
        <v>1</v>
      </c>
      <c r="D64" s="76">
        <f>+H57</f>
        <v>3565</v>
      </c>
      <c r="E64" s="76">
        <v>4</v>
      </c>
      <c r="F64" s="76" t="s">
        <v>31</v>
      </c>
      <c r="G64" s="51">
        <f>ROUND(PRODUCT(C64:F64),)</f>
        <v>14260</v>
      </c>
      <c r="H64" s="64"/>
      <c r="I64" s="24"/>
    </row>
    <row r="65" spans="1:9" ht="15" customHeight="1" x14ac:dyDescent="0.25">
      <c r="A65" s="13"/>
      <c r="B65" s="10"/>
      <c r="C65" s="779" t="s">
        <v>29</v>
      </c>
      <c r="D65" s="779"/>
      <c r="E65" s="779"/>
      <c r="F65" s="779"/>
      <c r="G65" s="53">
        <f>SUM(G64)</f>
        <v>14260</v>
      </c>
      <c r="H65" s="67">
        <f>ROUND(G65*1.001,0)</f>
        <v>14274</v>
      </c>
      <c r="I65" s="26" t="s">
        <v>12</v>
      </c>
    </row>
    <row r="66" spans="1:9" ht="15" customHeight="1" x14ac:dyDescent="0.25">
      <c r="A66" s="13"/>
      <c r="B66" s="147" t="s">
        <v>227</v>
      </c>
      <c r="C66" s="148"/>
      <c r="D66" s="149"/>
      <c r="E66" s="149"/>
      <c r="F66" s="149"/>
      <c r="G66" s="150"/>
      <c r="H66" s="137"/>
      <c r="I66" s="24"/>
    </row>
    <row r="67" spans="1:9" x14ac:dyDescent="0.25">
      <c r="A67" s="14" t="s">
        <v>4</v>
      </c>
      <c r="B67" s="9" t="s">
        <v>218</v>
      </c>
      <c r="C67" s="34"/>
      <c r="D67" s="35"/>
      <c r="E67" s="35"/>
      <c r="F67" s="35"/>
      <c r="G67" s="52"/>
      <c r="H67" s="25"/>
      <c r="I67" s="24"/>
    </row>
    <row r="68" spans="1:9" x14ac:dyDescent="0.25">
      <c r="A68" s="13"/>
      <c r="B68" s="4"/>
      <c r="C68" s="32">
        <v>1</v>
      </c>
      <c r="D68" s="76">
        <v>32</v>
      </c>
      <c r="E68" s="76">
        <v>0.67</v>
      </c>
      <c r="F68" s="76">
        <f>10-1-0.67-0.33</f>
        <v>8</v>
      </c>
      <c r="G68" s="140">
        <f>PRODUCT(C68:F68)</f>
        <v>171.52</v>
      </c>
      <c r="H68" s="64"/>
      <c r="I68" s="24"/>
    </row>
    <row r="69" spans="1:9" ht="15" customHeight="1" x14ac:dyDescent="0.25">
      <c r="A69" s="13"/>
      <c r="B69" s="10"/>
      <c r="C69" s="779" t="s">
        <v>29</v>
      </c>
      <c r="D69" s="779"/>
      <c r="E69" s="779"/>
      <c r="F69" s="779"/>
      <c r="G69" s="53">
        <f>SUM(G68:G68)</f>
        <v>171.52</v>
      </c>
      <c r="H69" s="67">
        <f>ROUND(G69*1.001,0)</f>
        <v>172</v>
      </c>
      <c r="I69" s="26" t="s">
        <v>11</v>
      </c>
    </row>
    <row r="70" spans="1:9" ht="28.5" x14ac:dyDescent="0.25">
      <c r="A70" s="57">
        <v>11</v>
      </c>
      <c r="B70" s="58" t="s">
        <v>73</v>
      </c>
      <c r="C70" s="38"/>
      <c r="D70" s="39"/>
      <c r="E70" s="39"/>
      <c r="F70" s="39"/>
      <c r="G70" s="54"/>
      <c r="H70" s="25"/>
      <c r="I70" s="24"/>
    </row>
    <row r="71" spans="1:9" x14ac:dyDescent="0.25">
      <c r="A71" s="92" t="s">
        <v>4</v>
      </c>
      <c r="B71" s="81" t="s">
        <v>226</v>
      </c>
      <c r="C71" s="115"/>
      <c r="D71" s="116"/>
      <c r="E71" s="116"/>
      <c r="F71" s="116"/>
      <c r="G71" s="117"/>
      <c r="H71" s="112"/>
      <c r="I71" s="109"/>
    </row>
    <row r="72" spans="1:9" x14ac:dyDescent="0.25">
      <c r="A72" s="98"/>
      <c r="B72" s="105" t="s">
        <v>75</v>
      </c>
      <c r="C72" s="106">
        <v>2</v>
      </c>
      <c r="D72" s="107">
        <v>19.329999999999998</v>
      </c>
      <c r="E72" s="107">
        <v>9.17</v>
      </c>
      <c r="F72" s="107"/>
      <c r="G72" s="51">
        <f t="shared" ref="G72:G76" si="0">PRODUCT(C72:F72)</f>
        <v>354.51219999999995</v>
      </c>
      <c r="H72" s="108"/>
      <c r="I72" s="109"/>
    </row>
    <row r="73" spans="1:9" x14ac:dyDescent="0.25">
      <c r="A73" s="98"/>
      <c r="B73" s="105" t="s">
        <v>75</v>
      </c>
      <c r="C73" s="106">
        <v>1</v>
      </c>
      <c r="D73" s="107">
        <v>19.329999999999998</v>
      </c>
      <c r="E73" s="107">
        <v>9.58</v>
      </c>
      <c r="F73" s="107"/>
      <c r="G73" s="51">
        <f t="shared" si="0"/>
        <v>185.1814</v>
      </c>
      <c r="H73" s="108"/>
      <c r="I73" s="109"/>
    </row>
    <row r="74" spans="1:9" x14ac:dyDescent="0.25">
      <c r="A74" s="98"/>
      <c r="B74" s="105" t="s">
        <v>171</v>
      </c>
      <c r="C74" s="106">
        <v>6</v>
      </c>
      <c r="D74" s="107">
        <v>19.329999999999998</v>
      </c>
      <c r="E74" s="107"/>
      <c r="F74" s="107">
        <f>13.75+0.5+1.5</f>
        <v>15.75</v>
      </c>
      <c r="G74" s="51">
        <f t="shared" si="0"/>
        <v>1826.6849999999999</v>
      </c>
      <c r="H74" s="108"/>
      <c r="I74" s="109"/>
    </row>
    <row r="75" spans="1:9" x14ac:dyDescent="0.25">
      <c r="A75" s="98"/>
      <c r="B75" s="105" t="s">
        <v>171</v>
      </c>
      <c r="C75" s="106">
        <v>4</v>
      </c>
      <c r="D75" s="107">
        <v>9.17</v>
      </c>
      <c r="E75" s="107"/>
      <c r="F75" s="107">
        <f t="shared" ref="F75:F76" si="1">13.75+0.5+1.5</f>
        <v>15.75</v>
      </c>
      <c r="G75" s="51">
        <f t="shared" si="0"/>
        <v>577.71</v>
      </c>
      <c r="H75" s="108"/>
      <c r="I75" s="109"/>
    </row>
    <row r="76" spans="1:9" x14ac:dyDescent="0.25">
      <c r="A76" s="98"/>
      <c r="B76" s="105" t="s">
        <v>171</v>
      </c>
      <c r="C76" s="106">
        <v>2</v>
      </c>
      <c r="D76" s="107">
        <v>9.58</v>
      </c>
      <c r="E76" s="107"/>
      <c r="F76" s="107">
        <f t="shared" si="1"/>
        <v>15.75</v>
      </c>
      <c r="G76" s="51">
        <f t="shared" si="0"/>
        <v>301.77</v>
      </c>
      <c r="H76" s="108"/>
      <c r="I76" s="109"/>
    </row>
    <row r="77" spans="1:9" ht="15" customHeight="1" x14ac:dyDescent="0.25">
      <c r="A77" s="82"/>
      <c r="B77" s="83"/>
      <c r="C77" s="780" t="s">
        <v>29</v>
      </c>
      <c r="D77" s="781"/>
      <c r="E77" s="781"/>
      <c r="F77" s="782"/>
      <c r="G77" s="53">
        <f>SUM(G72:G76)</f>
        <v>3245.8586</v>
      </c>
      <c r="H77" s="67">
        <f>ROUND(G77*1.001,0)</f>
        <v>3249</v>
      </c>
      <c r="I77" s="26" t="s">
        <v>10</v>
      </c>
    </row>
    <row r="78" spans="1:9" x14ac:dyDescent="0.25">
      <c r="A78" s="57">
        <v>17</v>
      </c>
      <c r="B78" s="81" t="s">
        <v>175</v>
      </c>
      <c r="C78" s="110"/>
      <c r="D78" s="111"/>
      <c r="E78" s="111"/>
      <c r="F78" s="111"/>
      <c r="G78" s="113"/>
      <c r="H78" s="112"/>
      <c r="I78" s="109"/>
    </row>
    <row r="79" spans="1:9" x14ac:dyDescent="0.25">
      <c r="A79" s="98"/>
      <c r="B79" s="99"/>
      <c r="C79" s="100"/>
      <c r="D79" s="101"/>
      <c r="E79" s="101"/>
      <c r="F79" s="101"/>
      <c r="G79" s="102"/>
      <c r="H79" s="103"/>
      <c r="I79" s="104"/>
    </row>
    <row r="80" spans="1:9" x14ac:dyDescent="0.25">
      <c r="A80" s="98"/>
      <c r="B80" s="105"/>
      <c r="C80" s="106">
        <v>1</v>
      </c>
      <c r="D80" s="107">
        <f>(29.58+19.33)*2</f>
        <v>97.82</v>
      </c>
      <c r="E80" s="107"/>
      <c r="F80" s="107"/>
      <c r="G80" s="51">
        <f t="shared" ref="G80" si="2">PRODUCT(C80:F80)</f>
        <v>97.82</v>
      </c>
      <c r="H80" s="108"/>
      <c r="I80" s="109"/>
    </row>
    <row r="81" spans="1:9" ht="15" customHeight="1" x14ac:dyDescent="0.25">
      <c r="A81" s="13"/>
      <c r="B81" s="10"/>
      <c r="C81" s="779" t="s">
        <v>29</v>
      </c>
      <c r="D81" s="779"/>
      <c r="E81" s="779"/>
      <c r="F81" s="779"/>
      <c r="G81" s="53">
        <f>SUM(G80:G80)</f>
        <v>97.82</v>
      </c>
      <c r="H81" s="67">
        <f>ROUND(G81*1.001,0)</f>
        <v>98</v>
      </c>
      <c r="I81" s="26" t="s">
        <v>176</v>
      </c>
    </row>
    <row r="82" spans="1:9" x14ac:dyDescent="0.25">
      <c r="A82" s="57">
        <v>18</v>
      </c>
      <c r="B82" s="81" t="s">
        <v>177</v>
      </c>
      <c r="C82" s="110"/>
      <c r="D82" s="111"/>
      <c r="E82" s="111"/>
      <c r="F82" s="111"/>
      <c r="G82" s="113"/>
      <c r="H82" s="112"/>
      <c r="I82" s="109"/>
    </row>
    <row r="83" spans="1:9" x14ac:dyDescent="0.25">
      <c r="A83" s="98"/>
      <c r="B83" s="99"/>
      <c r="C83" s="100"/>
      <c r="D83" s="101"/>
      <c r="E83" s="101"/>
      <c r="F83" s="101"/>
      <c r="G83" s="102"/>
      <c r="H83" s="103"/>
      <c r="I83" s="104"/>
    </row>
    <row r="84" spans="1:9" x14ac:dyDescent="0.25">
      <c r="A84" s="98"/>
      <c r="B84" s="105"/>
      <c r="C84" s="106">
        <v>3</v>
      </c>
      <c r="D84" s="107"/>
      <c r="E84" s="107"/>
      <c r="F84" s="107"/>
      <c r="G84" s="51">
        <f t="shared" ref="G84" si="3">PRODUCT(C84:F84)</f>
        <v>3</v>
      </c>
      <c r="H84" s="108"/>
      <c r="I84" s="109"/>
    </row>
    <row r="85" spans="1:9" ht="15" customHeight="1" x14ac:dyDescent="0.25">
      <c r="A85" s="13"/>
      <c r="B85" s="10"/>
      <c r="C85" s="779" t="s">
        <v>29</v>
      </c>
      <c r="D85" s="779"/>
      <c r="E85" s="779"/>
      <c r="F85" s="779"/>
      <c r="G85" s="53">
        <f>SUM(G84:G84)</f>
        <v>3</v>
      </c>
      <c r="H85" s="67">
        <f>ROUND(G85*1.001,0)</f>
        <v>3</v>
      </c>
      <c r="I85" s="26" t="s">
        <v>178</v>
      </c>
    </row>
    <row r="86" spans="1:9" x14ac:dyDescent="0.25">
      <c r="A86" s="57">
        <v>21</v>
      </c>
      <c r="B86" s="81" t="s">
        <v>210</v>
      </c>
      <c r="C86" s="110"/>
      <c r="D86" s="111"/>
      <c r="E86" s="111"/>
      <c r="F86" s="111"/>
      <c r="G86" s="113"/>
      <c r="H86" s="112"/>
      <c r="I86" s="109"/>
    </row>
    <row r="87" spans="1:9" x14ac:dyDescent="0.25">
      <c r="A87" s="98"/>
      <c r="B87" s="99"/>
      <c r="C87" s="100"/>
      <c r="D87" s="101"/>
      <c r="E87" s="101"/>
      <c r="F87" s="101"/>
      <c r="G87" s="102"/>
      <c r="H87" s="103"/>
      <c r="I87" s="104"/>
    </row>
    <row r="88" spans="1:9" x14ac:dyDescent="0.25">
      <c r="A88" s="98"/>
      <c r="B88" s="105"/>
      <c r="C88" s="106">
        <v>12</v>
      </c>
      <c r="D88" s="107"/>
      <c r="E88" s="107"/>
      <c r="F88" s="107"/>
      <c r="G88" s="51">
        <f t="shared" ref="G88" si="4">PRODUCT(C88:F88)</f>
        <v>12</v>
      </c>
      <c r="H88" s="108"/>
      <c r="I88" s="109"/>
    </row>
    <row r="89" spans="1:9" ht="15" customHeight="1" x14ac:dyDescent="0.25">
      <c r="A89" s="13"/>
      <c r="B89" s="10"/>
      <c r="C89" s="779" t="s">
        <v>29</v>
      </c>
      <c r="D89" s="779"/>
      <c r="E89" s="779"/>
      <c r="F89" s="779"/>
      <c r="G89" s="53">
        <f>SUM(G88:G88)</f>
        <v>12</v>
      </c>
      <c r="H89" s="67">
        <f>ROUND(G89*1.001,0)</f>
        <v>12</v>
      </c>
      <c r="I89" s="26" t="s">
        <v>178</v>
      </c>
    </row>
  </sheetData>
  <mergeCells count="18">
    <mergeCell ref="C89:F89"/>
    <mergeCell ref="C35:F35"/>
    <mergeCell ref="E39:F39"/>
    <mergeCell ref="E40:F40"/>
    <mergeCell ref="E41:F41"/>
    <mergeCell ref="C57:F57"/>
    <mergeCell ref="C62:F62"/>
    <mergeCell ref="C65:F65"/>
    <mergeCell ref="C69:F69"/>
    <mergeCell ref="C77:F77"/>
    <mergeCell ref="C81:F81"/>
    <mergeCell ref="C85:F85"/>
    <mergeCell ref="C31:F31"/>
    <mergeCell ref="A1:I1"/>
    <mergeCell ref="C12:F12"/>
    <mergeCell ref="C16:F16"/>
    <mergeCell ref="C23:F23"/>
    <mergeCell ref="C27:F27"/>
  </mergeCells>
  <printOptions horizontalCentered="1"/>
  <pageMargins left="0.5" right="0.25" top="0.55000000000000004" bottom="0.25" header="0.17" footer="0.17"/>
  <pageSetup paperSize="9" scale="70" fitToHeight="0" orientation="portrait" r:id="rId1"/>
  <headerFooter alignWithMargins="0">
    <oddHeader>&amp;R&amp;"Arial Narrow,Regular"&amp;10&amp;A
 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pageSetUpPr fitToPage="1"/>
  </sheetPr>
  <dimension ref="A1:I95"/>
  <sheetViews>
    <sheetView view="pageBreakPreview" topLeftCell="A94" zoomScale="75" zoomScaleNormal="75" zoomScaleSheetLayoutView="75" workbookViewId="0">
      <selection activeCell="E95" sqref="E95"/>
    </sheetView>
  </sheetViews>
  <sheetFormatPr defaultRowHeight="14.25" x14ac:dyDescent="0.2"/>
  <cols>
    <col min="1" max="1" width="9.140625" style="693"/>
    <col min="2" max="2" width="57.85546875" style="698" customWidth="1"/>
    <col min="3" max="3" width="14.42578125" style="698" customWidth="1"/>
    <col min="4" max="4" width="10.28515625" style="698" customWidth="1"/>
    <col min="5" max="9" width="17.85546875" style="693" customWidth="1"/>
    <col min="10" max="257" width="9.140625" style="693"/>
    <col min="258" max="258" width="57.85546875" style="693" customWidth="1"/>
    <col min="259" max="259" width="14.42578125" style="693" customWidth="1"/>
    <col min="260" max="260" width="10.28515625" style="693" customWidth="1"/>
    <col min="261" max="265" width="17.85546875" style="693" customWidth="1"/>
    <col min="266" max="513" width="9.140625" style="693"/>
    <col min="514" max="514" width="57.85546875" style="693" customWidth="1"/>
    <col min="515" max="515" width="14.42578125" style="693" customWidth="1"/>
    <col min="516" max="516" width="10.28515625" style="693" customWidth="1"/>
    <col min="517" max="521" width="17.85546875" style="693" customWidth="1"/>
    <col min="522" max="769" width="9.140625" style="693"/>
    <col min="770" max="770" width="57.85546875" style="693" customWidth="1"/>
    <col min="771" max="771" width="14.42578125" style="693" customWidth="1"/>
    <col min="772" max="772" width="10.28515625" style="693" customWidth="1"/>
    <col min="773" max="777" width="17.85546875" style="693" customWidth="1"/>
    <col min="778" max="1025" width="9.140625" style="693"/>
    <col min="1026" max="1026" width="57.85546875" style="693" customWidth="1"/>
    <col min="1027" max="1027" width="14.42578125" style="693" customWidth="1"/>
    <col min="1028" max="1028" width="10.28515625" style="693" customWidth="1"/>
    <col min="1029" max="1033" width="17.85546875" style="693" customWidth="1"/>
    <col min="1034" max="1281" width="9.140625" style="693"/>
    <col min="1282" max="1282" width="57.85546875" style="693" customWidth="1"/>
    <col min="1283" max="1283" width="14.42578125" style="693" customWidth="1"/>
    <col min="1284" max="1284" width="10.28515625" style="693" customWidth="1"/>
    <col min="1285" max="1289" width="17.85546875" style="693" customWidth="1"/>
    <col min="1290" max="1537" width="9.140625" style="693"/>
    <col min="1538" max="1538" width="57.85546875" style="693" customWidth="1"/>
    <col min="1539" max="1539" width="14.42578125" style="693" customWidth="1"/>
    <col min="1540" max="1540" width="10.28515625" style="693" customWidth="1"/>
    <col min="1541" max="1545" width="17.85546875" style="693" customWidth="1"/>
    <col min="1546" max="1793" width="9.140625" style="693"/>
    <col min="1794" max="1794" width="57.85546875" style="693" customWidth="1"/>
    <col min="1795" max="1795" width="14.42578125" style="693" customWidth="1"/>
    <col min="1796" max="1796" width="10.28515625" style="693" customWidth="1"/>
    <col min="1797" max="1801" width="17.85546875" style="693" customWidth="1"/>
    <col min="1802" max="2049" width="9.140625" style="693"/>
    <col min="2050" max="2050" width="57.85546875" style="693" customWidth="1"/>
    <col min="2051" max="2051" width="14.42578125" style="693" customWidth="1"/>
    <col min="2052" max="2052" width="10.28515625" style="693" customWidth="1"/>
    <col min="2053" max="2057" width="17.85546875" style="693" customWidth="1"/>
    <col min="2058" max="2305" width="9.140625" style="693"/>
    <col min="2306" max="2306" width="57.85546875" style="693" customWidth="1"/>
    <col min="2307" max="2307" width="14.42578125" style="693" customWidth="1"/>
    <col min="2308" max="2308" width="10.28515625" style="693" customWidth="1"/>
    <col min="2309" max="2313" width="17.85546875" style="693" customWidth="1"/>
    <col min="2314" max="2561" width="9.140625" style="693"/>
    <col min="2562" max="2562" width="57.85546875" style="693" customWidth="1"/>
    <col min="2563" max="2563" width="14.42578125" style="693" customWidth="1"/>
    <col min="2564" max="2564" width="10.28515625" style="693" customWidth="1"/>
    <col min="2565" max="2569" width="17.85546875" style="693" customWidth="1"/>
    <col min="2570" max="2817" width="9.140625" style="693"/>
    <col min="2818" max="2818" width="57.85546875" style="693" customWidth="1"/>
    <col min="2819" max="2819" width="14.42578125" style="693" customWidth="1"/>
    <col min="2820" max="2820" width="10.28515625" style="693" customWidth="1"/>
    <col min="2821" max="2825" width="17.85546875" style="693" customWidth="1"/>
    <col min="2826" max="3073" width="9.140625" style="693"/>
    <col min="3074" max="3074" width="57.85546875" style="693" customWidth="1"/>
    <col min="3075" max="3075" width="14.42578125" style="693" customWidth="1"/>
    <col min="3076" max="3076" width="10.28515625" style="693" customWidth="1"/>
    <col min="3077" max="3081" width="17.85546875" style="693" customWidth="1"/>
    <col min="3082" max="3329" width="9.140625" style="693"/>
    <col min="3330" max="3330" width="57.85546875" style="693" customWidth="1"/>
    <col min="3331" max="3331" width="14.42578125" style="693" customWidth="1"/>
    <col min="3332" max="3332" width="10.28515625" style="693" customWidth="1"/>
    <col min="3333" max="3337" width="17.85546875" style="693" customWidth="1"/>
    <col min="3338" max="3585" width="9.140625" style="693"/>
    <col min="3586" max="3586" width="57.85546875" style="693" customWidth="1"/>
    <col min="3587" max="3587" width="14.42578125" style="693" customWidth="1"/>
    <col min="3588" max="3588" width="10.28515625" style="693" customWidth="1"/>
    <col min="3589" max="3593" width="17.85546875" style="693" customWidth="1"/>
    <col min="3594" max="3841" width="9.140625" style="693"/>
    <col min="3842" max="3842" width="57.85546875" style="693" customWidth="1"/>
    <col min="3843" max="3843" width="14.42578125" style="693" customWidth="1"/>
    <col min="3844" max="3844" width="10.28515625" style="693" customWidth="1"/>
    <col min="3845" max="3849" width="17.85546875" style="693" customWidth="1"/>
    <col min="3850" max="4097" width="9.140625" style="693"/>
    <col min="4098" max="4098" width="57.85546875" style="693" customWidth="1"/>
    <col min="4099" max="4099" width="14.42578125" style="693" customWidth="1"/>
    <col min="4100" max="4100" width="10.28515625" style="693" customWidth="1"/>
    <col min="4101" max="4105" width="17.85546875" style="693" customWidth="1"/>
    <col min="4106" max="4353" width="9.140625" style="693"/>
    <col min="4354" max="4354" width="57.85546875" style="693" customWidth="1"/>
    <col min="4355" max="4355" width="14.42578125" style="693" customWidth="1"/>
    <col min="4356" max="4356" width="10.28515625" style="693" customWidth="1"/>
    <col min="4357" max="4361" width="17.85546875" style="693" customWidth="1"/>
    <col min="4362" max="4609" width="9.140625" style="693"/>
    <col min="4610" max="4610" width="57.85546875" style="693" customWidth="1"/>
    <col min="4611" max="4611" width="14.42578125" style="693" customWidth="1"/>
    <col min="4612" max="4612" width="10.28515625" style="693" customWidth="1"/>
    <col min="4613" max="4617" width="17.85546875" style="693" customWidth="1"/>
    <col min="4618" max="4865" width="9.140625" style="693"/>
    <col min="4866" max="4866" width="57.85546875" style="693" customWidth="1"/>
    <col min="4867" max="4867" width="14.42578125" style="693" customWidth="1"/>
    <col min="4868" max="4868" width="10.28515625" style="693" customWidth="1"/>
    <col min="4869" max="4873" width="17.85546875" style="693" customWidth="1"/>
    <col min="4874" max="5121" width="9.140625" style="693"/>
    <col min="5122" max="5122" width="57.85546875" style="693" customWidth="1"/>
    <col min="5123" max="5123" width="14.42578125" style="693" customWidth="1"/>
    <col min="5124" max="5124" width="10.28515625" style="693" customWidth="1"/>
    <col min="5125" max="5129" width="17.85546875" style="693" customWidth="1"/>
    <col min="5130" max="5377" width="9.140625" style="693"/>
    <col min="5378" max="5378" width="57.85546875" style="693" customWidth="1"/>
    <col min="5379" max="5379" width="14.42578125" style="693" customWidth="1"/>
    <col min="5380" max="5380" width="10.28515625" style="693" customWidth="1"/>
    <col min="5381" max="5385" width="17.85546875" style="693" customWidth="1"/>
    <col min="5386" max="5633" width="9.140625" style="693"/>
    <col min="5634" max="5634" width="57.85546875" style="693" customWidth="1"/>
    <col min="5635" max="5635" width="14.42578125" style="693" customWidth="1"/>
    <col min="5636" max="5636" width="10.28515625" style="693" customWidth="1"/>
    <col min="5637" max="5641" width="17.85546875" style="693" customWidth="1"/>
    <col min="5642" max="5889" width="9.140625" style="693"/>
    <col min="5890" max="5890" width="57.85546875" style="693" customWidth="1"/>
    <col min="5891" max="5891" width="14.42578125" style="693" customWidth="1"/>
    <col min="5892" max="5892" width="10.28515625" style="693" customWidth="1"/>
    <col min="5893" max="5897" width="17.85546875" style="693" customWidth="1"/>
    <col min="5898" max="6145" width="9.140625" style="693"/>
    <col min="6146" max="6146" width="57.85546875" style="693" customWidth="1"/>
    <col min="6147" max="6147" width="14.42578125" style="693" customWidth="1"/>
    <col min="6148" max="6148" width="10.28515625" style="693" customWidth="1"/>
    <col min="6149" max="6153" width="17.85546875" style="693" customWidth="1"/>
    <col min="6154" max="6401" width="9.140625" style="693"/>
    <col min="6402" max="6402" width="57.85546875" style="693" customWidth="1"/>
    <col min="6403" max="6403" width="14.42578125" style="693" customWidth="1"/>
    <col min="6404" max="6404" width="10.28515625" style="693" customWidth="1"/>
    <col min="6405" max="6409" width="17.85546875" style="693" customWidth="1"/>
    <col min="6410" max="6657" width="9.140625" style="693"/>
    <col min="6658" max="6658" width="57.85546875" style="693" customWidth="1"/>
    <col min="6659" max="6659" width="14.42578125" style="693" customWidth="1"/>
    <col min="6660" max="6660" width="10.28515625" style="693" customWidth="1"/>
    <col min="6661" max="6665" width="17.85546875" style="693" customWidth="1"/>
    <col min="6666" max="6913" width="9.140625" style="693"/>
    <col min="6914" max="6914" width="57.85546875" style="693" customWidth="1"/>
    <col min="6915" max="6915" width="14.42578125" style="693" customWidth="1"/>
    <col min="6916" max="6916" width="10.28515625" style="693" customWidth="1"/>
    <col min="6917" max="6921" width="17.85546875" style="693" customWidth="1"/>
    <col min="6922" max="7169" width="9.140625" style="693"/>
    <col min="7170" max="7170" width="57.85546875" style="693" customWidth="1"/>
    <col min="7171" max="7171" width="14.42578125" style="693" customWidth="1"/>
    <col min="7172" max="7172" width="10.28515625" style="693" customWidth="1"/>
    <col min="7173" max="7177" width="17.85546875" style="693" customWidth="1"/>
    <col min="7178" max="7425" width="9.140625" style="693"/>
    <col min="7426" max="7426" width="57.85546875" style="693" customWidth="1"/>
    <col min="7427" max="7427" width="14.42578125" style="693" customWidth="1"/>
    <col min="7428" max="7428" width="10.28515625" style="693" customWidth="1"/>
    <col min="7429" max="7433" width="17.85546875" style="693" customWidth="1"/>
    <col min="7434" max="7681" width="9.140625" style="693"/>
    <col min="7682" max="7682" width="57.85546875" style="693" customWidth="1"/>
    <col min="7683" max="7683" width="14.42578125" style="693" customWidth="1"/>
    <col min="7684" max="7684" width="10.28515625" style="693" customWidth="1"/>
    <col min="7685" max="7689" width="17.85546875" style="693" customWidth="1"/>
    <col min="7690" max="7937" width="9.140625" style="693"/>
    <col min="7938" max="7938" width="57.85546875" style="693" customWidth="1"/>
    <col min="7939" max="7939" width="14.42578125" style="693" customWidth="1"/>
    <col min="7940" max="7940" width="10.28515625" style="693" customWidth="1"/>
    <col min="7941" max="7945" width="17.85546875" style="693" customWidth="1"/>
    <col min="7946" max="8193" width="9.140625" style="693"/>
    <col min="8194" max="8194" width="57.85546875" style="693" customWidth="1"/>
    <col min="8195" max="8195" width="14.42578125" style="693" customWidth="1"/>
    <col min="8196" max="8196" width="10.28515625" style="693" customWidth="1"/>
    <col min="8197" max="8201" width="17.85546875" style="693" customWidth="1"/>
    <col min="8202" max="8449" width="9.140625" style="693"/>
    <col min="8450" max="8450" width="57.85546875" style="693" customWidth="1"/>
    <col min="8451" max="8451" width="14.42578125" style="693" customWidth="1"/>
    <col min="8452" max="8452" width="10.28515625" style="693" customWidth="1"/>
    <col min="8453" max="8457" width="17.85546875" style="693" customWidth="1"/>
    <col min="8458" max="8705" width="9.140625" style="693"/>
    <col min="8706" max="8706" width="57.85546875" style="693" customWidth="1"/>
    <col min="8707" max="8707" width="14.42578125" style="693" customWidth="1"/>
    <col min="8708" max="8708" width="10.28515625" style="693" customWidth="1"/>
    <col min="8709" max="8713" width="17.85546875" style="693" customWidth="1"/>
    <col min="8714" max="8961" width="9.140625" style="693"/>
    <col min="8962" max="8962" width="57.85546875" style="693" customWidth="1"/>
    <col min="8963" max="8963" width="14.42578125" style="693" customWidth="1"/>
    <col min="8964" max="8964" width="10.28515625" style="693" customWidth="1"/>
    <col min="8965" max="8969" width="17.85546875" style="693" customWidth="1"/>
    <col min="8970" max="9217" width="9.140625" style="693"/>
    <col min="9218" max="9218" width="57.85546875" style="693" customWidth="1"/>
    <col min="9219" max="9219" width="14.42578125" style="693" customWidth="1"/>
    <col min="9220" max="9220" width="10.28515625" style="693" customWidth="1"/>
    <col min="9221" max="9225" width="17.85546875" style="693" customWidth="1"/>
    <col min="9226" max="9473" width="9.140625" style="693"/>
    <col min="9474" max="9474" width="57.85546875" style="693" customWidth="1"/>
    <col min="9475" max="9475" width="14.42578125" style="693" customWidth="1"/>
    <col min="9476" max="9476" width="10.28515625" style="693" customWidth="1"/>
    <col min="9477" max="9481" width="17.85546875" style="693" customWidth="1"/>
    <col min="9482" max="9729" width="9.140625" style="693"/>
    <col min="9730" max="9730" width="57.85546875" style="693" customWidth="1"/>
    <col min="9731" max="9731" width="14.42578125" style="693" customWidth="1"/>
    <col min="9732" max="9732" width="10.28515625" style="693" customWidth="1"/>
    <col min="9733" max="9737" width="17.85546875" style="693" customWidth="1"/>
    <col min="9738" max="9985" width="9.140625" style="693"/>
    <col min="9986" max="9986" width="57.85546875" style="693" customWidth="1"/>
    <col min="9987" max="9987" width="14.42578125" style="693" customWidth="1"/>
    <col min="9988" max="9988" width="10.28515625" style="693" customWidth="1"/>
    <col min="9989" max="9993" width="17.85546875" style="693" customWidth="1"/>
    <col min="9994" max="10241" width="9.140625" style="693"/>
    <col min="10242" max="10242" width="57.85546875" style="693" customWidth="1"/>
    <col min="10243" max="10243" width="14.42578125" style="693" customWidth="1"/>
    <col min="10244" max="10244" width="10.28515625" style="693" customWidth="1"/>
    <col min="10245" max="10249" width="17.85546875" style="693" customWidth="1"/>
    <col min="10250" max="10497" width="9.140625" style="693"/>
    <col min="10498" max="10498" width="57.85546875" style="693" customWidth="1"/>
    <col min="10499" max="10499" width="14.42578125" style="693" customWidth="1"/>
    <col min="10500" max="10500" width="10.28515625" style="693" customWidth="1"/>
    <col min="10501" max="10505" width="17.85546875" style="693" customWidth="1"/>
    <col min="10506" max="10753" width="9.140625" style="693"/>
    <col min="10754" max="10754" width="57.85546875" style="693" customWidth="1"/>
    <col min="10755" max="10755" width="14.42578125" style="693" customWidth="1"/>
    <col min="10756" max="10756" width="10.28515625" style="693" customWidth="1"/>
    <col min="10757" max="10761" width="17.85546875" style="693" customWidth="1"/>
    <col min="10762" max="11009" width="9.140625" style="693"/>
    <col min="11010" max="11010" width="57.85546875" style="693" customWidth="1"/>
    <col min="11011" max="11011" width="14.42578125" style="693" customWidth="1"/>
    <col min="11012" max="11012" width="10.28515625" style="693" customWidth="1"/>
    <col min="11013" max="11017" width="17.85546875" style="693" customWidth="1"/>
    <col min="11018" max="11265" width="9.140625" style="693"/>
    <col min="11266" max="11266" width="57.85546875" style="693" customWidth="1"/>
    <col min="11267" max="11267" width="14.42578125" style="693" customWidth="1"/>
    <col min="11268" max="11268" width="10.28515625" style="693" customWidth="1"/>
    <col min="11269" max="11273" width="17.85546875" style="693" customWidth="1"/>
    <col min="11274" max="11521" width="9.140625" style="693"/>
    <col min="11522" max="11522" width="57.85546875" style="693" customWidth="1"/>
    <col min="11523" max="11523" width="14.42578125" style="693" customWidth="1"/>
    <col min="11524" max="11524" width="10.28515625" style="693" customWidth="1"/>
    <col min="11525" max="11529" width="17.85546875" style="693" customWidth="1"/>
    <col min="11530" max="11777" width="9.140625" style="693"/>
    <col min="11778" max="11778" width="57.85546875" style="693" customWidth="1"/>
    <col min="11779" max="11779" width="14.42578125" style="693" customWidth="1"/>
    <col min="11780" max="11780" width="10.28515625" style="693" customWidth="1"/>
    <col min="11781" max="11785" width="17.85546875" style="693" customWidth="1"/>
    <col min="11786" max="12033" width="9.140625" style="693"/>
    <col min="12034" max="12034" width="57.85546875" style="693" customWidth="1"/>
    <col min="12035" max="12035" width="14.42578125" style="693" customWidth="1"/>
    <col min="12036" max="12036" width="10.28515625" style="693" customWidth="1"/>
    <col min="12037" max="12041" width="17.85546875" style="693" customWidth="1"/>
    <col min="12042" max="12289" width="9.140625" style="693"/>
    <col min="12290" max="12290" width="57.85546875" style="693" customWidth="1"/>
    <col min="12291" max="12291" width="14.42578125" style="693" customWidth="1"/>
    <col min="12292" max="12292" width="10.28515625" style="693" customWidth="1"/>
    <col min="12293" max="12297" width="17.85546875" style="693" customWidth="1"/>
    <col min="12298" max="12545" width="9.140625" style="693"/>
    <col min="12546" max="12546" width="57.85546875" style="693" customWidth="1"/>
    <col min="12547" max="12547" width="14.42578125" style="693" customWidth="1"/>
    <col min="12548" max="12548" width="10.28515625" style="693" customWidth="1"/>
    <col min="12549" max="12553" width="17.85546875" style="693" customWidth="1"/>
    <col min="12554" max="12801" width="9.140625" style="693"/>
    <col min="12802" max="12802" width="57.85546875" style="693" customWidth="1"/>
    <col min="12803" max="12803" width="14.42578125" style="693" customWidth="1"/>
    <col min="12804" max="12804" width="10.28515625" style="693" customWidth="1"/>
    <col min="12805" max="12809" width="17.85546875" style="693" customWidth="1"/>
    <col min="12810" max="13057" width="9.140625" style="693"/>
    <col min="13058" max="13058" width="57.85546875" style="693" customWidth="1"/>
    <col min="13059" max="13059" width="14.42578125" style="693" customWidth="1"/>
    <col min="13060" max="13060" width="10.28515625" style="693" customWidth="1"/>
    <col min="13061" max="13065" width="17.85546875" style="693" customWidth="1"/>
    <col min="13066" max="13313" width="9.140625" style="693"/>
    <col min="13314" max="13314" width="57.85546875" style="693" customWidth="1"/>
    <col min="13315" max="13315" width="14.42578125" style="693" customWidth="1"/>
    <col min="13316" max="13316" width="10.28515625" style="693" customWidth="1"/>
    <col min="13317" max="13321" width="17.85546875" style="693" customWidth="1"/>
    <col min="13322" max="13569" width="9.140625" style="693"/>
    <col min="13570" max="13570" width="57.85546875" style="693" customWidth="1"/>
    <col min="13571" max="13571" width="14.42578125" style="693" customWidth="1"/>
    <col min="13572" max="13572" width="10.28515625" style="693" customWidth="1"/>
    <col min="13573" max="13577" width="17.85546875" style="693" customWidth="1"/>
    <col min="13578" max="13825" width="9.140625" style="693"/>
    <col min="13826" max="13826" width="57.85546875" style="693" customWidth="1"/>
    <col min="13827" max="13827" width="14.42578125" style="693" customWidth="1"/>
    <col min="13828" max="13828" width="10.28515625" style="693" customWidth="1"/>
    <col min="13829" max="13833" width="17.85546875" style="693" customWidth="1"/>
    <col min="13834" max="14081" width="9.140625" style="693"/>
    <col min="14082" max="14082" width="57.85546875" style="693" customWidth="1"/>
    <col min="14083" max="14083" width="14.42578125" style="693" customWidth="1"/>
    <col min="14084" max="14084" width="10.28515625" style="693" customWidth="1"/>
    <col min="14085" max="14089" width="17.85546875" style="693" customWidth="1"/>
    <col min="14090" max="14337" width="9.140625" style="693"/>
    <col min="14338" max="14338" width="57.85546875" style="693" customWidth="1"/>
    <col min="14339" max="14339" width="14.42578125" style="693" customWidth="1"/>
    <col min="14340" max="14340" width="10.28515625" style="693" customWidth="1"/>
    <col min="14341" max="14345" width="17.85546875" style="693" customWidth="1"/>
    <col min="14346" max="14593" width="9.140625" style="693"/>
    <col min="14594" max="14594" width="57.85546875" style="693" customWidth="1"/>
    <col min="14595" max="14595" width="14.42578125" style="693" customWidth="1"/>
    <col min="14596" max="14596" width="10.28515625" style="693" customWidth="1"/>
    <col min="14597" max="14601" width="17.85546875" style="693" customWidth="1"/>
    <col min="14602" max="14849" width="9.140625" style="693"/>
    <col min="14850" max="14850" width="57.85546875" style="693" customWidth="1"/>
    <col min="14851" max="14851" width="14.42578125" style="693" customWidth="1"/>
    <col min="14852" max="14852" width="10.28515625" style="693" customWidth="1"/>
    <col min="14853" max="14857" width="17.85546875" style="693" customWidth="1"/>
    <col min="14858" max="15105" width="9.140625" style="693"/>
    <col min="15106" max="15106" width="57.85546875" style="693" customWidth="1"/>
    <col min="15107" max="15107" width="14.42578125" style="693" customWidth="1"/>
    <col min="15108" max="15108" width="10.28515625" style="693" customWidth="1"/>
    <col min="15109" max="15113" width="17.85546875" style="693" customWidth="1"/>
    <col min="15114" max="15361" width="9.140625" style="693"/>
    <col min="15362" max="15362" width="57.85546875" style="693" customWidth="1"/>
    <col min="15363" max="15363" width="14.42578125" style="693" customWidth="1"/>
    <col min="15364" max="15364" width="10.28515625" style="693" customWidth="1"/>
    <col min="15365" max="15369" width="17.85546875" style="693" customWidth="1"/>
    <col min="15370" max="15617" width="9.140625" style="693"/>
    <col min="15618" max="15618" width="57.85546875" style="693" customWidth="1"/>
    <col min="15619" max="15619" width="14.42578125" style="693" customWidth="1"/>
    <col min="15620" max="15620" width="10.28515625" style="693" customWidth="1"/>
    <col min="15621" max="15625" width="17.85546875" style="693" customWidth="1"/>
    <col min="15626" max="15873" width="9.140625" style="693"/>
    <col min="15874" max="15874" width="57.85546875" style="693" customWidth="1"/>
    <col min="15875" max="15875" width="14.42578125" style="693" customWidth="1"/>
    <col min="15876" max="15876" width="10.28515625" style="693" customWidth="1"/>
    <col min="15877" max="15881" width="17.85546875" style="693" customWidth="1"/>
    <col min="15882" max="16129" width="9.140625" style="693"/>
    <col min="16130" max="16130" width="57.85546875" style="693" customWidth="1"/>
    <col min="16131" max="16131" width="14.42578125" style="693" customWidth="1"/>
    <col min="16132" max="16132" width="10.28515625" style="693" customWidth="1"/>
    <col min="16133" max="16137" width="17.85546875" style="693" customWidth="1"/>
    <col min="16138" max="16384" width="9.140625" style="693"/>
  </cols>
  <sheetData>
    <row r="1" spans="1:9" s="686" customFormat="1" ht="27" x14ac:dyDescent="0.25">
      <c r="A1" s="768" t="s">
        <v>797</v>
      </c>
      <c r="B1" s="768"/>
      <c r="C1" s="768"/>
      <c r="D1" s="768"/>
      <c r="E1" s="768"/>
      <c r="F1" s="768"/>
      <c r="G1" s="768"/>
      <c r="H1" s="768"/>
      <c r="I1" s="768"/>
    </row>
    <row r="2" spans="1:9" s="686" customFormat="1" ht="22.5" x14ac:dyDescent="0.25">
      <c r="A2" s="769" t="str">
        <f>Summary!B7</f>
        <v>OFFICE BUILDING (1 Block)</v>
      </c>
      <c r="B2" s="769"/>
      <c r="C2" s="769"/>
      <c r="D2" s="769"/>
      <c r="E2" s="769"/>
      <c r="F2" s="769"/>
      <c r="G2" s="769"/>
      <c r="H2" s="769"/>
      <c r="I2" s="769"/>
    </row>
    <row r="3" spans="1:9" s="686" customFormat="1" ht="15" x14ac:dyDescent="0.25"/>
    <row r="4" spans="1:9" s="686" customFormat="1" ht="45" x14ac:dyDescent="0.25">
      <c r="A4" s="687" t="s">
        <v>798</v>
      </c>
      <c r="B4" s="688" t="s">
        <v>0</v>
      </c>
      <c r="C4" s="688" t="s">
        <v>799</v>
      </c>
      <c r="D4" s="688" t="s">
        <v>2</v>
      </c>
      <c r="E4" s="688" t="s">
        <v>238</v>
      </c>
      <c r="F4" s="687" t="s">
        <v>800</v>
      </c>
      <c r="G4" s="687" t="s">
        <v>801</v>
      </c>
      <c r="H4" s="687" t="s">
        <v>802</v>
      </c>
      <c r="I4" s="687" t="s">
        <v>803</v>
      </c>
    </row>
    <row r="5" spans="1:9" ht="85.5" x14ac:dyDescent="0.2">
      <c r="A5" s="689">
        <f>'BOQ-OFFICE BUILDING (Civil)'!A7</f>
        <v>1</v>
      </c>
      <c r="B5" s="690" t="str">
        <f>'BOQ-OFFICE BUILDING (Civil)'!C7</f>
        <v>Excavation
(Refer Spec's  Section # 2300)
Excavation in foundation of Building Bridges and other structures including dagbelling dressing,refilling around structure with excavated earth Watering and ramming lead upto 5 ft.</v>
      </c>
      <c r="C5" s="691">
        <f>'BOQ-OFFICE BUILDING (Civil)'!D7</f>
        <v>30000</v>
      </c>
      <c r="D5" s="689" t="str">
        <f>'BOQ-OFFICE BUILDING (Civil)'!E7</f>
        <v>‰Cft.</v>
      </c>
      <c r="E5" s="692"/>
      <c r="F5" s="692"/>
      <c r="G5" s="692"/>
      <c r="H5" s="692"/>
      <c r="I5" s="692"/>
    </row>
    <row r="6" spans="1:9" ht="99.75" x14ac:dyDescent="0.2">
      <c r="A6" s="689">
        <f>'BOQ-OFFICE BUILDING (Civil)'!A8</f>
        <v>2</v>
      </c>
      <c r="B6" s="690" t="str">
        <f>'BOQ-OFFICE BUILDING (Civil)'!C8</f>
        <v>Termite Proofing
(Refer Spec's Section # 2360)
Providing Anti-termmite by spraying/ sprinkling/ spreading Neptachlar 0.5% Emulsion as on overall pre-construction treatment in slab type construction under the slab and along attached perches or entrances etc, complete as per directions of Engineer Incharge.</v>
      </c>
      <c r="C6" s="691">
        <f>'BOQ-OFFICE BUILDING (Civil)'!D8</f>
        <v>8200</v>
      </c>
      <c r="D6" s="689" t="str">
        <f>'BOQ-OFFICE BUILDING (Civil)'!E8</f>
        <v>Sft.</v>
      </c>
      <c r="E6" s="692"/>
      <c r="F6" s="692"/>
      <c r="G6" s="692"/>
      <c r="H6" s="692"/>
      <c r="I6" s="692"/>
    </row>
    <row r="7" spans="1:9" ht="71.25" x14ac:dyDescent="0.2">
      <c r="A7" s="689">
        <f>'BOQ-OFFICE BUILDING (Civil)'!A9</f>
        <v>3</v>
      </c>
      <c r="B7" s="690" t="str">
        <f>'BOQ-OFFICE BUILDING (Civil)'!C9</f>
        <v>Earth Filling Compaction &amp; layers (Refer Spec's  Section # 2300)
Earth work compaction (Soft, ordinary or hard soil).
Laying earth in 6" layers levelling % 0Cft.dressing and watering for compactionb etc. complete.</v>
      </c>
      <c r="C7" s="691">
        <f>'BOQ-OFFICE BUILDING (Civil)'!D9</f>
        <v>28600</v>
      </c>
      <c r="D7" s="689" t="str">
        <f>'BOQ-OFFICE BUILDING (Civil)'!E9</f>
        <v>‰Cft.</v>
      </c>
      <c r="E7" s="692"/>
      <c r="F7" s="692"/>
      <c r="G7" s="692"/>
      <c r="H7" s="692"/>
      <c r="I7" s="692"/>
    </row>
    <row r="8" spans="1:9" ht="71.25" x14ac:dyDescent="0.2">
      <c r="A8" s="689">
        <f>'BOQ-OFFICE BUILDING (Civil)'!A10</f>
        <v>4</v>
      </c>
      <c r="B8" s="690" t="str">
        <f>'BOQ-OFFICE BUILDING (Civil)'!C10</f>
        <v>Earth Filling 
(Refer Spec's  Section # 2300)
Filling,watering and ramming earth under floor with new earth (Excavated from outside) lead upto one chain and lift upto 5 feet.</v>
      </c>
      <c r="C8" s="691">
        <f>'BOQ-OFFICE BUILDING (Civil)'!D10</f>
        <v>28600</v>
      </c>
      <c r="D8" s="689" t="str">
        <f>'BOQ-OFFICE BUILDING (Civil)'!E10</f>
        <v>‰Cft.</v>
      </c>
      <c r="E8" s="692"/>
      <c r="F8" s="692"/>
      <c r="G8" s="692"/>
      <c r="H8" s="692"/>
      <c r="I8" s="692"/>
    </row>
    <row r="9" spans="1:9" ht="57" x14ac:dyDescent="0.2">
      <c r="A9" s="689">
        <f>'BOQ-OFFICE BUILDING (Civil)'!A11</f>
        <v>5</v>
      </c>
      <c r="B9" s="690" t="str">
        <f>'BOQ-OFFICE BUILDING (Civil)'!C11</f>
        <v>Stone Soling
(Refer Spec's  Section # 2505)
Stone filling dry hand packed as filling behind retaining walls or in pitching and aprons.</v>
      </c>
      <c r="C9" s="691">
        <f>'BOQ-OFFICE BUILDING (Civil)'!D11</f>
        <v>3300</v>
      </c>
      <c r="D9" s="689" t="str">
        <f>'BOQ-OFFICE BUILDING (Civil)'!E11</f>
        <v>%Cft.</v>
      </c>
      <c r="E9" s="692"/>
      <c r="F9" s="692"/>
      <c r="G9" s="692">
        <f>ROUND(C9*1.2,2)</f>
        <v>3960</v>
      </c>
      <c r="H9" s="692"/>
      <c r="I9" s="692"/>
    </row>
    <row r="10" spans="1:9" ht="114" x14ac:dyDescent="0.2">
      <c r="A10" s="689">
        <f>'BOQ-OFFICE BUILDING (Civil)'!A12</f>
        <v>6</v>
      </c>
      <c r="B10" s="690" t="str">
        <f>'BOQ-OFFICE BUILDING (Civil)'!C12</f>
        <v>1:4:8 in Foundation
(Refer Specs. Section # 3300)
Providing and laying lean concrete having 1450 PSI cylindrical strength (ready mixed concrete) including
placing compacting finishing, curing complete, screening and washing of crushed stone aggregate excluding the cost of shuttering.
Ratio. 1: 4 :8</v>
      </c>
      <c r="C10" s="691">
        <f>'BOQ-OFFICE BUILDING (Civil)'!D12</f>
        <v>3000</v>
      </c>
      <c r="D10" s="689" t="str">
        <f>'BOQ-OFFICE BUILDING (Civil)'!E12</f>
        <v>%Cft.</v>
      </c>
      <c r="E10" s="692">
        <f>ROUND(((C10*1.54)/13)/1.25,2)</f>
        <v>284.31</v>
      </c>
      <c r="F10" s="692"/>
      <c r="G10" s="692"/>
      <c r="H10" s="692">
        <f>ROUND(E10*1.25*4,2)</f>
        <v>1421.55</v>
      </c>
      <c r="I10" s="692">
        <f>ROUND(E10*1.25*8,2)</f>
        <v>2843.1</v>
      </c>
    </row>
    <row r="11" spans="1:9" ht="114" x14ac:dyDescent="0.2">
      <c r="A11" s="689">
        <f>'BOQ-OFFICE BUILDING (Civil)'!A13</f>
        <v>7</v>
      </c>
      <c r="B11" s="690" t="str">
        <f>'BOQ-OFFICE BUILDING (Civil)'!C13</f>
        <v>1:3:6 Cast - in - Situ
(Refer Specs. Section # 3300)
Providing and laying lean concrete having 2250 PSI cylindrical strength (ready mixed concrete) including
placing compacting finishing, curing complete, screening and washing of crushed stone aggregate excluding the cost of shuttering.
Ratio. 1:3 :6</v>
      </c>
      <c r="C11" s="691">
        <f>'BOQ-OFFICE BUILDING (Civil)'!D13</f>
        <v>5500</v>
      </c>
      <c r="D11" s="689" t="str">
        <f>'BOQ-OFFICE BUILDING (Civil)'!E13</f>
        <v>%Cft.</v>
      </c>
      <c r="E11" s="692">
        <f>ROUND(((C11*1.54)/10)/1.25,2)</f>
        <v>677.6</v>
      </c>
      <c r="F11" s="692"/>
      <c r="G11" s="692"/>
      <c r="H11" s="692">
        <f>ROUND(E11*1.25*3,2)</f>
        <v>2541</v>
      </c>
      <c r="I11" s="692">
        <f>ROUND(E11*1.25*6,2)</f>
        <v>5082</v>
      </c>
    </row>
    <row r="12" spans="1:9" ht="28.5" x14ac:dyDescent="0.2">
      <c r="A12" s="689">
        <f>'BOQ-OFFICE BUILDING (Civil)'!A14</f>
        <v>8</v>
      </c>
      <c r="B12" s="690" t="str">
        <f>'BOQ-OFFICE BUILDING (Civil)'!C14</f>
        <v>Erection and removal of centering for R.C.C or plain cement concrete works of Deodar wood (2nd-Class)</v>
      </c>
      <c r="C12" s="691">
        <f>'BOQ-OFFICE BUILDING (Civil)'!D14</f>
        <v>16418</v>
      </c>
      <c r="D12" s="689" t="str">
        <f>'BOQ-OFFICE BUILDING (Civil)'!E14</f>
        <v>%Sft.</v>
      </c>
      <c r="E12" s="692"/>
      <c r="F12" s="692"/>
      <c r="G12" s="692"/>
      <c r="H12" s="692"/>
      <c r="I12" s="692"/>
    </row>
    <row r="13" spans="1:9" ht="85.5" x14ac:dyDescent="0.2">
      <c r="A13" s="689">
        <f>'BOQ-OFFICE BUILDING (Civil)'!A15</f>
        <v>9</v>
      </c>
      <c r="B13" s="690" t="str">
        <f>'BOQ-OFFICE BUILDING (Civil)'!C15</f>
        <v>1:9 Sub Floor.
(Refer Specs. Section # 3300)
Cement concrete plain including placing compacting, finishing and curing, complete (including screening and washing at stone aggregate without shuttering.
Ratio. 1:3 :6</v>
      </c>
      <c r="C13" s="691"/>
      <c r="D13" s="689"/>
      <c r="E13" s="692"/>
      <c r="F13" s="692"/>
      <c r="G13" s="692"/>
      <c r="H13" s="692"/>
      <c r="I13" s="692"/>
    </row>
    <row r="14" spans="1:9" x14ac:dyDescent="0.2">
      <c r="A14" s="689" t="str">
        <f>'BOQ-OFFICE BUILDING (Civil)'!A16</f>
        <v>i</v>
      </c>
      <c r="B14" s="690" t="str">
        <f>'BOQ-OFFICE BUILDING (Civil)'!C16</f>
        <v>3"th</v>
      </c>
      <c r="C14" s="691">
        <f>'BOQ-OFFICE BUILDING (Civil)'!D16</f>
        <v>1650</v>
      </c>
      <c r="D14" s="689" t="str">
        <f>'BOQ-OFFICE BUILDING (Civil)'!E16</f>
        <v>%Cft.</v>
      </c>
      <c r="E14" s="692">
        <f>ROUND(((C14*1.54)/10)/1.25,2)</f>
        <v>203.28</v>
      </c>
      <c r="F14" s="692"/>
      <c r="G14" s="692"/>
      <c r="H14" s="692">
        <f>ROUND(E14*1.25*3,2)</f>
        <v>762.3</v>
      </c>
      <c r="I14" s="692">
        <f>ROUND(E14*1.25*6,2)</f>
        <v>1524.6</v>
      </c>
    </row>
    <row r="15" spans="1:9" x14ac:dyDescent="0.2">
      <c r="A15" s="689" t="str">
        <f>'BOQ-OFFICE BUILDING (Civil)'!A17</f>
        <v>ii</v>
      </c>
      <c r="B15" s="690" t="str">
        <f>'BOQ-OFFICE BUILDING (Civil)'!C17</f>
        <v>2"th</v>
      </c>
      <c r="C15" s="691">
        <f>'BOQ-OFFICE BUILDING (Civil)'!D17</f>
        <v>1122</v>
      </c>
      <c r="D15" s="689" t="str">
        <f>'BOQ-OFFICE BUILDING (Civil)'!E17</f>
        <v>%Cft.</v>
      </c>
      <c r="E15" s="692">
        <f>ROUND(((C15*1.54)/10)/1.25,2)</f>
        <v>138.22999999999999</v>
      </c>
      <c r="F15" s="692"/>
      <c r="G15" s="692"/>
      <c r="H15" s="692">
        <f>ROUND(E15*1.25*3,2)</f>
        <v>518.36</v>
      </c>
      <c r="I15" s="692">
        <f>ROUND(E15*1.25*6,2)</f>
        <v>1036.73</v>
      </c>
    </row>
    <row r="16" spans="1:9" ht="99.75" x14ac:dyDescent="0.2">
      <c r="A16" s="689">
        <f>'BOQ-OFFICE BUILDING (Civil)'!A18</f>
        <v>10</v>
      </c>
      <c r="B16" s="690" t="str">
        <f>'BOQ-OFFICE BUILDING (Civil)'!C18</f>
        <v xml:space="preserve">Reinforced Cement Concrete  (f'c 3.0 ksi, Cylindrical  Strength) (Refer Specs. Section # 3300)
Providing and laying reinforced cement concrete having 3000 PSI cylindrical strength (ready mixed concrete) including all kinds of fromwork, hoisting, placing, placing compacting, finishing, curing complete in all repect as shown on the </v>
      </c>
      <c r="C16" s="691"/>
      <c r="D16" s="689"/>
      <c r="E16" s="692"/>
      <c r="F16" s="692"/>
      <c r="G16" s="692"/>
      <c r="H16" s="692"/>
      <c r="I16" s="692"/>
    </row>
    <row r="17" spans="1:9" x14ac:dyDescent="0.2">
      <c r="A17" s="689" t="str">
        <f>'BOQ-OFFICE BUILDING (Civil)'!A19</f>
        <v>i</v>
      </c>
      <c r="B17" s="690" t="str">
        <f>'BOQ-OFFICE BUILDING (Civil)'!C19</f>
        <v>Footing</v>
      </c>
      <c r="C17" s="691">
        <f>'BOQ-OFFICE BUILDING (Civil)'!D19</f>
        <v>8700</v>
      </c>
      <c r="D17" s="689" t="str">
        <f>'BOQ-OFFICE BUILDING (Civil)'!E19</f>
        <v>%Cft.</v>
      </c>
      <c r="E17" s="692">
        <f>ROUND(((C17*1.54)/7)/1.25,2)</f>
        <v>1531.2</v>
      </c>
      <c r="F17" s="692"/>
      <c r="G17" s="692"/>
      <c r="H17" s="692">
        <f>ROUND(E17*1.25*2,2)</f>
        <v>3828</v>
      </c>
      <c r="I17" s="692">
        <f>ROUND(E17*1.25*4,2)</f>
        <v>7656</v>
      </c>
    </row>
    <row r="18" spans="1:9" ht="71.25" x14ac:dyDescent="0.2">
      <c r="A18" s="689">
        <f>'BOQ-OFFICE BUILDING (Civil)'!A20</f>
        <v>11</v>
      </c>
      <c r="B18" s="690" t="str">
        <f>'BOQ-OFFICE BUILDING (Civil)'!C20</f>
        <v>Providing and laying reinforced cement concrete having 3000 PSI cylindrical strength (ready mixed concrete) including all kinds of formwork, hoisting, placing, placing compacting, finishing, curing complete in all respect as shown on the drawing.</v>
      </c>
      <c r="C18" s="691"/>
      <c r="D18" s="689"/>
      <c r="E18" s="692"/>
      <c r="F18" s="692"/>
      <c r="G18" s="692"/>
      <c r="H18" s="692"/>
      <c r="I18" s="692"/>
    </row>
    <row r="19" spans="1:9" x14ac:dyDescent="0.2">
      <c r="A19" s="689" t="str">
        <f>'BOQ-OFFICE BUILDING (Civil)'!A21</f>
        <v>i</v>
      </c>
      <c r="B19" s="690" t="str">
        <f>'BOQ-OFFICE BUILDING (Civil)'!C21</f>
        <v>Plinth Beams</v>
      </c>
      <c r="C19" s="691">
        <f>'BOQ-OFFICE BUILDING (Civil)'!D21</f>
        <v>6000</v>
      </c>
      <c r="D19" s="689" t="str">
        <f>'BOQ-OFFICE BUILDING (Civil)'!E21</f>
        <v>%Cft.</v>
      </c>
      <c r="E19" s="692">
        <f>ROUND(((C19*1.54)/7)/1.25,2)</f>
        <v>1056</v>
      </c>
      <c r="F19" s="692"/>
      <c r="G19" s="692"/>
      <c r="H19" s="692">
        <f>ROUND(E19*1.25*2,2)</f>
        <v>2640</v>
      </c>
      <c r="I19" s="692">
        <f>ROUND(E19*1.25*4,2)</f>
        <v>5280</v>
      </c>
    </row>
    <row r="20" spans="1:9" x14ac:dyDescent="0.2">
      <c r="A20" s="689" t="str">
        <f>'BOQ-OFFICE BUILDING (Civil)'!A22</f>
        <v>ii</v>
      </c>
      <c r="B20" s="690" t="str">
        <f>'BOQ-OFFICE BUILDING (Civil)'!C22</f>
        <v>Column  under Plinth</v>
      </c>
      <c r="C20" s="691">
        <f>'BOQ-OFFICE BUILDING (Civil)'!D22</f>
        <v>475</v>
      </c>
      <c r="D20" s="689" t="str">
        <f>'BOQ-OFFICE BUILDING (Civil)'!E22</f>
        <v>%Cft.</v>
      </c>
      <c r="E20" s="692">
        <f>ROUND(((C20*1.54)/7)/1.25,2)</f>
        <v>83.6</v>
      </c>
      <c r="F20" s="692"/>
      <c r="G20" s="692"/>
      <c r="H20" s="692">
        <f>ROUND(E20*1.25*2,2)</f>
        <v>209</v>
      </c>
      <c r="I20" s="692">
        <f>ROUND(E20*1.25*4,2)</f>
        <v>418</v>
      </c>
    </row>
    <row r="21" spans="1:9" x14ac:dyDescent="0.2">
      <c r="A21" s="689" t="str">
        <f>'BOQ-OFFICE BUILDING (Civil)'!A23</f>
        <v>iii</v>
      </c>
      <c r="B21" s="690" t="str">
        <f>'BOQ-OFFICE BUILDING (Civil)'!C23</f>
        <v>SOG 6" Thick</v>
      </c>
      <c r="C21" s="691">
        <f>'BOQ-OFFICE BUILDING (Civil)'!D23</f>
        <v>3300</v>
      </c>
      <c r="D21" s="689" t="str">
        <f>'BOQ-OFFICE BUILDING (Civil)'!E23</f>
        <v>%Cft.</v>
      </c>
      <c r="E21" s="692">
        <f>ROUND(((C21*1.54)/7)/1.25,2)</f>
        <v>580.79999999999995</v>
      </c>
      <c r="F21" s="692"/>
      <c r="G21" s="692"/>
      <c r="H21" s="692">
        <f>ROUND(E21*1.25*2,2)</f>
        <v>1452</v>
      </c>
      <c r="I21" s="692">
        <f>ROUND(E21*1.25*4,2)</f>
        <v>2904</v>
      </c>
    </row>
    <row r="22" spans="1:9" x14ac:dyDescent="0.2">
      <c r="A22" s="689">
        <f>'BOQ-OFFICE BUILDING (Civil)'!A24</f>
        <v>0</v>
      </c>
      <c r="B22" s="690" t="str">
        <f>'BOQ-OFFICE BUILDING (Civil)'!C24</f>
        <v>In Super Structure (Using O.P. Cement)</v>
      </c>
      <c r="C22" s="691"/>
      <c r="D22" s="689"/>
      <c r="E22" s="692"/>
      <c r="F22" s="692"/>
      <c r="G22" s="692"/>
      <c r="H22" s="692"/>
      <c r="I22" s="692"/>
    </row>
    <row r="23" spans="1:9" x14ac:dyDescent="0.2">
      <c r="A23" s="689" t="str">
        <f>'BOQ-OFFICE BUILDING (Civil)'!A25</f>
        <v>i</v>
      </c>
      <c r="B23" s="690" t="str">
        <f>'BOQ-OFFICE BUILDING (Civil)'!C25</f>
        <v>Columns</v>
      </c>
      <c r="C23" s="691">
        <f>'BOQ-OFFICE BUILDING (Civil)'!D25</f>
        <v>1900</v>
      </c>
      <c r="D23" s="689" t="str">
        <f>'BOQ-OFFICE BUILDING (Civil)'!E25</f>
        <v>%Cft.</v>
      </c>
      <c r="E23" s="692">
        <f>ROUND(((C23*1.54)/7)/1.25,2)</f>
        <v>334.4</v>
      </c>
      <c r="F23" s="692"/>
      <c r="G23" s="692"/>
      <c r="H23" s="692">
        <f>ROUND(E23*1.25*2,2)</f>
        <v>836</v>
      </c>
      <c r="I23" s="692">
        <f>ROUND(E23*1.25*4,2)</f>
        <v>1672</v>
      </c>
    </row>
    <row r="24" spans="1:9" x14ac:dyDescent="0.2">
      <c r="A24" s="689" t="str">
        <f>'BOQ-OFFICE BUILDING (Civil)'!A26</f>
        <v>ii</v>
      </c>
      <c r="B24" s="690" t="str">
        <f>'BOQ-OFFICE BUILDING (Civil)'!C26</f>
        <v>Beams</v>
      </c>
      <c r="C24" s="691">
        <f>'BOQ-OFFICE BUILDING (Civil)'!D26</f>
        <v>1000</v>
      </c>
      <c r="D24" s="689" t="str">
        <f>'BOQ-OFFICE BUILDING (Civil)'!E26</f>
        <v>%Cft.</v>
      </c>
      <c r="E24" s="692">
        <f>ROUND(((C24*1.54)/7)/1.25,2)</f>
        <v>176</v>
      </c>
      <c r="F24" s="692"/>
      <c r="G24" s="692"/>
      <c r="H24" s="692">
        <f>ROUND(E24*1.25*2,2)</f>
        <v>440</v>
      </c>
      <c r="I24" s="692">
        <f>ROUND(E24*1.25*4,2)</f>
        <v>880</v>
      </c>
    </row>
    <row r="25" spans="1:9" x14ac:dyDescent="0.2">
      <c r="A25" s="689">
        <f>'BOQ-OFFICE BUILDING (Civil)'!A27</f>
        <v>0</v>
      </c>
      <c r="B25" s="690" t="str">
        <f>'BOQ-OFFICE BUILDING (Civil)'!C27</f>
        <v>Slab</v>
      </c>
      <c r="C25" s="691"/>
      <c r="D25" s="689"/>
      <c r="E25" s="692"/>
      <c r="F25" s="692"/>
      <c r="G25" s="692"/>
      <c r="H25" s="692"/>
      <c r="I25" s="692"/>
    </row>
    <row r="26" spans="1:9" x14ac:dyDescent="0.2">
      <c r="A26" s="689" t="str">
        <f>'BOQ-OFFICE BUILDING (Civil)'!A28</f>
        <v>iii</v>
      </c>
      <c r="B26" s="690" t="str">
        <f>'BOQ-OFFICE BUILDING (Civil)'!C28</f>
        <v>8"thick</v>
      </c>
      <c r="C26" s="691">
        <f>'BOQ-OFFICE BUILDING (Civil)'!D28</f>
        <v>8300</v>
      </c>
      <c r="D26" s="689" t="str">
        <f>'BOQ-OFFICE BUILDING (Civil)'!E28</f>
        <v>%Cft.</v>
      </c>
      <c r="E26" s="692">
        <f>ROUND(((C26*1.54)/7)/1.25,2)</f>
        <v>1460.8</v>
      </c>
      <c r="F26" s="692"/>
      <c r="G26" s="692"/>
      <c r="H26" s="692">
        <f>ROUND(E26*1.25*2,2)</f>
        <v>3652</v>
      </c>
      <c r="I26" s="692">
        <f>ROUND(E26*1.25*4,2)</f>
        <v>7304</v>
      </c>
    </row>
    <row r="27" spans="1:9" x14ac:dyDescent="0.2">
      <c r="A27" s="689" t="str">
        <f>'BOQ-OFFICE BUILDING (Civil)'!A29</f>
        <v>iv</v>
      </c>
      <c r="B27" s="690" t="str">
        <f>'BOQ-OFFICE BUILDING (Civil)'!C29</f>
        <v>Staircase</v>
      </c>
      <c r="C27" s="691">
        <f>'BOQ-OFFICE BUILDING (Civil)'!D29</f>
        <v>515</v>
      </c>
      <c r="D27" s="689" t="str">
        <f>'BOQ-OFFICE BUILDING (Civil)'!E29</f>
        <v>%Cft.</v>
      </c>
      <c r="E27" s="692">
        <f>ROUND(((C27*1.54)/7)/1.25,2)</f>
        <v>90.64</v>
      </c>
      <c r="F27" s="692"/>
      <c r="G27" s="692"/>
      <c r="H27" s="692">
        <f>ROUND(E27*1.25*2,2)</f>
        <v>226.6</v>
      </c>
      <c r="I27" s="692">
        <f>ROUND(E27*1.25*4,2)</f>
        <v>453.2</v>
      </c>
    </row>
    <row r="28" spans="1:9" x14ac:dyDescent="0.2">
      <c r="A28" s="689" t="str">
        <f>'BOQ-OFFICE BUILDING (Civil)'!A30</f>
        <v>v</v>
      </c>
      <c r="B28" s="690" t="str">
        <f>'BOQ-OFFICE BUILDING (Civil)'!C30</f>
        <v>Lintle</v>
      </c>
      <c r="C28" s="691">
        <f>'BOQ-OFFICE BUILDING (Civil)'!D30</f>
        <v>300</v>
      </c>
      <c r="D28" s="689" t="str">
        <f>'BOQ-OFFICE BUILDING (Civil)'!E30</f>
        <v>%Cft.</v>
      </c>
      <c r="E28" s="692">
        <f>ROUND(((C28*1.54)/7)/1.25,2)</f>
        <v>52.8</v>
      </c>
      <c r="F28" s="692"/>
      <c r="G28" s="692"/>
      <c r="H28" s="692">
        <f>ROUND(E28*1.25*2,2)</f>
        <v>132</v>
      </c>
      <c r="I28" s="692">
        <f>ROUND(E28*1.25*4,2)</f>
        <v>264</v>
      </c>
    </row>
    <row r="29" spans="1:9" ht="85.5" x14ac:dyDescent="0.2">
      <c r="A29" s="689">
        <f>'BOQ-OFFICE BUILDING (Civil)'!A31</f>
        <v>12</v>
      </c>
      <c r="B29" s="690" t="str">
        <f>'BOQ-OFFICE BUILDING (Civil)'!C31</f>
        <v>Reinforcement Bars
(Refer Specs. Section # 3300)
Fabrication of steel (defromed Bar) reinforcement for cement concrete including cutting,bending,laying in position, making joints and fastenings including cost of binding wire (also includes removeal of rast of bars.</v>
      </c>
      <c r="C29" s="691">
        <f>'BOQ-OFFICE BUILDING (Civil)'!D31</f>
        <v>113</v>
      </c>
      <c r="D29" s="689" t="str">
        <f>'BOQ-OFFICE BUILDING (Civil)'!E31</f>
        <v>Ton.</v>
      </c>
      <c r="E29" s="692"/>
      <c r="F29" s="692">
        <f>C29</f>
        <v>113</v>
      </c>
      <c r="G29" s="692"/>
      <c r="H29" s="692"/>
      <c r="I29" s="692"/>
    </row>
    <row r="30" spans="1:9" ht="85.5" x14ac:dyDescent="0.2">
      <c r="A30" s="689">
        <f>'BOQ-OFFICE BUILDING (Civil)'!A32</f>
        <v>13</v>
      </c>
      <c r="B30" s="690" t="str">
        <f>'BOQ-OFFICE BUILDING (Civil)'!C32</f>
        <v>Block Masonry
(Refer Spec's Section # 4050 &amp; 4200)
Providing and laying 1 :3 : 6 cement concrete solid block masorany wall above 6" in thickness set in 1 :6 cement sand mortar in ground floor superstructure including raking out joints and curing etc. complete.</v>
      </c>
      <c r="C30" s="691">
        <f>'BOQ-OFFICE BUILDING (Civil)'!D32</f>
        <v>0</v>
      </c>
      <c r="D30" s="689">
        <f>'BOQ-OFFICE BUILDING (Civil)'!E32</f>
        <v>0</v>
      </c>
      <c r="E30" s="692"/>
      <c r="F30" s="692"/>
      <c r="G30" s="692"/>
      <c r="H30" s="692"/>
      <c r="I30" s="692"/>
    </row>
    <row r="31" spans="1:9" x14ac:dyDescent="0.2">
      <c r="A31" s="689" t="str">
        <f>'BOQ-OFFICE BUILDING (Civil)'!A33</f>
        <v>i</v>
      </c>
      <c r="B31" s="690" t="str">
        <f>'BOQ-OFFICE BUILDING (Civil)'!C33</f>
        <v>6" thick</v>
      </c>
      <c r="C31" s="691">
        <f>'BOQ-OFFICE BUILDING (Civil)'!D33</f>
        <v>4450</v>
      </c>
      <c r="D31" s="689" t="str">
        <f>'BOQ-OFFICE BUILDING (Civil)'!E33</f>
        <v>%Cft.</v>
      </c>
      <c r="E31" s="692">
        <f>ROUND(((C31*1.54)/10)/1.25,2)</f>
        <v>548.24</v>
      </c>
      <c r="F31" s="692"/>
      <c r="G31" s="692"/>
      <c r="H31" s="692">
        <f>ROUND(E31*1.25*3,2)</f>
        <v>2055.9</v>
      </c>
      <c r="I31" s="692">
        <f>ROUND(E31*1.25*6,2)</f>
        <v>4111.8</v>
      </c>
    </row>
    <row r="32" spans="1:9" x14ac:dyDescent="0.2">
      <c r="A32" s="689" t="str">
        <f>'BOQ-OFFICE BUILDING (Civil)'!A34</f>
        <v>ii</v>
      </c>
      <c r="B32" s="690" t="str">
        <f>'BOQ-OFFICE BUILDING (Civil)'!C34</f>
        <v>4" thick</v>
      </c>
      <c r="C32" s="691">
        <f>'BOQ-OFFICE BUILDING (Civil)'!D34</f>
        <v>231</v>
      </c>
      <c r="D32" s="689" t="str">
        <f>'BOQ-OFFICE BUILDING (Civil)'!E34</f>
        <v>%Cft.</v>
      </c>
      <c r="E32" s="692">
        <f>ROUND(((C32*1.54)/10)/1.25,2)</f>
        <v>28.46</v>
      </c>
      <c r="F32" s="692"/>
      <c r="G32" s="692"/>
      <c r="H32" s="692">
        <f>ROUND(E32*1.25*3,2)</f>
        <v>106.73</v>
      </c>
      <c r="I32" s="692">
        <f>ROUND(E32*1.25*6,2)</f>
        <v>213.45</v>
      </c>
    </row>
    <row r="33" spans="1:9" ht="71.25" x14ac:dyDescent="0.2">
      <c r="A33" s="689">
        <f>'BOQ-OFFICE BUILDING (Civil)'!A35</f>
        <v>14</v>
      </c>
      <c r="B33" s="690" t="str">
        <f>'BOQ-OFFICE BUILDING (Civil)'!C35</f>
        <v>Cement Concrete Plateform (Refer Specs. Section # 3300)
Providing and laying 1 :3 : 6 Cement concrete solid Block masorany wall above 6" in thickness set. In 1 : 6 cement mortar in G.F ground floor superstructure including raking out joints &amp; curing etc,</v>
      </c>
      <c r="C33" s="691">
        <f>'BOQ-OFFICE BUILDING (Civil)'!D35</f>
        <v>17</v>
      </c>
      <c r="D33" s="689" t="str">
        <f>'BOQ-OFFICE BUILDING (Civil)'!E35</f>
        <v>%Cft.</v>
      </c>
      <c r="E33" s="692">
        <f>ROUND(((C33*1.54)/10)/1.25,2)</f>
        <v>2.09</v>
      </c>
      <c r="F33" s="692"/>
      <c r="G33" s="692"/>
      <c r="H33" s="692">
        <f>ROUND(E33*1.25*3,2)</f>
        <v>7.84</v>
      </c>
      <c r="I33" s="692">
        <f>ROUND(E33*1.25*6,2)</f>
        <v>15.68</v>
      </c>
    </row>
    <row r="34" spans="1:9" ht="99.75" x14ac:dyDescent="0.2">
      <c r="A34" s="689">
        <f>'BOQ-OFFICE BUILDING (Civil)'!A36</f>
        <v>15</v>
      </c>
      <c r="B34" s="690" t="str">
        <f>'BOQ-OFFICE BUILDING (Civil)'!C36</f>
        <v>Structural Steel Work
(Refer Spec's Section # 5120 &amp; 5500)
Fabrication of heavy steel work with angles, tees, flat iron, round iron and sheet iron for making trusses, girders, tands etc. including cutting, tanks etc. including cutting, drilling rivetting, handling assembling  and fixing but excluding erection in position. For Photo Volatile Solar System</v>
      </c>
      <c r="C34" s="691">
        <f>'BOQ-OFFICE BUILDING (Civil)'!D36</f>
        <v>34.200000000000003</v>
      </c>
      <c r="D34" s="689" t="str">
        <f>'BOQ-OFFICE BUILDING (Civil)'!E36</f>
        <v>Ton</v>
      </c>
      <c r="E34" s="692"/>
      <c r="F34" s="692">
        <f>C34</f>
        <v>34.200000000000003</v>
      </c>
      <c r="G34" s="692"/>
      <c r="H34" s="692"/>
      <c r="I34" s="692"/>
    </row>
    <row r="35" spans="1:9" ht="28.5" x14ac:dyDescent="0.2">
      <c r="A35" s="689">
        <f>'BOQ-OFFICE BUILDING (Civil)'!A37</f>
        <v>16</v>
      </c>
      <c r="B35" s="690" t="str">
        <f>'BOQ-OFFICE BUILDING (Civil)'!C37</f>
        <v>Erection and fitting in position of iron trusses staging of water tanks etc.</v>
      </c>
      <c r="C35" s="691">
        <f>'BOQ-OFFICE BUILDING (Civil)'!D37</f>
        <v>34.200000000000003</v>
      </c>
      <c r="D35" s="689" t="str">
        <f>'BOQ-OFFICE BUILDING (Civil)'!E37</f>
        <v>Ton.</v>
      </c>
      <c r="E35" s="692"/>
      <c r="F35" s="692"/>
      <c r="G35" s="692"/>
      <c r="H35" s="692"/>
      <c r="I35" s="692"/>
    </row>
    <row r="36" spans="1:9" ht="42.75" x14ac:dyDescent="0.2">
      <c r="A36" s="689">
        <f>'BOQ-OFFICE BUILDING (Civil)'!A38</f>
        <v>17</v>
      </c>
      <c r="B36" s="690" t="str">
        <f>'BOQ-OFFICE BUILDING (Civil)'!C38</f>
        <v>Preparing surface and painting gaurd bars gates, iron bars gratting, railings (including Priming Coat with two coat of Plastic Emulsion / anticorrosive paint)</v>
      </c>
      <c r="C36" s="691">
        <f>'BOQ-OFFICE BUILDING (Civil)'!D38</f>
        <v>3420</v>
      </c>
      <c r="D36" s="689" t="str">
        <f>'BOQ-OFFICE BUILDING (Civil)'!E38</f>
        <v>%Sft.</v>
      </c>
      <c r="E36" s="692"/>
      <c r="F36" s="692"/>
      <c r="G36" s="692"/>
      <c r="H36" s="692"/>
      <c r="I36" s="692"/>
    </row>
    <row r="37" spans="1:9" ht="156.75" x14ac:dyDescent="0.2">
      <c r="A37" s="689">
        <f>'BOQ-OFFICE BUILDING (Civil)'!A39</f>
        <v>18</v>
      </c>
      <c r="B37" s="690" t="str">
        <f>'BOQ-OFFICE BUILDING (Civil)'!C39</f>
        <v>M.S. Railing for staircase
(Refer Spec's Section # 5120 &amp; 5500)
Providing, fabricating and fixing Mild Steel railing using 3/4" square bar (vertical) at 6" c/c bolted with  6"  x  6"  x  1/2"  thick  M.S.  plate  at  alternate steps  including  3/4"  square  bar  top  &amp;  bottom bracing and 2" dia M.S. pipe top hand rail, (All
M.S.  members  shall  have  sprayed  on  Enamel paint finished over a base coat of Zinc chromate including   all   necessary   hardware   and   fixing arrangements  as  shown  on  drawings  and  as directed by the Consultants.</v>
      </c>
      <c r="C37" s="691">
        <f>'BOQ-OFFICE BUILDING (Civil)'!D39</f>
        <v>675</v>
      </c>
      <c r="D37" s="689" t="str">
        <f>'BOQ-OFFICE BUILDING (Civil)'!E39</f>
        <v>Kg.</v>
      </c>
      <c r="E37" s="692"/>
      <c r="F37" s="692">
        <f>ROUND(C37/1000,2)</f>
        <v>0.68</v>
      </c>
      <c r="G37" s="692"/>
      <c r="H37" s="692"/>
      <c r="I37" s="692"/>
    </row>
    <row r="38" spans="1:9" ht="85.5" x14ac:dyDescent="0.2">
      <c r="A38" s="689">
        <f>'BOQ-OFFICE BUILDING (Civil)'!A40</f>
        <v>19</v>
      </c>
      <c r="B38" s="690" t="str">
        <f>'BOQ-OFFICE BUILDING (Civil)'!C40</f>
        <v>Damp Proof Course (Bitumen Coating). (Refer Spec's Section # 7100)
Providing and applying 1/8" thick damp proof course using  AHS  hycarb  bitumen  (60  lbs/100  Sft)  on  top  of interior  and  exterior  Plinth  beams,  complete  as  per drawing and as directed by the Consultants.</v>
      </c>
      <c r="C38" s="691">
        <f>'BOQ-OFFICE BUILDING (Civil)'!D40</f>
        <v>2000</v>
      </c>
      <c r="D38" s="689" t="str">
        <f>'BOQ-OFFICE BUILDING (Civil)'!E40</f>
        <v>%Sft.</v>
      </c>
      <c r="E38" s="692"/>
      <c r="F38" s="692"/>
      <c r="G38" s="692"/>
      <c r="H38" s="692"/>
      <c r="I38" s="692"/>
    </row>
    <row r="39" spans="1:9" ht="42.75" x14ac:dyDescent="0.2">
      <c r="A39" s="689">
        <f>'BOQ-OFFICE BUILDING (Civil)'!A41</f>
        <v>20</v>
      </c>
      <c r="B39" s="690" t="str">
        <f>'BOQ-OFFICE BUILDING (Civil)'!C41</f>
        <v>Bitumen Coating
(Refer Spec's Section # 7100)
Bitumen coating to plastered or cement concrete surface.</v>
      </c>
      <c r="C39" s="691">
        <f>'BOQ-OFFICE BUILDING (Civil)'!D41</f>
        <v>23800</v>
      </c>
      <c r="D39" s="689" t="str">
        <f>'BOQ-OFFICE BUILDING (Civil)'!E41</f>
        <v>%Sft.</v>
      </c>
      <c r="E39" s="692"/>
      <c r="F39" s="692"/>
      <c r="G39" s="692"/>
      <c r="H39" s="692"/>
      <c r="I39" s="692"/>
    </row>
    <row r="40" spans="1:9" ht="57" x14ac:dyDescent="0.2">
      <c r="A40" s="689">
        <f>'BOQ-OFFICE BUILDING (Civil)'!A42</f>
        <v>21</v>
      </c>
      <c r="B40" s="690" t="str">
        <f>'BOQ-OFFICE BUILDING (Civil)'!C42</f>
        <v>Water Proofing Under SOG (Refer Spec's Section # 7100)
Providing and laying single per layer of polythene sheet 0.13 mm thick for water proffing as per specification and instructions of Engineer incharge.</v>
      </c>
      <c r="C40" s="691">
        <f>'BOQ-OFFICE BUILDING (Civil)'!D42</f>
        <v>15000</v>
      </c>
      <c r="D40" s="689" t="str">
        <f>'BOQ-OFFICE BUILDING (Civil)'!E42</f>
        <v>Sft.</v>
      </c>
      <c r="E40" s="692"/>
      <c r="F40" s="692"/>
      <c r="G40" s="692"/>
      <c r="H40" s="692"/>
      <c r="I40" s="692"/>
    </row>
    <row r="41" spans="1:9" ht="85.5" x14ac:dyDescent="0.2">
      <c r="A41" s="689">
        <f>'BOQ-OFFICE BUILDING (Civil)'!A43</f>
        <v>22</v>
      </c>
      <c r="B41" s="690" t="str">
        <f>'BOQ-OFFICE BUILDING (Civil)'!C43</f>
        <v>Roofing Treatment
(Refer Spec's Section #  7560)
Single layer of tiles 9" x4 1/2" x 2" laid over 4" earth 1" mud plaster without Bhoosa grouted with cement sand 1:3 on top of R.C.C slab provide with 34 Lbs. Bitumen coating sand blinded.</v>
      </c>
      <c r="C41" s="691">
        <f>'BOQ-OFFICE BUILDING (Civil)'!D43</f>
        <v>8400</v>
      </c>
      <c r="D41" s="689" t="str">
        <f>'BOQ-OFFICE BUILDING (Civil)'!E43</f>
        <v>%Sft.</v>
      </c>
      <c r="E41" s="692">
        <f>ROUND(C41*0.25*1.54/4/1.25,2)</f>
        <v>646.79999999999995</v>
      </c>
      <c r="F41" s="692"/>
      <c r="G41" s="692"/>
      <c r="H41" s="692">
        <f>ROUND(E41*1.25*3,2)</f>
        <v>2425.5</v>
      </c>
      <c r="I41" s="692"/>
    </row>
    <row r="42" spans="1:9" ht="57" x14ac:dyDescent="0.2">
      <c r="A42" s="689">
        <f>'BOQ-OFFICE BUILDING (Civil)'!A44</f>
        <v>23</v>
      </c>
      <c r="B42" s="690" t="str">
        <f>'BOQ-OFFICE BUILDING (Civil)'!C44</f>
        <v>Roofing Treatment
(Refer Spec's Section #  7560)
Providing and laying 1" thick topping cement concrete (1:2:4) including Surface finishing and dividing into panels:</v>
      </c>
      <c r="C42" s="691"/>
      <c r="D42" s="689"/>
      <c r="E42" s="692"/>
      <c r="F42" s="692"/>
      <c r="G42" s="692"/>
      <c r="H42" s="692"/>
      <c r="I42" s="692"/>
    </row>
    <row r="43" spans="1:9" x14ac:dyDescent="0.2">
      <c r="A43" s="689" t="str">
        <f>'BOQ-OFFICE BUILDING (Civil)'!A45</f>
        <v>i</v>
      </c>
      <c r="B43" s="690" t="str">
        <f>'BOQ-OFFICE BUILDING (Civil)'!C45</f>
        <v>2" thick</v>
      </c>
      <c r="C43" s="691">
        <f>'BOQ-OFFICE BUILDING (Civil)'!D45</f>
        <v>8400</v>
      </c>
      <c r="D43" s="689" t="str">
        <f>'BOQ-OFFICE BUILDING (Civil)'!E45</f>
        <v>%Sft.</v>
      </c>
      <c r="E43" s="692">
        <f>ROUND(C43*0.17*1.54/7/1.25,2)</f>
        <v>251.33</v>
      </c>
      <c r="F43" s="692"/>
      <c r="G43" s="692"/>
      <c r="H43" s="692">
        <f>ROUND(E43*1.25*2,2)</f>
        <v>628.33000000000004</v>
      </c>
      <c r="I43" s="692">
        <f>ROUND(H43*2,2)</f>
        <v>1256.6600000000001</v>
      </c>
    </row>
    <row r="44" spans="1:9" ht="114" x14ac:dyDescent="0.2">
      <c r="A44" s="689">
        <f>'BOQ-OFFICE BUILDING (Civil)'!A46</f>
        <v>24</v>
      </c>
      <c r="B44" s="690" t="str">
        <f>'BOQ-OFFICE BUILDING (Civil)'!C46</f>
        <v>Metal Door Frames
(Refer Spec's Section # 8100)
Provinding and fixing G.I frames/Choukhats of size 8" x 2" or 4 1/2" x 3" for windows using 20 guage G.I sheet I/c welded hinges and fixing at site with necessary hold fasts, filling with cement sand slurry of ratio 1:6 and repairing the jambs. The cost also i/c all carriage, tools and plants used in making and fixing.</v>
      </c>
      <c r="C44" s="691"/>
      <c r="D44" s="689"/>
      <c r="E44" s="692"/>
      <c r="F44" s="692"/>
      <c r="G44" s="692"/>
      <c r="H44" s="692"/>
      <c r="I44" s="692"/>
    </row>
    <row r="45" spans="1:9" x14ac:dyDescent="0.2">
      <c r="A45" s="689" t="str">
        <f>'BOQ-OFFICE BUILDING (Civil)'!A47</f>
        <v>i</v>
      </c>
      <c r="B45" s="690" t="str">
        <f>'BOQ-OFFICE BUILDING (Civil)'!C47</f>
        <v>Size: 8" x 2"</v>
      </c>
      <c r="C45" s="691">
        <f>'BOQ-OFFICE BUILDING (Civil)'!D47</f>
        <v>450</v>
      </c>
      <c r="D45" s="689" t="str">
        <f>'BOQ-OFFICE BUILDING (Civil)'!E47</f>
        <v>Rft.</v>
      </c>
      <c r="E45" s="692"/>
      <c r="F45" s="692"/>
      <c r="G45" s="692"/>
      <c r="H45" s="692"/>
      <c r="I45" s="692"/>
    </row>
    <row r="46" spans="1:9" ht="128.25" x14ac:dyDescent="0.2">
      <c r="A46" s="689">
        <f>'BOQ-OFFICE BUILDING (Civil)'!A48</f>
        <v>25</v>
      </c>
      <c r="B46" s="690" t="str">
        <f>'BOQ-OFFICE BUILDING (Civil)'!C48</f>
        <v>Solid Core Door
(Refer Spec's Section # 8200)
Providing and fixing in position doors, windows and ventilators of 1st. Class deodar wood frames and 1-1/2" thick Teak wood ply shutters of 2nd class deodar wood skeleton (solid) styles and rails core of partal wood and Teak ply wood  (3-ply) on both sides i/c hold fasts, hinges, iron tower bolts, handles and cleats with cord etc. complete.</v>
      </c>
      <c r="C46" s="691"/>
      <c r="D46" s="689"/>
      <c r="E46" s="692"/>
      <c r="F46" s="692"/>
      <c r="G46" s="692"/>
      <c r="H46" s="692"/>
      <c r="I46" s="692"/>
    </row>
    <row r="47" spans="1:9" x14ac:dyDescent="0.2">
      <c r="A47" s="689" t="str">
        <f>'BOQ-OFFICE BUILDING (Civil)'!A49</f>
        <v>i</v>
      </c>
      <c r="B47" s="690" t="str">
        <f>'BOQ-OFFICE BUILDING (Civil)'!C49</f>
        <v>D1   = 3'-3" x 7'-0"</v>
      </c>
      <c r="C47" s="691">
        <f>'BOQ-OFFICE BUILDING (Civil)'!D49</f>
        <v>250</v>
      </c>
      <c r="D47" s="689" t="str">
        <f>'BOQ-OFFICE BUILDING (Civil)'!E49</f>
        <v>Sft.</v>
      </c>
      <c r="E47" s="692"/>
      <c r="F47" s="692"/>
      <c r="G47" s="692"/>
      <c r="H47" s="692"/>
      <c r="I47" s="692"/>
    </row>
    <row r="48" spans="1:9" x14ac:dyDescent="0.2">
      <c r="A48" s="689" t="str">
        <f>'BOQ-OFFICE BUILDING (Civil)'!A50</f>
        <v>ii</v>
      </c>
      <c r="B48" s="690" t="str">
        <f>'BOQ-OFFICE BUILDING (Civil)'!C50</f>
        <v>D2   = 2'-9" x 7'-0"</v>
      </c>
      <c r="C48" s="691">
        <f>'BOQ-OFFICE BUILDING (Civil)'!D50</f>
        <v>250</v>
      </c>
      <c r="D48" s="689" t="str">
        <f>'BOQ-OFFICE BUILDING (Civil)'!E50</f>
        <v>Sft.</v>
      </c>
      <c r="E48" s="692"/>
      <c r="F48" s="692"/>
      <c r="G48" s="692"/>
      <c r="H48" s="692"/>
      <c r="I48" s="692"/>
    </row>
    <row r="49" spans="1:9" ht="57" x14ac:dyDescent="0.2">
      <c r="A49" s="689">
        <f>'BOQ-OFFICE BUILDING (Civil)'!A51</f>
        <v>26</v>
      </c>
      <c r="B49" s="690" t="str">
        <f>'BOQ-OFFICE BUILDING (Civil)'!C51</f>
        <v>Fixed Glazing (Internal) (Refer Spec's Section # 8800)
Providing and fixing in position fixing glass glazing in 1st class deodar wooden frame and patties frame section 7 1/2 sq inches, etc. complete size of glass 1/4" thick.</v>
      </c>
      <c r="C49" s="691">
        <f>'BOQ-OFFICE BUILDING (Civil)'!D51</f>
        <v>1000</v>
      </c>
      <c r="D49" s="689" t="str">
        <f>'BOQ-OFFICE BUILDING (Civil)'!E51</f>
        <v>Sft.</v>
      </c>
      <c r="E49" s="692"/>
      <c r="F49" s="692"/>
      <c r="G49" s="692"/>
      <c r="H49" s="692"/>
      <c r="I49" s="692"/>
    </row>
    <row r="50" spans="1:9" ht="128.25" x14ac:dyDescent="0.2">
      <c r="A50" s="689">
        <f>'BOQ-OFFICE BUILDING (Civil)'!A52</f>
        <v>27</v>
      </c>
      <c r="B50" s="690" t="str">
        <f>'BOQ-OFFICE BUILDING (Civil)'!C52</f>
        <v>Aluminum Windows / Ventilators (Refer Spec's Section # 8520)
Providing  and  fixing  aluminum  glazed  windows and ventilators using natural anodized aluminum (openable/fixed)  with  fly  proof  shutters  section as  approved  by  the  Architects  including  6mm thick   clear   glass   with   all   necessary   fixing arrangents      including      approved      quality hardwares,  handles,  latches  etc.  Complete  as per drawing and as directed by Consultants.</v>
      </c>
      <c r="C50" s="691">
        <f>'BOQ-OFFICE BUILDING (Civil)'!D52</f>
        <v>1300</v>
      </c>
      <c r="D50" s="689" t="str">
        <f>'BOQ-OFFICE BUILDING (Civil)'!E52</f>
        <v>Sft.</v>
      </c>
      <c r="E50" s="692"/>
      <c r="F50" s="692"/>
      <c r="G50" s="692"/>
      <c r="H50" s="692"/>
      <c r="I50" s="692"/>
    </row>
    <row r="51" spans="1:9" ht="42.75" x14ac:dyDescent="0.2">
      <c r="A51" s="689">
        <f>'BOQ-OFFICE BUILDING (Civil)'!A53</f>
        <v>28</v>
      </c>
      <c r="B51" s="690" t="str">
        <f>'BOQ-OFFICE BUILDING (Civil)'!C53</f>
        <v>Internal Plaster
(Refer Specs. Section #. 9200)
Cement Plaster 1:5 upto 12' height.</v>
      </c>
      <c r="C51" s="691"/>
      <c r="D51" s="689"/>
      <c r="E51" s="692"/>
      <c r="F51" s="692"/>
      <c r="G51" s="692"/>
      <c r="H51" s="692"/>
      <c r="I51" s="692"/>
    </row>
    <row r="52" spans="1:9" x14ac:dyDescent="0.2">
      <c r="A52" s="689" t="str">
        <f>'BOQ-OFFICE BUILDING (Civil)'!A54</f>
        <v>i</v>
      </c>
      <c r="B52" s="690" t="str">
        <f>'BOQ-OFFICE BUILDING (Civil)'!C54</f>
        <v>1/2" thick.</v>
      </c>
      <c r="C52" s="691">
        <f>'BOQ-OFFICE BUILDING (Civil)'!D54</f>
        <v>32200</v>
      </c>
      <c r="D52" s="689" t="str">
        <f>'BOQ-OFFICE BUILDING (Civil)'!E54</f>
        <v>%Sft.</v>
      </c>
      <c r="E52" s="692">
        <f>ROUND(C52*(1/2/12)*1.54/6/1.25,2)</f>
        <v>275.49</v>
      </c>
      <c r="F52" s="692"/>
      <c r="G52" s="692"/>
      <c r="H52" s="692">
        <f>ROUND(E52*1.25*5,2)</f>
        <v>1721.81</v>
      </c>
      <c r="I52" s="692"/>
    </row>
    <row r="53" spans="1:9" ht="28.5" x14ac:dyDescent="0.2">
      <c r="A53" s="689">
        <f>'BOQ-OFFICE BUILDING (Civil)'!A55</f>
        <v>29</v>
      </c>
      <c r="B53" s="690" t="str">
        <f>'BOQ-OFFICE BUILDING (Civil)'!C55</f>
        <v>Aluminum wire guage 144 mesh P.Square fixed to chowkats</v>
      </c>
      <c r="C53" s="691">
        <f>'BOQ-OFFICE BUILDING (Civil)'!D55</f>
        <v>1610</v>
      </c>
      <c r="D53" s="689" t="str">
        <f>'BOQ-OFFICE BUILDING (Civil)'!E55</f>
        <v>Sft.</v>
      </c>
      <c r="E53" s="692"/>
      <c r="F53" s="692"/>
      <c r="G53" s="692"/>
      <c r="H53" s="692"/>
      <c r="I53" s="692"/>
    </row>
    <row r="54" spans="1:9" ht="42.75" x14ac:dyDescent="0.2">
      <c r="A54" s="689">
        <f>'BOQ-OFFICE BUILDING (Civil)'!A56</f>
        <v>30</v>
      </c>
      <c r="B54" s="690" t="str">
        <f>'BOQ-OFFICE BUILDING (Civil)'!C56</f>
        <v>External Plaster 
(Refer Specs. Section #. 9200)
Cement plaster 1:4 upto 12' height.</v>
      </c>
      <c r="C54" s="691"/>
      <c r="D54" s="689"/>
      <c r="E54" s="692"/>
      <c r="F54" s="692"/>
      <c r="G54" s="692"/>
      <c r="H54" s="692"/>
      <c r="I54" s="692"/>
    </row>
    <row r="55" spans="1:9" x14ac:dyDescent="0.2">
      <c r="A55" s="689" t="str">
        <f>'BOQ-OFFICE BUILDING (Civil)'!A57</f>
        <v>i</v>
      </c>
      <c r="B55" s="690" t="str">
        <f>'BOQ-OFFICE BUILDING (Civil)'!C57</f>
        <v>3/4" thick.</v>
      </c>
      <c r="C55" s="691">
        <f>'BOQ-OFFICE BUILDING (Civil)'!D57</f>
        <v>3400</v>
      </c>
      <c r="D55" s="689" t="str">
        <f>'BOQ-OFFICE BUILDING (Civil)'!E57</f>
        <v>%Sft.</v>
      </c>
      <c r="E55" s="692">
        <f>ROUND(C55*(3/4/12)*1.54/5/1.25,2)</f>
        <v>52.36</v>
      </c>
      <c r="F55" s="692"/>
      <c r="G55" s="692"/>
      <c r="H55" s="692">
        <f>ROUND(E55*1.25*4,2)</f>
        <v>261.8</v>
      </c>
      <c r="I55" s="692"/>
    </row>
    <row r="56" spans="1:9" ht="99.75" x14ac:dyDescent="0.2">
      <c r="A56" s="689">
        <f>'BOQ-OFFICE BUILDING (Civil)'!A58</f>
        <v>31</v>
      </c>
      <c r="B56" s="690" t="str">
        <f>'BOQ-OFFICE BUILDING (Civil)'!C58</f>
        <v>Matt Enamel Paint on Walls (Refer Specs. Section # 9900)
Preparing the surface and painting with matt finish I/c rubbing the surface with Bathy (silicon carbide rubbing brick) filling the voids with zink/chalk/ plaster of paris mixture, applying first coat premix, making the surface smooth and then painting 3 coats  with matt finish of approved make etc: complete .(new surface). Three Coats</v>
      </c>
      <c r="C56" s="691">
        <f>'BOQ-OFFICE BUILDING (Civil)'!D58</f>
        <v>20000</v>
      </c>
      <c r="D56" s="689" t="str">
        <f>'BOQ-OFFICE BUILDING (Civil)'!E58</f>
        <v>%Sft.</v>
      </c>
      <c r="E56" s="692"/>
      <c r="F56" s="692"/>
      <c r="G56" s="692"/>
      <c r="H56" s="692"/>
      <c r="I56" s="692"/>
    </row>
    <row r="57" spans="1:9" ht="85.5" x14ac:dyDescent="0.2">
      <c r="A57" s="689">
        <f>'BOQ-OFFICE BUILDING (Civil)'!A59</f>
        <v>32</v>
      </c>
      <c r="B57" s="690" t="str">
        <f>'BOQ-OFFICE BUILDING (Civil)'!C59</f>
        <v>Plastic Emulsion Paint on Ceiling (Refer Specs. Section # 9900)
Preparing the surface and painting with plastic emulsion paint of approved make  I/c rubbing the surface with sand Paper,filling the voids with chalk/ plaster of paris and then painting etc complete.Three Coats</v>
      </c>
      <c r="C57" s="691">
        <f>'BOQ-OFFICE BUILDING (Civil)'!D59</f>
        <v>12200</v>
      </c>
      <c r="D57" s="689" t="str">
        <f>'BOQ-OFFICE BUILDING (Civil)'!E59</f>
        <v>%Sft.</v>
      </c>
      <c r="E57" s="692"/>
      <c r="F57" s="692"/>
      <c r="G57" s="692"/>
      <c r="H57" s="692"/>
      <c r="I57" s="692"/>
    </row>
    <row r="58" spans="1:9" ht="42.75" x14ac:dyDescent="0.2">
      <c r="A58" s="689">
        <f>'BOQ-OFFICE BUILDING (Civil)'!A60</f>
        <v>33</v>
      </c>
      <c r="B58" s="690" t="str">
        <f>'BOQ-OFFICE BUILDING (Civil)'!C60</f>
        <v>Glazed Porcelain Tiles Dado (Refer Specs. Section # 9300)
Glazed tile dado 1/4" thick laid in pigment over 1:2 cement sand mortar 3/4" thick including finishing.</v>
      </c>
      <c r="C58" s="691"/>
      <c r="D58" s="689"/>
      <c r="E58" s="692"/>
      <c r="F58" s="692"/>
      <c r="G58" s="692"/>
      <c r="H58" s="692"/>
      <c r="I58" s="692"/>
    </row>
    <row r="59" spans="1:9" x14ac:dyDescent="0.2">
      <c r="A59" s="689" t="str">
        <f>'BOQ-OFFICE BUILDING (Civil)'!A61</f>
        <v>i</v>
      </c>
      <c r="B59" s="690" t="str">
        <f>'BOQ-OFFICE BUILDING (Civil)'!C61</f>
        <v>Kitchen(12"x12")</v>
      </c>
      <c r="C59" s="691">
        <f>'BOQ-OFFICE BUILDING (Civil)'!D61</f>
        <v>350</v>
      </c>
      <c r="D59" s="689" t="str">
        <f>'BOQ-OFFICE BUILDING (Civil)'!E61</f>
        <v>%Sft</v>
      </c>
      <c r="E59" s="692">
        <f>ROUND(C59*(3/4/12)*1.54/3/1.25,2)</f>
        <v>8.98</v>
      </c>
      <c r="F59" s="692"/>
      <c r="G59" s="692"/>
      <c r="H59" s="692">
        <f>ROUND(E59*1.25*2,2)</f>
        <v>22.45</v>
      </c>
      <c r="I59" s="692"/>
    </row>
    <row r="60" spans="1:9" x14ac:dyDescent="0.2">
      <c r="A60" s="689" t="str">
        <f>'BOQ-OFFICE BUILDING (Civil)'!A62</f>
        <v>ii</v>
      </c>
      <c r="B60" s="690" t="str">
        <f>'BOQ-OFFICE BUILDING (Civil)'!C62</f>
        <v>Toilet Area(12"x12")</v>
      </c>
      <c r="C60" s="691">
        <f>'BOQ-OFFICE BUILDING (Civil)'!D62</f>
        <v>1500</v>
      </c>
      <c r="D60" s="689" t="str">
        <f>'BOQ-OFFICE BUILDING (Civil)'!E62</f>
        <v>%Sft</v>
      </c>
      <c r="E60" s="692">
        <f>ROUND(C60*(3/4/12)*1.54/3/1.25,2)</f>
        <v>38.5</v>
      </c>
      <c r="F60" s="692"/>
      <c r="G60" s="692"/>
      <c r="H60" s="692">
        <f>ROUND(E60*1.25*2,2)</f>
        <v>96.25</v>
      </c>
      <c r="I60" s="692"/>
    </row>
    <row r="61" spans="1:9" ht="142.5" x14ac:dyDescent="0.2">
      <c r="A61" s="689">
        <f>'BOQ-OFFICE BUILDING (Civil)'!A63</f>
        <v>34</v>
      </c>
      <c r="B61" s="690" t="str">
        <f>'BOQ-OFFICE BUILDING (Civil)'!C63</f>
        <v>Porcelain Tiles Skirting
(Refer Specs. Section # 9300)
Providing and laying Porcelain Tiles skirting using 24"x 4" high (colour and shade as approved by the Architect) to be laid over 1/2" thick cement sand  scratched  plaster   1:5  (1-cement,  5-fine sand) including setting the tiles with gray cement slurry   jointing,  cutting,  washing  the  tiles  with matching   colour   cement   slurry,   curing   and cleaning etc., complete as per drawing and as directed by the Consultants.</v>
      </c>
      <c r="C61" s="691"/>
      <c r="D61" s="689"/>
      <c r="E61" s="692"/>
      <c r="F61" s="692"/>
      <c r="G61" s="692"/>
      <c r="H61" s="692"/>
      <c r="I61" s="692"/>
    </row>
    <row r="62" spans="1:9" x14ac:dyDescent="0.2">
      <c r="A62" s="689" t="str">
        <f>'BOQ-OFFICE BUILDING (Civil)'!A64</f>
        <v>i</v>
      </c>
      <c r="B62" s="690" t="str">
        <f>'BOQ-OFFICE BUILDING (Civil)'!C64</f>
        <v>Office Area</v>
      </c>
      <c r="C62" s="691">
        <f>'BOQ-OFFICE BUILDING (Civil)'!D64</f>
        <v>545</v>
      </c>
      <c r="D62" s="689" t="str">
        <f>'BOQ-OFFICE BUILDING (Civil)'!E64</f>
        <v>%Sft</v>
      </c>
      <c r="E62" s="692"/>
      <c r="F62" s="692"/>
      <c r="G62" s="692"/>
      <c r="H62" s="692"/>
      <c r="I62" s="692"/>
    </row>
    <row r="63" spans="1:9" ht="85.5" x14ac:dyDescent="0.2">
      <c r="A63" s="689">
        <f>'BOQ-OFFICE BUILDING (Civil)'!A65</f>
        <v>35</v>
      </c>
      <c r="B63" s="690" t="str">
        <f>'BOQ-OFFICE BUILDING (Civil)'!C65</f>
        <v>External Painting / Weather Shield  (Refer Specs. Section # 9900)
Preparing the surface and painting with weather coat I/c rubbing the surface with rubbing brick /sand Paper,filling the voids with chalk/ plaster of Paris and then painting with weather coat of approved make. Three Coats</v>
      </c>
      <c r="C63" s="691">
        <f>'BOQ-OFFICE BUILDING (Civil)'!D65</f>
        <v>3400</v>
      </c>
      <c r="D63" s="689" t="str">
        <f>'BOQ-OFFICE BUILDING (Civil)'!E65</f>
        <v>%Sft</v>
      </c>
      <c r="E63" s="692"/>
      <c r="F63" s="692"/>
      <c r="G63" s="692"/>
      <c r="H63" s="692"/>
      <c r="I63" s="692"/>
    </row>
    <row r="64" spans="1:9" ht="71.25" x14ac:dyDescent="0.2">
      <c r="A64" s="689">
        <f>'BOQ-OFFICE BUILDING (Civil)'!A66</f>
        <v>36</v>
      </c>
      <c r="B64" s="690" t="str">
        <f>'BOQ-OFFICE BUILDING (Civil)'!C66</f>
        <v>Vanity Mirror 
Providing  and  fixing  imported  Mirror  6mm  thick having 1" Dia. Stainless Steel Studd to be screwed on  Toilet  wall  complete  in  all  respects  as  per drawings and as directed by the Consultants.</v>
      </c>
      <c r="C64" s="691">
        <f>'BOQ-OFFICE BUILDING (Civil)'!D66</f>
        <v>80</v>
      </c>
      <c r="D64" s="689" t="str">
        <f>'BOQ-OFFICE BUILDING (Civil)'!E66</f>
        <v>Sft.</v>
      </c>
      <c r="E64" s="692"/>
      <c r="F64" s="692"/>
      <c r="G64" s="692"/>
      <c r="H64" s="692"/>
      <c r="I64" s="692"/>
    </row>
    <row r="65" spans="1:9" ht="28.5" x14ac:dyDescent="0.2">
      <c r="A65" s="689">
        <f>'BOQ-OFFICE BUILDING (Civil)'!A67</f>
        <v>0</v>
      </c>
      <c r="B65" s="690" t="str">
        <f>'BOQ-OFFICE BUILDING (Civil)'!C67</f>
        <v>Matt Porcelain Tile Flooring.
(Refer Specs. Section #. 9300)</v>
      </c>
      <c r="C65" s="691"/>
      <c r="D65" s="689"/>
      <c r="E65" s="692"/>
      <c r="F65" s="692"/>
      <c r="G65" s="692"/>
      <c r="H65" s="692"/>
      <c r="I65" s="692"/>
    </row>
    <row r="66" spans="1:9" ht="42.75" x14ac:dyDescent="0.2">
      <c r="A66" s="689">
        <f>'BOQ-OFFICE BUILDING (Civil)'!A68</f>
        <v>37</v>
      </c>
      <c r="B66" s="690" t="str">
        <f>'BOQ-OFFICE BUILDING (Civil)'!C68</f>
        <v>laying floors of approved coloured glazed tiles 1/4" thick laid in white cement and pigment on a bed of 3/4" thick cement mortar 1:2.</v>
      </c>
      <c r="C66" s="691"/>
      <c r="D66" s="689"/>
      <c r="E66" s="692"/>
      <c r="F66" s="692"/>
      <c r="G66" s="692"/>
      <c r="H66" s="692"/>
      <c r="I66" s="692"/>
    </row>
    <row r="67" spans="1:9" x14ac:dyDescent="0.2">
      <c r="A67" s="689" t="str">
        <f>'BOQ-OFFICE BUILDING (Civil)'!A69</f>
        <v>i</v>
      </c>
      <c r="B67" s="690" t="str">
        <f>'BOQ-OFFICE BUILDING (Civil)'!C69</f>
        <v>Office Area (24"x24")</v>
      </c>
      <c r="C67" s="691">
        <f>'BOQ-OFFICE BUILDING (Civil)'!D69</f>
        <v>10000</v>
      </c>
      <c r="D67" s="689" t="str">
        <f>'BOQ-OFFICE BUILDING (Civil)'!E69</f>
        <v>%Sft</v>
      </c>
      <c r="E67" s="692">
        <f>ROUND(C67*(3/4/12)*1.54/3/1.25,2)</f>
        <v>256.67</v>
      </c>
      <c r="F67" s="692"/>
      <c r="G67" s="692"/>
      <c r="H67" s="692">
        <f>ROUND(E67*1.25*2,2)</f>
        <v>641.67999999999995</v>
      </c>
      <c r="I67" s="692"/>
    </row>
    <row r="68" spans="1:9" x14ac:dyDescent="0.2">
      <c r="A68" s="689" t="str">
        <f>'BOQ-OFFICE BUILDING (Civil)'!A70</f>
        <v>ii</v>
      </c>
      <c r="B68" s="690" t="str">
        <f>'BOQ-OFFICE BUILDING (Civil)'!C70</f>
        <v>Kitchen (12"x12")</v>
      </c>
      <c r="C68" s="691">
        <f>'BOQ-OFFICE BUILDING (Civil)'!D70</f>
        <v>125</v>
      </c>
      <c r="D68" s="689" t="str">
        <f>'BOQ-OFFICE BUILDING (Civil)'!E70</f>
        <v>%Sft</v>
      </c>
      <c r="E68" s="692">
        <f>ROUND(C68*(3/4/12)*1.54/3/1.25,2)</f>
        <v>3.21</v>
      </c>
      <c r="F68" s="692"/>
      <c r="G68" s="692"/>
      <c r="H68" s="692">
        <f>ROUND(E68*1.25*2,2)</f>
        <v>8.0299999999999994</v>
      </c>
      <c r="I68" s="692"/>
    </row>
    <row r="69" spans="1:9" x14ac:dyDescent="0.2">
      <c r="A69" s="689" t="str">
        <f>'BOQ-OFFICE BUILDING (Civil)'!A71</f>
        <v>iii</v>
      </c>
      <c r="B69" s="690" t="str">
        <f>'BOQ-OFFICE BUILDING (Civil)'!C71</f>
        <v>Toilet Area (12"x12")</v>
      </c>
      <c r="C69" s="691">
        <f>'BOQ-OFFICE BUILDING (Civil)'!D71</f>
        <v>450</v>
      </c>
      <c r="D69" s="689" t="str">
        <f>'BOQ-OFFICE BUILDING (Civil)'!E71</f>
        <v>%Sft</v>
      </c>
      <c r="E69" s="692">
        <f>ROUND(C69*(3/4/12)*1.54/3/1.25,2)</f>
        <v>11.55</v>
      </c>
      <c r="F69" s="692"/>
      <c r="G69" s="692"/>
      <c r="H69" s="692">
        <f>ROUND(E69*1.25*2,2)</f>
        <v>28.88</v>
      </c>
      <c r="I69" s="692"/>
    </row>
    <row r="70" spans="1:9" ht="57" x14ac:dyDescent="0.2">
      <c r="A70" s="689">
        <f>'BOQ-OFFICE BUILDING (Civil)'!A72</f>
        <v>38</v>
      </c>
      <c r="B70" s="690" t="str">
        <f>'BOQ-OFFICE BUILDING (Civil)'!C72</f>
        <v>Marble Steps for Staircase (Refer Specs. Section #. 9630)
Laying white marble flooring fine dressed on the surface without winding set in lime mortar 1:2 including rubbing and polishing of the joints.</v>
      </c>
      <c r="C70" s="691"/>
      <c r="D70" s="689"/>
      <c r="E70" s="692"/>
      <c r="F70" s="692"/>
      <c r="G70" s="692"/>
      <c r="H70" s="692"/>
      <c r="I70" s="692"/>
    </row>
    <row r="71" spans="1:9" x14ac:dyDescent="0.2">
      <c r="A71" s="689" t="str">
        <f>'BOQ-OFFICE BUILDING (Civil)'!A73</f>
        <v>i</v>
      </c>
      <c r="B71" s="690" t="str">
        <f>'BOQ-OFFICE BUILDING (Civil)'!C73</f>
        <v>Tread / Landing</v>
      </c>
      <c r="C71" s="691">
        <f>'BOQ-OFFICE BUILDING (Civil)'!D73</f>
        <v>600</v>
      </c>
      <c r="D71" s="689" t="str">
        <f>'BOQ-OFFICE BUILDING (Civil)'!E73</f>
        <v>Sft.</v>
      </c>
      <c r="E71" s="692">
        <f>ROUND(C71*(3/4/12)*1.54/3/1.25,2)</f>
        <v>15.4</v>
      </c>
      <c r="F71" s="692"/>
      <c r="G71" s="692"/>
      <c r="H71" s="692">
        <f>ROUND(E71*1.25*2,2)</f>
        <v>38.5</v>
      </c>
      <c r="I71" s="692"/>
    </row>
    <row r="72" spans="1:9" ht="185.25" x14ac:dyDescent="0.2">
      <c r="A72" s="689">
        <f>'BOQ-OFFICE BUILDING (Civil)'!A74</f>
        <v>39</v>
      </c>
      <c r="B72" s="690" t="str">
        <f>'BOQ-OFFICE BUILDING (Civil)'!C74</f>
        <v>Concrete Window Sill 
(Refer Specs. Section # 3400)
Reinforced cement concrete work including all labour and material except the cost of steel reinforcement and its labour for bending and binding which will be paid separately. This rate also includes all kinds of forms moulds: lifting shuttering curing rendering and finishing the-exposed surface (including screening and washing of shingle.)
Precast reinforced cement concrete in columns, beams lintels stair cases, shelves, etc.
Erecting and fixing in position precast cement concrete or stone slab in roofs or Lintels, etc, lift upto 20 feet including all charges. Ratio 1 : 2: 4</v>
      </c>
      <c r="C72" s="691">
        <f>'BOQ-OFFICE BUILDING (Civil)'!D74</f>
        <v>25</v>
      </c>
      <c r="D72" s="689" t="str">
        <f>'BOQ-OFFICE BUILDING (Civil)'!E74</f>
        <v>Cft.</v>
      </c>
      <c r="E72" s="692">
        <f>ROUND(C72*1.54/7/1.25,2)</f>
        <v>4.4000000000000004</v>
      </c>
      <c r="F72" s="692"/>
      <c r="G72" s="692"/>
      <c r="H72" s="692">
        <f>ROUND(E72*1.25*2,2)</f>
        <v>11</v>
      </c>
      <c r="I72" s="692">
        <f>ROUND(H72*2,2)</f>
        <v>22</v>
      </c>
    </row>
    <row r="73" spans="1:9" ht="185.25" x14ac:dyDescent="0.2">
      <c r="A73" s="689">
        <f>'BOQ-OFFICE BUILDING (Civil)'!A75</f>
        <v>40</v>
      </c>
      <c r="B73" s="690" t="str">
        <f>'BOQ-OFFICE BUILDING (Civil)'!C75</f>
        <v>R.C.C. Vanity Slab
(Refer Specs. Section # 3300)
Reinforced cement concrete work including all labour and material except the cost of steel reinforcement and its labour for bending and binding which will be paid separately. This rate also includes all kinds of forms moulds: lifting shuttering curing rendering and finishing the-exposed surface (including screening and washing of shingle.)
Precast reinforced cement concrete in columns, beams lintels stair cases, shelves, etc.
Erecting and fixing in position precast cement concrete or stone slab in roofs or Lintels, etc, lift upto 20 feet including all charges. Ratio 1 : 2: 4</v>
      </c>
      <c r="C73" s="691">
        <f>'BOQ-OFFICE BUILDING (Civil)'!D75</f>
        <v>35</v>
      </c>
      <c r="D73" s="689" t="str">
        <f>'BOQ-OFFICE BUILDING (Civil)'!E75</f>
        <v>Cft.</v>
      </c>
      <c r="E73" s="692">
        <f>ROUND(C73*1.54/7/1.25,2)</f>
        <v>6.16</v>
      </c>
      <c r="F73" s="692"/>
      <c r="G73" s="692"/>
      <c r="H73" s="692">
        <f>ROUND(E73*1.25*2,2)</f>
        <v>15.4</v>
      </c>
      <c r="I73" s="692">
        <f>ROUND(H73*2,2)</f>
        <v>30.8</v>
      </c>
    </row>
    <row r="74" spans="1:9" x14ac:dyDescent="0.2">
      <c r="A74" s="689" t="str">
        <f>'BOQ-OFFICE BUILDING (Civil)'!A76</f>
        <v>NON-SCHEDULE ITEMS</v>
      </c>
      <c r="B74" s="690">
        <f>'BOQ-OFFICE BUILDING (Civil)'!C76</f>
        <v>0</v>
      </c>
      <c r="C74" s="691"/>
      <c r="D74" s="689"/>
      <c r="E74" s="692"/>
      <c r="F74" s="692"/>
      <c r="G74" s="692"/>
      <c r="H74" s="692"/>
      <c r="I74" s="692"/>
    </row>
    <row r="75" spans="1:9" ht="228" x14ac:dyDescent="0.2">
      <c r="A75" s="689">
        <f>'BOQ-OFFICE BUILDING (Civil)'!A77</f>
        <v>41</v>
      </c>
      <c r="B75" s="690" t="str">
        <f>'BOQ-OFFICE BUILDING (Civil)'!C77</f>
        <v>Ramed Earth Reinforced Wall / Column (Refer Spec's Section # 3330)
Providing  and  laying  12"  thick  Solid  Rammed  Earth Reinforced Wall to be made-up of a damp mixture of approved    soil,    cement,    pigment    (Bayer)    and admixtures blend to be consistant for all work and to be poured  into  an  external  supported  Torsion  box  that moulds the shape of a wall section creating a solid wall of earth. Wall to be reinforced horizontally and vertically with  steel  bars  as  shown  on  drawings.  The  wall  to  be built verticaly in layers not excceding 12" in height well rammed    /    compressed    (mechanically)    including consolidation,   curing,   removal   of   form   work   etc. Complete   as   per   Drawings,   Specifications   and   as directed by the Consultants.
(Including Steel bars)</v>
      </c>
      <c r="C75" s="691"/>
      <c r="D75" s="689"/>
      <c r="E75" s="692"/>
      <c r="F75" s="692"/>
      <c r="G75" s="692"/>
      <c r="H75" s="692"/>
      <c r="I75" s="692"/>
    </row>
    <row r="76" spans="1:9" x14ac:dyDescent="0.2">
      <c r="A76" s="689" t="str">
        <f>'BOQ-OFFICE BUILDING (Civil)'!A78</f>
        <v>i</v>
      </c>
      <c r="B76" s="690" t="str">
        <f>'BOQ-OFFICE BUILDING (Civil)'!C78</f>
        <v>Above Grade</v>
      </c>
      <c r="C76" s="691">
        <f>'BOQ-OFFICE BUILDING (Civil)'!D78</f>
        <v>8800</v>
      </c>
      <c r="D76" s="689" t="str">
        <f>'BOQ-OFFICE BUILDING (Civil)'!E78</f>
        <v>Cft.</v>
      </c>
      <c r="E76" s="692"/>
      <c r="F76" s="692"/>
      <c r="G76" s="692"/>
      <c r="H76" s="692"/>
      <c r="I76" s="692"/>
    </row>
    <row r="77" spans="1:9" ht="228" x14ac:dyDescent="0.2">
      <c r="A77" s="689">
        <f>'BOQ-OFFICE BUILDING (Civil)'!A79</f>
        <v>42</v>
      </c>
      <c r="B77" s="690" t="str">
        <f>'BOQ-OFFICE BUILDING (Civil)'!C79</f>
        <v>Ramed Earth Wall Cladding
(Refer Specs. Section # 3330, 4050 &amp; 4200)
Providing and laying 5" thick Solid Rammed Earth Wall cladding  on  already  laid  block  walls  insulated  with  2 1/2"  thick  insulation  board  factory  applied  facing  of Aluminum  or  Kraft  paper  including  metal  lathing  to board to be made-up of a damp mixture of  approved soil, cement, pigment (Bayer) and admixtures blend to be  consistant  for  all  work  and  to  be  poured  into  an external supported Torsion box that moulds the shape of a wall section creating a solid wall of earth. The wall to be built verticaly in layers not excceding 12" in height well  rammed  /  compressed  (mechanically)  including consolidation,   curing,   removal   of   form   work   etc. complete   as   per   Drawings,   Specifications   and   as
directed by the Consultants. (Including Steel bars)</v>
      </c>
      <c r="C77" s="691">
        <f>'BOQ-OFFICE BUILDING (Civil)'!D79</f>
        <v>3200</v>
      </c>
      <c r="D77" s="689" t="str">
        <f>'BOQ-OFFICE BUILDING (Civil)'!E79</f>
        <v>Sft.</v>
      </c>
      <c r="E77" s="692"/>
      <c r="F77" s="692"/>
      <c r="G77" s="692"/>
      <c r="H77" s="692"/>
      <c r="I77" s="692"/>
    </row>
    <row r="78" spans="1:9" ht="156.75" x14ac:dyDescent="0.2">
      <c r="A78" s="689">
        <f>'BOQ-OFFICE BUILDING (Civil)'!A80</f>
        <v>43</v>
      </c>
      <c r="B78" s="690" t="str">
        <f>'BOQ-OFFICE BUILDING (Civil)'!C80</f>
        <v>Base Cabinet with Marble Top (Refer Spec's Section # 6400)
Providing,  making  and  fixing  wooden  base  cabinet using 3/4" thick Partex board top,  adjustable shelves, drawer   and   shutter   with   white    textured   formica topping  and  3/4"  x  3/8"  thick  Ash  wood  lipping  on edges, including  pre-polished half round edge sharah beige marble top. All Ash wood surface to be finished with    clear    lacquer    polish,    including    approved hardware,   hinges,   handles   etc.   complete   as   per drawings and as directed by the Consultants.</v>
      </c>
      <c r="C78" s="691">
        <f>'BOQ-OFFICE BUILDING (Civil)'!D80</f>
        <v>70</v>
      </c>
      <c r="D78" s="689" t="str">
        <f>'BOQ-OFFICE BUILDING (Civil)'!E80</f>
        <v>Sft.</v>
      </c>
      <c r="E78" s="692"/>
      <c r="F78" s="692"/>
      <c r="G78" s="692"/>
      <c r="H78" s="692"/>
      <c r="I78" s="692"/>
    </row>
    <row r="79" spans="1:9" ht="142.5" x14ac:dyDescent="0.2">
      <c r="A79" s="689">
        <f>'BOQ-OFFICE BUILDING (Civil)'!A81</f>
        <v>44</v>
      </c>
      <c r="B79" s="690" t="str">
        <f>'BOQ-OFFICE BUILDING (Civil)'!C81</f>
        <v>Upper Cabinet
(Refer Spec's Section # 6400)
Providing,  making  and  fixing  wooden  upper  cabinet using   3/4"   thick   Partex   board   with   white   textured formica  topping  and  Ash  wood  lipping  to  exposed edges  including  adjustable  shelving.  All  Ash  wood surface   to   be   finished   with   clear   lacquer   polish, including  approved  hardware,  hinges,  handles  etc. complete  as  per  drawings  and  as  directed  by  the Consultants.</v>
      </c>
      <c r="C79" s="691">
        <f>'BOQ-OFFICE BUILDING (Civil)'!D81</f>
        <v>40</v>
      </c>
      <c r="D79" s="689" t="str">
        <f>'BOQ-OFFICE BUILDING (Civil)'!E81</f>
        <v>Sft.</v>
      </c>
      <c r="E79" s="692"/>
      <c r="F79" s="692"/>
      <c r="G79" s="692"/>
      <c r="H79" s="692"/>
      <c r="I79" s="692"/>
    </row>
    <row r="80" spans="1:9" ht="99.75" x14ac:dyDescent="0.2">
      <c r="A80" s="689">
        <f>'BOQ-OFFICE BUILDING (Civil)'!A82</f>
        <v>45</v>
      </c>
      <c r="B80" s="690" t="str">
        <f>'BOQ-OFFICE BUILDING (Civil)'!C82</f>
        <v>Water Proofing for Wet Areas (Refer Spec's Section # 7100)
Providing and applying Acrylic based water Proofing, Brush   bond   of   FOSROC   or   Brushcrete   of   FEB   or approved  equivalent  in  two  coats  including  primer coat. Complete as per drawing and as directed by the Consultants</v>
      </c>
      <c r="C80" s="691">
        <f>'BOQ-OFFICE BUILDING (Civil)'!D82</f>
        <v>750</v>
      </c>
      <c r="D80" s="689" t="str">
        <f>'BOQ-OFFICE BUILDING (Civil)'!E82</f>
        <v>Sft.</v>
      </c>
      <c r="E80" s="692"/>
      <c r="F80" s="692"/>
      <c r="G80" s="692"/>
      <c r="H80" s="692"/>
      <c r="I80" s="692"/>
    </row>
    <row r="81" spans="1:9" ht="71.25" x14ac:dyDescent="0.2">
      <c r="A81" s="689">
        <f>'BOQ-OFFICE BUILDING (Civil)'!A83</f>
        <v>46</v>
      </c>
      <c r="B81" s="690" t="str">
        <f>'BOQ-OFFICE BUILDING (Civil)'!C83</f>
        <v>Roofing Treatment
(Refer Spec's Section #  7560)
Providing  and  laying  2" thick heavy density polystyrene board ( 32 kg/cum)  insulation  over  bitumen,  hcomplete   as   per drawing and as directed by the Consultant.</v>
      </c>
      <c r="C81" s="691">
        <f>'BOQ-OFFICE BUILDING (Civil)'!D83</f>
        <v>8400</v>
      </c>
      <c r="D81" s="689" t="str">
        <f>'BOQ-OFFICE BUILDING (Civil)'!E83</f>
        <v>Sft.</v>
      </c>
      <c r="E81" s="692"/>
      <c r="F81" s="692"/>
      <c r="G81" s="692"/>
      <c r="H81" s="692"/>
      <c r="I81" s="692"/>
    </row>
    <row r="82" spans="1:9" ht="85.5" x14ac:dyDescent="0.2">
      <c r="A82" s="689">
        <f>'BOQ-OFFICE BUILDING (Civil)'!A84</f>
        <v>47</v>
      </c>
      <c r="B82" s="690" t="str">
        <f>'BOQ-OFFICE BUILDING (Civil)'!C84</f>
        <v>Sealant (Pointing Mastics) (Refer Spec's Section # 7900)
Providing    and    applying    sealant    of    approved manufacturer  to  provide  a  positive  barrier  against penetration   of   air   and   moisture   at   periphery   of Aluminum/Wooden  Doors,  Windows  and  Ventilators and wherever required as directed by the Consultant.</v>
      </c>
      <c r="C82" s="691">
        <f>'BOQ-OFFICE BUILDING (Civil)'!D84</f>
        <v>1765</v>
      </c>
      <c r="D82" s="689" t="str">
        <f>'BOQ-OFFICE BUILDING (Civil)'!E84</f>
        <v>Rft.</v>
      </c>
      <c r="E82" s="692"/>
      <c r="F82" s="692"/>
      <c r="G82" s="692"/>
      <c r="H82" s="692"/>
      <c r="I82" s="692"/>
    </row>
    <row r="83" spans="1:9" ht="142.5" x14ac:dyDescent="0.2">
      <c r="A83" s="689">
        <f>'BOQ-OFFICE BUILDING (Civil)'!A85</f>
        <v>48</v>
      </c>
      <c r="B83" s="690" t="str">
        <f>'BOQ-OFFICE BUILDING (Civil)'!C85</f>
        <v>Frame less Glass Door
(Refer Spec's Section # 8800)
Providing and fixing  frame less  glass door using 12mm   thick   imported   clear   Tempered   glass shutter  having   custom  made  S.S.  /  ash  wood handles   on   both   faces   including   imported concealed pivot hinges, imported door lock with all  necessary  fixing  arrangement,  all  wooden surface to be finished with clear lacquer polish, complete as per drawing and as directed by the Consultants.</v>
      </c>
      <c r="C83" s="691">
        <f>'BOQ-OFFICE BUILDING (Civil)'!D85</f>
        <v>0</v>
      </c>
      <c r="D83" s="689">
        <f>'BOQ-OFFICE BUILDING (Civil)'!E85</f>
        <v>0</v>
      </c>
      <c r="E83" s="692"/>
      <c r="F83" s="692"/>
      <c r="G83" s="692"/>
      <c r="H83" s="692"/>
      <c r="I83" s="692"/>
    </row>
    <row r="84" spans="1:9" x14ac:dyDescent="0.2">
      <c r="A84" s="689" t="str">
        <f>'BOQ-OFFICE BUILDING (Civil)'!A86</f>
        <v>i</v>
      </c>
      <c r="B84" s="690" t="str">
        <f>'BOQ-OFFICE BUILDING (Civil)'!C86</f>
        <v>6'-0" x 8'-0"</v>
      </c>
      <c r="C84" s="691">
        <f>'BOQ-OFFICE BUILDING (Civil)'!D86</f>
        <v>2</v>
      </c>
      <c r="D84" s="689" t="str">
        <f>'BOQ-OFFICE BUILDING (Civil)'!E86</f>
        <v>Each</v>
      </c>
      <c r="E84" s="692"/>
      <c r="F84" s="692"/>
      <c r="G84" s="692"/>
      <c r="H84" s="692"/>
      <c r="I84" s="692"/>
    </row>
    <row r="85" spans="1:9" x14ac:dyDescent="0.2">
      <c r="A85" s="689" t="str">
        <f>'BOQ-OFFICE BUILDING (Civil)'!A87</f>
        <v>ii</v>
      </c>
      <c r="B85" s="690" t="str">
        <f>'BOQ-OFFICE BUILDING (Civil)'!C87</f>
        <v>3'-0" x 8'-0"</v>
      </c>
      <c r="C85" s="691">
        <f>'BOQ-OFFICE BUILDING (Civil)'!D87</f>
        <v>13</v>
      </c>
      <c r="D85" s="689" t="str">
        <f>'BOQ-OFFICE BUILDING (Civil)'!E87</f>
        <v>Each</v>
      </c>
      <c r="E85" s="692"/>
      <c r="F85" s="692"/>
      <c r="G85" s="692"/>
      <c r="H85" s="692"/>
      <c r="I85" s="692"/>
    </row>
    <row r="86" spans="1:9" ht="99.75" x14ac:dyDescent="0.2">
      <c r="A86" s="689">
        <f>'BOQ-OFFICE BUILDING (Civil)'!A88</f>
        <v>49</v>
      </c>
      <c r="B86" s="690" t="str">
        <f>'BOQ-OFFICE BUILDING (Civil)'!C88</f>
        <v>Fixed Glazing (External) (Refer Spec's Section # 8800)
Providing    and    fixing    8mm    thick    imported
tampered  clear  glass  to  be  fixed  with  4"  x  2" approved  natural  anodized   aluminium  frame including   hardware   and   all   necessary   fixing arrangements. Complete as per drawing and as
directed by the Consultant</v>
      </c>
      <c r="C86" s="691">
        <f>'BOQ-OFFICE BUILDING (Civil)'!D88</f>
        <v>350</v>
      </c>
      <c r="D86" s="689" t="str">
        <f>'BOQ-OFFICE BUILDING (Civil)'!E88</f>
        <v>Sft.</v>
      </c>
      <c r="E86" s="692"/>
      <c r="F86" s="692"/>
      <c r="G86" s="692"/>
      <c r="H86" s="692"/>
      <c r="I86" s="692"/>
    </row>
    <row r="87" spans="1:9" ht="114" x14ac:dyDescent="0.2">
      <c r="A87" s="689">
        <f>'BOQ-OFFICE BUILDING (Civil)'!A89</f>
        <v>50</v>
      </c>
      <c r="B87" s="690" t="str">
        <f>'BOQ-OFFICE BUILDING (Civil)'!C89</f>
        <v>Marble Vanity Top with Apron (Refer Specs. Section # 9630 )
Providing   and   laying   Pre-polished   (Chemical polished)  3/4"  thick   Verona  Marble  vanity  top (Colour   and    shade   as    approved    by   the Architect) having bull nose to be laid over 3/4" thick  C.C.  bed  on  R.C.C.  vanity  slab  including 1/2"  thick  plaster  on  vanity  R.C.C.  slab  bottom side, complete as per drawing and as directed</v>
      </c>
      <c r="C87" s="691">
        <f>'BOQ-OFFICE BUILDING (Civil)'!D89</f>
        <v>125</v>
      </c>
      <c r="D87" s="689" t="str">
        <f>'BOQ-OFFICE BUILDING (Civil)'!E89</f>
        <v>Sft.</v>
      </c>
      <c r="E87" s="692"/>
      <c r="F87" s="692"/>
      <c r="G87" s="692"/>
      <c r="H87" s="692"/>
      <c r="I87" s="692"/>
    </row>
    <row r="88" spans="1:9" ht="128.25" x14ac:dyDescent="0.2">
      <c r="A88" s="689">
        <f>'BOQ-OFFICE BUILDING (Civil)'!A90</f>
        <v>51</v>
      </c>
      <c r="B88" s="690" t="str">
        <f>'BOQ-OFFICE BUILDING (Civil)'!C90</f>
        <v>Plane Gypsum Board  Ceiling/Bulkhead (Refer Spec's Section # 9250)
Providing and fixing suspended ceiling using 1/2" thick   tapered   edge   gypsum   board   ceiling Bulkhead      including      suspension      systems, attachment  devices,  hangers,  edge  mouldings, trim clips and trimming and any  extra hangers as required,   including   making   provision   for   light fixtures  etc.,  complete  as  per  drawings  and  as directed by the Consultants.</v>
      </c>
      <c r="C88" s="691">
        <f>'BOQ-OFFICE BUILDING (Civil)'!D90</f>
        <v>2400</v>
      </c>
      <c r="D88" s="689" t="str">
        <f>'BOQ-OFFICE BUILDING (Civil)'!E90</f>
        <v>Sft.</v>
      </c>
      <c r="E88" s="692"/>
      <c r="F88" s="692"/>
      <c r="G88" s="692"/>
      <c r="H88" s="692"/>
      <c r="I88" s="692"/>
    </row>
    <row r="89" spans="1:9" ht="114" x14ac:dyDescent="0.2">
      <c r="A89" s="689">
        <f>'BOQ-OFFICE BUILDING (Civil)'!A91</f>
        <v>52</v>
      </c>
      <c r="B89" s="690" t="str">
        <f>'BOQ-OFFICE BUILDING (Civil)'!C91</f>
        <v>Stone Coping
(Refer Specs. Section # 9630 )
Providing and fixing  18" x  3" thick  Stone coping on  parapet  top   to  be  laid  on  cement  sand mortar  including  setting  with  maching  cement slurry  and  jointing/washing  the  ledges,  curing and  cleaning  etc.  Complete  as  per  Drawings, and as directed by the Consultants.</v>
      </c>
      <c r="C89" s="691">
        <f>'BOQ-OFFICE BUILDING (Civil)'!D91</f>
        <v>570</v>
      </c>
      <c r="D89" s="689" t="str">
        <f>'BOQ-OFFICE BUILDING (Civil)'!E91</f>
        <v>Rft.</v>
      </c>
      <c r="E89" s="692"/>
      <c r="F89" s="692"/>
      <c r="G89" s="692"/>
      <c r="H89" s="692"/>
      <c r="I89" s="692"/>
    </row>
    <row r="90" spans="1:9" ht="71.25" x14ac:dyDescent="0.2">
      <c r="A90" s="689">
        <f>'BOQ-OFFICE BUILDING (Civil)'!A92</f>
        <v>53</v>
      </c>
      <c r="B90" s="690" t="str">
        <f>'BOQ-OFFICE BUILDING (Civil)'!C92</f>
        <v>Precast Water Spout
(Refer Specs. Section # 3400)
Providing and fixing rain water spout on top roof and making channel from roof to Ground Floor on   wall.Complete   as   per   drawings   and   as directed by the Consultants.</v>
      </c>
      <c r="C90" s="691">
        <f>'BOQ-OFFICE BUILDING (Civil)'!D92</f>
        <v>6</v>
      </c>
      <c r="D90" s="689" t="str">
        <f>'BOQ-OFFICE BUILDING (Civil)'!E92</f>
        <v>Each.</v>
      </c>
      <c r="E90" s="692"/>
      <c r="F90" s="692"/>
      <c r="G90" s="692"/>
      <c r="H90" s="692"/>
      <c r="I90" s="692"/>
    </row>
    <row r="91" spans="1:9" s="695" customFormat="1" ht="20.100000000000001" customHeight="1" x14ac:dyDescent="0.25">
      <c r="A91" s="765" t="s">
        <v>804</v>
      </c>
      <c r="B91" s="770"/>
      <c r="C91" s="770"/>
      <c r="D91" s="771"/>
      <c r="E91" s="694">
        <f>SUM(E9:E90)</f>
        <v>8819.2999999999975</v>
      </c>
      <c r="F91" s="694">
        <f>SUM(F9:F90)</f>
        <v>147.88</v>
      </c>
      <c r="G91" s="694">
        <f>SUM(G9:G90)</f>
        <v>3960</v>
      </c>
      <c r="H91" s="694">
        <f>SUM(H9:H90)</f>
        <v>26728.910000000003</v>
      </c>
      <c r="I91" s="694">
        <f>SUM(I9:I90)</f>
        <v>42968.020000000004</v>
      </c>
    </row>
    <row r="92" spans="1:9" s="686" customFormat="1" ht="20.100000000000001" customHeight="1" x14ac:dyDescent="0.25">
      <c r="A92" s="765" t="s">
        <v>2</v>
      </c>
      <c r="B92" s="766"/>
      <c r="C92" s="766"/>
      <c r="D92" s="767"/>
      <c r="E92" s="694" t="s">
        <v>805</v>
      </c>
      <c r="F92" s="694" t="s">
        <v>806</v>
      </c>
      <c r="G92" s="694" t="s">
        <v>807</v>
      </c>
      <c r="H92" s="694" t="s">
        <v>807</v>
      </c>
      <c r="I92" s="694" t="s">
        <v>807</v>
      </c>
    </row>
    <row r="93" spans="1:9" s="686" customFormat="1" ht="20.100000000000001" customHeight="1" x14ac:dyDescent="0.25">
      <c r="A93" s="765" t="s">
        <v>808</v>
      </c>
      <c r="B93" s="766"/>
      <c r="C93" s="766"/>
      <c r="D93" s="767"/>
      <c r="E93" s="694">
        <v>325</v>
      </c>
      <c r="F93" s="694">
        <v>112000</v>
      </c>
      <c r="G93" s="694">
        <v>1273</v>
      </c>
      <c r="H93" s="694">
        <v>475</v>
      </c>
      <c r="I93" s="694">
        <v>1066</v>
      </c>
    </row>
    <row r="94" spans="1:9" s="695" customFormat="1" ht="20.100000000000001" customHeight="1" x14ac:dyDescent="0.25">
      <c r="A94" s="765" t="s">
        <v>809</v>
      </c>
      <c r="B94" s="766"/>
      <c r="C94" s="766"/>
      <c r="D94" s="767"/>
      <c r="E94" s="696">
        <f>ROUND(E93*E91,2)</f>
        <v>2866272.5</v>
      </c>
      <c r="F94" s="696">
        <f>ROUND(F93*F91,2)</f>
        <v>16562560</v>
      </c>
      <c r="G94" s="696">
        <f>ROUND(G93*G91/100,2)</f>
        <v>50410.8</v>
      </c>
      <c r="H94" s="696">
        <f>ROUND(H93*H91/100,2)</f>
        <v>126962.32</v>
      </c>
      <c r="I94" s="696">
        <f>ROUND(I93*I91/100,2)</f>
        <v>458039.09</v>
      </c>
    </row>
    <row r="95" spans="1:9" s="695" customFormat="1" ht="20.100000000000001" customHeight="1" x14ac:dyDescent="0.25">
      <c r="A95" s="765" t="s">
        <v>810</v>
      </c>
      <c r="B95" s="766"/>
      <c r="C95" s="766"/>
      <c r="D95" s="767"/>
      <c r="E95" s="696">
        <f>SUM(E94:I94)</f>
        <v>20064244.710000001</v>
      </c>
      <c r="F95" s="697"/>
      <c r="G95" s="697"/>
      <c r="H95" s="697"/>
      <c r="I95" s="697"/>
    </row>
  </sheetData>
  <mergeCells count="7">
    <mergeCell ref="A95:D95"/>
    <mergeCell ref="A1:I1"/>
    <mergeCell ref="A2:I2"/>
    <mergeCell ref="A91:D91"/>
    <mergeCell ref="A92:D92"/>
    <mergeCell ref="A93:D93"/>
    <mergeCell ref="A94:D94"/>
  </mergeCells>
  <printOptions horizontalCentered="1"/>
  <pageMargins left="0.25" right="0.25" top="0.55000000000000004" bottom="0.25" header="0.15" footer="0.15"/>
  <pageSetup paperSize="9" scale="78" fitToHeight="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pageSetUpPr fitToPage="1"/>
  </sheetPr>
  <dimension ref="A1:G94"/>
  <sheetViews>
    <sheetView view="pageBreakPreview" zoomScale="85" zoomScaleNormal="100" zoomScaleSheetLayoutView="85" workbookViewId="0">
      <selection activeCell="C8" sqref="C8"/>
    </sheetView>
  </sheetViews>
  <sheetFormatPr defaultColWidth="11" defaultRowHeight="15" x14ac:dyDescent="0.25"/>
  <cols>
    <col min="1" max="1" width="6.42578125" style="739" customWidth="1"/>
    <col min="2" max="2" width="12.140625" style="740" customWidth="1"/>
    <col min="3" max="3" width="51" style="741" customWidth="1"/>
    <col min="4" max="4" width="12.140625" style="740" customWidth="1"/>
    <col min="5" max="5" width="6.42578125" style="742" customWidth="1"/>
    <col min="6" max="6" width="14.42578125" style="743" customWidth="1"/>
    <col min="7" max="7" width="16.140625" style="744" customWidth="1"/>
    <col min="8" max="8" width="13.7109375" style="745" bestFit="1" customWidth="1"/>
    <col min="9" max="256" width="11" style="745"/>
    <col min="257" max="257" width="6.42578125" style="745" customWidth="1"/>
    <col min="258" max="258" width="12.140625" style="745" customWidth="1"/>
    <col min="259" max="259" width="51" style="745" customWidth="1"/>
    <col min="260" max="260" width="12.140625" style="745" customWidth="1"/>
    <col min="261" max="261" width="6.42578125" style="745" customWidth="1"/>
    <col min="262" max="262" width="14.42578125" style="745" customWidth="1"/>
    <col min="263" max="263" width="16.140625" style="745" customWidth="1"/>
    <col min="264" max="264" width="13.7109375" style="745" bestFit="1" customWidth="1"/>
    <col min="265" max="512" width="11" style="745"/>
    <col min="513" max="513" width="6.42578125" style="745" customWidth="1"/>
    <col min="514" max="514" width="12.140625" style="745" customWidth="1"/>
    <col min="515" max="515" width="51" style="745" customWidth="1"/>
    <col min="516" max="516" width="12.140625" style="745" customWidth="1"/>
    <col min="517" max="517" width="6.42578125" style="745" customWidth="1"/>
    <col min="518" max="518" width="14.42578125" style="745" customWidth="1"/>
    <col min="519" max="519" width="16.140625" style="745" customWidth="1"/>
    <col min="520" max="520" width="13.7109375" style="745" bestFit="1" customWidth="1"/>
    <col min="521" max="768" width="11" style="745"/>
    <col min="769" max="769" width="6.42578125" style="745" customWidth="1"/>
    <col min="770" max="770" width="12.140625" style="745" customWidth="1"/>
    <col min="771" max="771" width="51" style="745" customWidth="1"/>
    <col min="772" max="772" width="12.140625" style="745" customWidth="1"/>
    <col min="773" max="773" width="6.42578125" style="745" customWidth="1"/>
    <col min="774" max="774" width="14.42578125" style="745" customWidth="1"/>
    <col min="775" max="775" width="16.140625" style="745" customWidth="1"/>
    <col min="776" max="776" width="13.7109375" style="745" bestFit="1" customWidth="1"/>
    <col min="777" max="1024" width="11" style="745"/>
    <col min="1025" max="1025" width="6.42578125" style="745" customWidth="1"/>
    <col min="1026" max="1026" width="12.140625" style="745" customWidth="1"/>
    <col min="1027" max="1027" width="51" style="745" customWidth="1"/>
    <col min="1028" max="1028" width="12.140625" style="745" customWidth="1"/>
    <col min="1029" max="1029" width="6.42578125" style="745" customWidth="1"/>
    <col min="1030" max="1030" width="14.42578125" style="745" customWidth="1"/>
    <col min="1031" max="1031" width="16.140625" style="745" customWidth="1"/>
    <col min="1032" max="1032" width="13.7109375" style="745" bestFit="1" customWidth="1"/>
    <col min="1033" max="1280" width="11" style="745"/>
    <col min="1281" max="1281" width="6.42578125" style="745" customWidth="1"/>
    <col min="1282" max="1282" width="12.140625" style="745" customWidth="1"/>
    <col min="1283" max="1283" width="51" style="745" customWidth="1"/>
    <col min="1284" max="1284" width="12.140625" style="745" customWidth="1"/>
    <col min="1285" max="1285" width="6.42578125" style="745" customWidth="1"/>
    <col min="1286" max="1286" width="14.42578125" style="745" customWidth="1"/>
    <col min="1287" max="1287" width="16.140625" style="745" customWidth="1"/>
    <col min="1288" max="1288" width="13.7109375" style="745" bestFit="1" customWidth="1"/>
    <col min="1289" max="1536" width="11" style="745"/>
    <col min="1537" max="1537" width="6.42578125" style="745" customWidth="1"/>
    <col min="1538" max="1538" width="12.140625" style="745" customWidth="1"/>
    <col min="1539" max="1539" width="51" style="745" customWidth="1"/>
    <col min="1540" max="1540" width="12.140625" style="745" customWidth="1"/>
    <col min="1541" max="1541" width="6.42578125" style="745" customWidth="1"/>
    <col min="1542" max="1542" width="14.42578125" style="745" customWidth="1"/>
    <col min="1543" max="1543" width="16.140625" style="745" customWidth="1"/>
    <col min="1544" max="1544" width="13.7109375" style="745" bestFit="1" customWidth="1"/>
    <col min="1545" max="1792" width="11" style="745"/>
    <col min="1793" max="1793" width="6.42578125" style="745" customWidth="1"/>
    <col min="1794" max="1794" width="12.140625" style="745" customWidth="1"/>
    <col min="1795" max="1795" width="51" style="745" customWidth="1"/>
    <col min="1796" max="1796" width="12.140625" style="745" customWidth="1"/>
    <col min="1797" max="1797" width="6.42578125" style="745" customWidth="1"/>
    <col min="1798" max="1798" width="14.42578125" style="745" customWidth="1"/>
    <col min="1799" max="1799" width="16.140625" style="745" customWidth="1"/>
    <col min="1800" max="1800" width="13.7109375" style="745" bestFit="1" customWidth="1"/>
    <col min="1801" max="2048" width="11" style="745"/>
    <col min="2049" max="2049" width="6.42578125" style="745" customWidth="1"/>
    <col min="2050" max="2050" width="12.140625" style="745" customWidth="1"/>
    <col min="2051" max="2051" width="51" style="745" customWidth="1"/>
    <col min="2052" max="2052" width="12.140625" style="745" customWidth="1"/>
    <col min="2053" max="2053" width="6.42578125" style="745" customWidth="1"/>
    <col min="2054" max="2054" width="14.42578125" style="745" customWidth="1"/>
    <col min="2055" max="2055" width="16.140625" style="745" customWidth="1"/>
    <col min="2056" max="2056" width="13.7109375" style="745" bestFit="1" customWidth="1"/>
    <col min="2057" max="2304" width="11" style="745"/>
    <col min="2305" max="2305" width="6.42578125" style="745" customWidth="1"/>
    <col min="2306" max="2306" width="12.140625" style="745" customWidth="1"/>
    <col min="2307" max="2307" width="51" style="745" customWidth="1"/>
    <col min="2308" max="2308" width="12.140625" style="745" customWidth="1"/>
    <col min="2309" max="2309" width="6.42578125" style="745" customWidth="1"/>
    <col min="2310" max="2310" width="14.42578125" style="745" customWidth="1"/>
    <col min="2311" max="2311" width="16.140625" style="745" customWidth="1"/>
    <col min="2312" max="2312" width="13.7109375" style="745" bestFit="1" customWidth="1"/>
    <col min="2313" max="2560" width="11" style="745"/>
    <col min="2561" max="2561" width="6.42578125" style="745" customWidth="1"/>
    <col min="2562" max="2562" width="12.140625" style="745" customWidth="1"/>
    <col min="2563" max="2563" width="51" style="745" customWidth="1"/>
    <col min="2564" max="2564" width="12.140625" style="745" customWidth="1"/>
    <col min="2565" max="2565" width="6.42578125" style="745" customWidth="1"/>
    <col min="2566" max="2566" width="14.42578125" style="745" customWidth="1"/>
    <col min="2567" max="2567" width="16.140625" style="745" customWidth="1"/>
    <col min="2568" max="2568" width="13.7109375" style="745" bestFit="1" customWidth="1"/>
    <col min="2569" max="2816" width="11" style="745"/>
    <col min="2817" max="2817" width="6.42578125" style="745" customWidth="1"/>
    <col min="2818" max="2818" width="12.140625" style="745" customWidth="1"/>
    <col min="2819" max="2819" width="51" style="745" customWidth="1"/>
    <col min="2820" max="2820" width="12.140625" style="745" customWidth="1"/>
    <col min="2821" max="2821" width="6.42578125" style="745" customWidth="1"/>
    <col min="2822" max="2822" width="14.42578125" style="745" customWidth="1"/>
    <col min="2823" max="2823" width="16.140625" style="745" customWidth="1"/>
    <col min="2824" max="2824" width="13.7109375" style="745" bestFit="1" customWidth="1"/>
    <col min="2825" max="3072" width="11" style="745"/>
    <col min="3073" max="3073" width="6.42578125" style="745" customWidth="1"/>
    <col min="3074" max="3074" width="12.140625" style="745" customWidth="1"/>
    <col min="3075" max="3075" width="51" style="745" customWidth="1"/>
    <col min="3076" max="3076" width="12.140625" style="745" customWidth="1"/>
    <col min="3077" max="3077" width="6.42578125" style="745" customWidth="1"/>
    <col min="3078" max="3078" width="14.42578125" style="745" customWidth="1"/>
    <col min="3079" max="3079" width="16.140625" style="745" customWidth="1"/>
    <col min="3080" max="3080" width="13.7109375" style="745" bestFit="1" customWidth="1"/>
    <col min="3081" max="3328" width="11" style="745"/>
    <col min="3329" max="3329" width="6.42578125" style="745" customWidth="1"/>
    <col min="3330" max="3330" width="12.140625" style="745" customWidth="1"/>
    <col min="3331" max="3331" width="51" style="745" customWidth="1"/>
    <col min="3332" max="3332" width="12.140625" style="745" customWidth="1"/>
    <col min="3333" max="3333" width="6.42578125" style="745" customWidth="1"/>
    <col min="3334" max="3334" width="14.42578125" style="745" customWidth="1"/>
    <col min="3335" max="3335" width="16.140625" style="745" customWidth="1"/>
    <col min="3336" max="3336" width="13.7109375" style="745" bestFit="1" customWidth="1"/>
    <col min="3337" max="3584" width="11" style="745"/>
    <col min="3585" max="3585" width="6.42578125" style="745" customWidth="1"/>
    <col min="3586" max="3586" width="12.140625" style="745" customWidth="1"/>
    <col min="3587" max="3587" width="51" style="745" customWidth="1"/>
    <col min="3588" max="3588" width="12.140625" style="745" customWidth="1"/>
    <col min="3589" max="3589" width="6.42578125" style="745" customWidth="1"/>
    <col min="3590" max="3590" width="14.42578125" style="745" customWidth="1"/>
    <col min="3591" max="3591" width="16.140625" style="745" customWidth="1"/>
    <col min="3592" max="3592" width="13.7109375" style="745" bestFit="1" customWidth="1"/>
    <col min="3593" max="3840" width="11" style="745"/>
    <col min="3841" max="3841" width="6.42578125" style="745" customWidth="1"/>
    <col min="3842" max="3842" width="12.140625" style="745" customWidth="1"/>
    <col min="3843" max="3843" width="51" style="745" customWidth="1"/>
    <col min="3844" max="3844" width="12.140625" style="745" customWidth="1"/>
    <col min="3845" max="3845" width="6.42578125" style="745" customWidth="1"/>
    <col min="3846" max="3846" width="14.42578125" style="745" customWidth="1"/>
    <col min="3847" max="3847" width="16.140625" style="745" customWidth="1"/>
    <col min="3848" max="3848" width="13.7109375" style="745" bestFit="1" customWidth="1"/>
    <col min="3849" max="4096" width="11" style="745"/>
    <col min="4097" max="4097" width="6.42578125" style="745" customWidth="1"/>
    <col min="4098" max="4098" width="12.140625" style="745" customWidth="1"/>
    <col min="4099" max="4099" width="51" style="745" customWidth="1"/>
    <col min="4100" max="4100" width="12.140625" style="745" customWidth="1"/>
    <col min="4101" max="4101" width="6.42578125" style="745" customWidth="1"/>
    <col min="4102" max="4102" width="14.42578125" style="745" customWidth="1"/>
    <col min="4103" max="4103" width="16.140625" style="745" customWidth="1"/>
    <col min="4104" max="4104" width="13.7109375" style="745" bestFit="1" customWidth="1"/>
    <col min="4105" max="4352" width="11" style="745"/>
    <col min="4353" max="4353" width="6.42578125" style="745" customWidth="1"/>
    <col min="4354" max="4354" width="12.140625" style="745" customWidth="1"/>
    <col min="4355" max="4355" width="51" style="745" customWidth="1"/>
    <col min="4356" max="4356" width="12.140625" style="745" customWidth="1"/>
    <col min="4357" max="4357" width="6.42578125" style="745" customWidth="1"/>
    <col min="4358" max="4358" width="14.42578125" style="745" customWidth="1"/>
    <col min="4359" max="4359" width="16.140625" style="745" customWidth="1"/>
    <col min="4360" max="4360" width="13.7109375" style="745" bestFit="1" customWidth="1"/>
    <col min="4361" max="4608" width="11" style="745"/>
    <col min="4609" max="4609" width="6.42578125" style="745" customWidth="1"/>
    <col min="4610" max="4610" width="12.140625" style="745" customWidth="1"/>
    <col min="4611" max="4611" width="51" style="745" customWidth="1"/>
    <col min="4612" max="4612" width="12.140625" style="745" customWidth="1"/>
    <col min="4613" max="4613" width="6.42578125" style="745" customWidth="1"/>
    <col min="4614" max="4614" width="14.42578125" style="745" customWidth="1"/>
    <col min="4615" max="4615" width="16.140625" style="745" customWidth="1"/>
    <col min="4616" max="4616" width="13.7109375" style="745" bestFit="1" customWidth="1"/>
    <col min="4617" max="4864" width="11" style="745"/>
    <col min="4865" max="4865" width="6.42578125" style="745" customWidth="1"/>
    <col min="4866" max="4866" width="12.140625" style="745" customWidth="1"/>
    <col min="4867" max="4867" width="51" style="745" customWidth="1"/>
    <col min="4868" max="4868" width="12.140625" style="745" customWidth="1"/>
    <col min="4869" max="4869" width="6.42578125" style="745" customWidth="1"/>
    <col min="4870" max="4870" width="14.42578125" style="745" customWidth="1"/>
    <col min="4871" max="4871" width="16.140625" style="745" customWidth="1"/>
    <col min="4872" max="4872" width="13.7109375" style="745" bestFit="1" customWidth="1"/>
    <col min="4873" max="5120" width="11" style="745"/>
    <col min="5121" max="5121" width="6.42578125" style="745" customWidth="1"/>
    <col min="5122" max="5122" width="12.140625" style="745" customWidth="1"/>
    <col min="5123" max="5123" width="51" style="745" customWidth="1"/>
    <col min="5124" max="5124" width="12.140625" style="745" customWidth="1"/>
    <col min="5125" max="5125" width="6.42578125" style="745" customWidth="1"/>
    <col min="5126" max="5126" width="14.42578125" style="745" customWidth="1"/>
    <col min="5127" max="5127" width="16.140625" style="745" customWidth="1"/>
    <col min="5128" max="5128" width="13.7109375" style="745" bestFit="1" customWidth="1"/>
    <col min="5129" max="5376" width="11" style="745"/>
    <col min="5377" max="5377" width="6.42578125" style="745" customWidth="1"/>
    <col min="5378" max="5378" width="12.140625" style="745" customWidth="1"/>
    <col min="5379" max="5379" width="51" style="745" customWidth="1"/>
    <col min="5380" max="5380" width="12.140625" style="745" customWidth="1"/>
    <col min="5381" max="5381" width="6.42578125" style="745" customWidth="1"/>
    <col min="5382" max="5382" width="14.42578125" style="745" customWidth="1"/>
    <col min="5383" max="5383" width="16.140625" style="745" customWidth="1"/>
    <col min="5384" max="5384" width="13.7109375" style="745" bestFit="1" customWidth="1"/>
    <col min="5385" max="5632" width="11" style="745"/>
    <col min="5633" max="5633" width="6.42578125" style="745" customWidth="1"/>
    <col min="5634" max="5634" width="12.140625" style="745" customWidth="1"/>
    <col min="5635" max="5635" width="51" style="745" customWidth="1"/>
    <col min="5636" max="5636" width="12.140625" style="745" customWidth="1"/>
    <col min="5637" max="5637" width="6.42578125" style="745" customWidth="1"/>
    <col min="5638" max="5638" width="14.42578125" style="745" customWidth="1"/>
    <col min="5639" max="5639" width="16.140625" style="745" customWidth="1"/>
    <col min="5640" max="5640" width="13.7109375" style="745" bestFit="1" customWidth="1"/>
    <col min="5641" max="5888" width="11" style="745"/>
    <col min="5889" max="5889" width="6.42578125" style="745" customWidth="1"/>
    <col min="5890" max="5890" width="12.140625" style="745" customWidth="1"/>
    <col min="5891" max="5891" width="51" style="745" customWidth="1"/>
    <col min="5892" max="5892" width="12.140625" style="745" customWidth="1"/>
    <col min="5893" max="5893" width="6.42578125" style="745" customWidth="1"/>
    <col min="5894" max="5894" width="14.42578125" style="745" customWidth="1"/>
    <col min="5895" max="5895" width="16.140625" style="745" customWidth="1"/>
    <col min="5896" max="5896" width="13.7109375" style="745" bestFit="1" customWidth="1"/>
    <col min="5897" max="6144" width="11" style="745"/>
    <col min="6145" max="6145" width="6.42578125" style="745" customWidth="1"/>
    <col min="6146" max="6146" width="12.140625" style="745" customWidth="1"/>
    <col min="6147" max="6147" width="51" style="745" customWidth="1"/>
    <col min="6148" max="6148" width="12.140625" style="745" customWidth="1"/>
    <col min="6149" max="6149" width="6.42578125" style="745" customWidth="1"/>
    <col min="6150" max="6150" width="14.42578125" style="745" customWidth="1"/>
    <col min="6151" max="6151" width="16.140625" style="745" customWidth="1"/>
    <col min="6152" max="6152" width="13.7109375" style="745" bestFit="1" customWidth="1"/>
    <col min="6153" max="6400" width="11" style="745"/>
    <col min="6401" max="6401" width="6.42578125" style="745" customWidth="1"/>
    <col min="6402" max="6402" width="12.140625" style="745" customWidth="1"/>
    <col min="6403" max="6403" width="51" style="745" customWidth="1"/>
    <col min="6404" max="6404" width="12.140625" style="745" customWidth="1"/>
    <col min="6405" max="6405" width="6.42578125" style="745" customWidth="1"/>
    <col min="6406" max="6406" width="14.42578125" style="745" customWidth="1"/>
    <col min="6407" max="6407" width="16.140625" style="745" customWidth="1"/>
    <col min="6408" max="6408" width="13.7109375" style="745" bestFit="1" customWidth="1"/>
    <col min="6409" max="6656" width="11" style="745"/>
    <col min="6657" max="6657" width="6.42578125" style="745" customWidth="1"/>
    <col min="6658" max="6658" width="12.140625" style="745" customWidth="1"/>
    <col min="6659" max="6659" width="51" style="745" customWidth="1"/>
    <col min="6660" max="6660" width="12.140625" style="745" customWidth="1"/>
    <col min="6661" max="6661" width="6.42578125" style="745" customWidth="1"/>
    <col min="6662" max="6662" width="14.42578125" style="745" customWidth="1"/>
    <col min="6663" max="6663" width="16.140625" style="745" customWidth="1"/>
    <col min="6664" max="6664" width="13.7109375" style="745" bestFit="1" customWidth="1"/>
    <col min="6665" max="6912" width="11" style="745"/>
    <col min="6913" max="6913" width="6.42578125" style="745" customWidth="1"/>
    <col min="6914" max="6914" width="12.140625" style="745" customWidth="1"/>
    <col min="6915" max="6915" width="51" style="745" customWidth="1"/>
    <col min="6916" max="6916" width="12.140625" style="745" customWidth="1"/>
    <col min="6917" max="6917" width="6.42578125" style="745" customWidth="1"/>
    <col min="6918" max="6918" width="14.42578125" style="745" customWidth="1"/>
    <col min="6919" max="6919" width="16.140625" style="745" customWidth="1"/>
    <col min="6920" max="6920" width="13.7109375" style="745" bestFit="1" customWidth="1"/>
    <col min="6921" max="7168" width="11" style="745"/>
    <col min="7169" max="7169" width="6.42578125" style="745" customWidth="1"/>
    <col min="7170" max="7170" width="12.140625" style="745" customWidth="1"/>
    <col min="7171" max="7171" width="51" style="745" customWidth="1"/>
    <col min="7172" max="7172" width="12.140625" style="745" customWidth="1"/>
    <col min="7173" max="7173" width="6.42578125" style="745" customWidth="1"/>
    <col min="7174" max="7174" width="14.42578125" style="745" customWidth="1"/>
    <col min="7175" max="7175" width="16.140625" style="745" customWidth="1"/>
    <col min="7176" max="7176" width="13.7109375" style="745" bestFit="1" customWidth="1"/>
    <col min="7177" max="7424" width="11" style="745"/>
    <col min="7425" max="7425" width="6.42578125" style="745" customWidth="1"/>
    <col min="7426" max="7426" width="12.140625" style="745" customWidth="1"/>
    <col min="7427" max="7427" width="51" style="745" customWidth="1"/>
    <col min="7428" max="7428" width="12.140625" style="745" customWidth="1"/>
    <col min="7429" max="7429" width="6.42578125" style="745" customWidth="1"/>
    <col min="7430" max="7430" width="14.42578125" style="745" customWidth="1"/>
    <col min="7431" max="7431" width="16.140625" style="745" customWidth="1"/>
    <col min="7432" max="7432" width="13.7109375" style="745" bestFit="1" customWidth="1"/>
    <col min="7433" max="7680" width="11" style="745"/>
    <col min="7681" max="7681" width="6.42578125" style="745" customWidth="1"/>
    <col min="7682" max="7682" width="12.140625" style="745" customWidth="1"/>
    <col min="7683" max="7683" width="51" style="745" customWidth="1"/>
    <col min="7684" max="7684" width="12.140625" style="745" customWidth="1"/>
    <col min="7685" max="7685" width="6.42578125" style="745" customWidth="1"/>
    <col min="7686" max="7686" width="14.42578125" style="745" customWidth="1"/>
    <col min="7687" max="7687" width="16.140625" style="745" customWidth="1"/>
    <col min="7688" max="7688" width="13.7109375" style="745" bestFit="1" customWidth="1"/>
    <col min="7689" max="7936" width="11" style="745"/>
    <col min="7937" max="7937" width="6.42578125" style="745" customWidth="1"/>
    <col min="7938" max="7938" width="12.140625" style="745" customWidth="1"/>
    <col min="7939" max="7939" width="51" style="745" customWidth="1"/>
    <col min="7940" max="7940" width="12.140625" style="745" customWidth="1"/>
    <col min="7941" max="7941" width="6.42578125" style="745" customWidth="1"/>
    <col min="7942" max="7942" width="14.42578125" style="745" customWidth="1"/>
    <col min="7943" max="7943" width="16.140625" style="745" customWidth="1"/>
    <col min="7944" max="7944" width="13.7109375" style="745" bestFit="1" customWidth="1"/>
    <col min="7945" max="8192" width="11" style="745"/>
    <col min="8193" max="8193" width="6.42578125" style="745" customWidth="1"/>
    <col min="8194" max="8194" width="12.140625" style="745" customWidth="1"/>
    <col min="8195" max="8195" width="51" style="745" customWidth="1"/>
    <col min="8196" max="8196" width="12.140625" style="745" customWidth="1"/>
    <col min="8197" max="8197" width="6.42578125" style="745" customWidth="1"/>
    <col min="8198" max="8198" width="14.42578125" style="745" customWidth="1"/>
    <col min="8199" max="8199" width="16.140625" style="745" customWidth="1"/>
    <col min="8200" max="8200" width="13.7109375" style="745" bestFit="1" customWidth="1"/>
    <col min="8201" max="8448" width="11" style="745"/>
    <col min="8449" max="8449" width="6.42578125" style="745" customWidth="1"/>
    <col min="8450" max="8450" width="12.140625" style="745" customWidth="1"/>
    <col min="8451" max="8451" width="51" style="745" customWidth="1"/>
    <col min="8452" max="8452" width="12.140625" style="745" customWidth="1"/>
    <col min="8453" max="8453" width="6.42578125" style="745" customWidth="1"/>
    <col min="8454" max="8454" width="14.42578125" style="745" customWidth="1"/>
    <col min="8455" max="8455" width="16.140625" style="745" customWidth="1"/>
    <col min="8456" max="8456" width="13.7109375" style="745" bestFit="1" customWidth="1"/>
    <col min="8457" max="8704" width="11" style="745"/>
    <col min="8705" max="8705" width="6.42578125" style="745" customWidth="1"/>
    <col min="8706" max="8706" width="12.140625" style="745" customWidth="1"/>
    <col min="8707" max="8707" width="51" style="745" customWidth="1"/>
    <col min="8708" max="8708" width="12.140625" style="745" customWidth="1"/>
    <col min="8709" max="8709" width="6.42578125" style="745" customWidth="1"/>
    <col min="8710" max="8710" width="14.42578125" style="745" customWidth="1"/>
    <col min="8711" max="8711" width="16.140625" style="745" customWidth="1"/>
    <col min="8712" max="8712" width="13.7109375" style="745" bestFit="1" customWidth="1"/>
    <col min="8713" max="8960" width="11" style="745"/>
    <col min="8961" max="8961" width="6.42578125" style="745" customWidth="1"/>
    <col min="8962" max="8962" width="12.140625" style="745" customWidth="1"/>
    <col min="8963" max="8963" width="51" style="745" customWidth="1"/>
    <col min="8964" max="8964" width="12.140625" style="745" customWidth="1"/>
    <col min="8965" max="8965" width="6.42578125" style="745" customWidth="1"/>
    <col min="8966" max="8966" width="14.42578125" style="745" customWidth="1"/>
    <col min="8967" max="8967" width="16.140625" style="745" customWidth="1"/>
    <col min="8968" max="8968" width="13.7109375" style="745" bestFit="1" customWidth="1"/>
    <col min="8969" max="9216" width="11" style="745"/>
    <col min="9217" max="9217" width="6.42578125" style="745" customWidth="1"/>
    <col min="9218" max="9218" width="12.140625" style="745" customWidth="1"/>
    <col min="9219" max="9219" width="51" style="745" customWidth="1"/>
    <col min="9220" max="9220" width="12.140625" style="745" customWidth="1"/>
    <col min="9221" max="9221" width="6.42578125" style="745" customWidth="1"/>
    <col min="9222" max="9222" width="14.42578125" style="745" customWidth="1"/>
    <col min="9223" max="9223" width="16.140625" style="745" customWidth="1"/>
    <col min="9224" max="9224" width="13.7109375" style="745" bestFit="1" customWidth="1"/>
    <col min="9225" max="9472" width="11" style="745"/>
    <col min="9473" max="9473" width="6.42578125" style="745" customWidth="1"/>
    <col min="9474" max="9474" width="12.140625" style="745" customWidth="1"/>
    <col min="9475" max="9475" width="51" style="745" customWidth="1"/>
    <col min="9476" max="9476" width="12.140625" style="745" customWidth="1"/>
    <col min="9477" max="9477" width="6.42578125" style="745" customWidth="1"/>
    <col min="9478" max="9478" width="14.42578125" style="745" customWidth="1"/>
    <col min="9479" max="9479" width="16.140625" style="745" customWidth="1"/>
    <col min="9480" max="9480" width="13.7109375" style="745" bestFit="1" customWidth="1"/>
    <col min="9481" max="9728" width="11" style="745"/>
    <col min="9729" max="9729" width="6.42578125" style="745" customWidth="1"/>
    <col min="9730" max="9730" width="12.140625" style="745" customWidth="1"/>
    <col min="9731" max="9731" width="51" style="745" customWidth="1"/>
    <col min="9732" max="9732" width="12.140625" style="745" customWidth="1"/>
    <col min="9733" max="9733" width="6.42578125" style="745" customWidth="1"/>
    <col min="9734" max="9734" width="14.42578125" style="745" customWidth="1"/>
    <col min="9735" max="9735" width="16.140625" style="745" customWidth="1"/>
    <col min="9736" max="9736" width="13.7109375" style="745" bestFit="1" customWidth="1"/>
    <col min="9737" max="9984" width="11" style="745"/>
    <col min="9985" max="9985" width="6.42578125" style="745" customWidth="1"/>
    <col min="9986" max="9986" width="12.140625" style="745" customWidth="1"/>
    <col min="9987" max="9987" width="51" style="745" customWidth="1"/>
    <col min="9988" max="9988" width="12.140625" style="745" customWidth="1"/>
    <col min="9989" max="9989" width="6.42578125" style="745" customWidth="1"/>
    <col min="9990" max="9990" width="14.42578125" style="745" customWidth="1"/>
    <col min="9991" max="9991" width="16.140625" style="745" customWidth="1"/>
    <col min="9992" max="9992" width="13.7109375" style="745" bestFit="1" customWidth="1"/>
    <col min="9993" max="10240" width="11" style="745"/>
    <col min="10241" max="10241" width="6.42578125" style="745" customWidth="1"/>
    <col min="10242" max="10242" width="12.140625" style="745" customWidth="1"/>
    <col min="10243" max="10243" width="51" style="745" customWidth="1"/>
    <col min="10244" max="10244" width="12.140625" style="745" customWidth="1"/>
    <col min="10245" max="10245" width="6.42578125" style="745" customWidth="1"/>
    <col min="10246" max="10246" width="14.42578125" style="745" customWidth="1"/>
    <col min="10247" max="10247" width="16.140625" style="745" customWidth="1"/>
    <col min="10248" max="10248" width="13.7109375" style="745" bestFit="1" customWidth="1"/>
    <col min="10249" max="10496" width="11" style="745"/>
    <col min="10497" max="10497" width="6.42578125" style="745" customWidth="1"/>
    <col min="10498" max="10498" width="12.140625" style="745" customWidth="1"/>
    <col min="10499" max="10499" width="51" style="745" customWidth="1"/>
    <col min="10500" max="10500" width="12.140625" style="745" customWidth="1"/>
    <col min="10501" max="10501" width="6.42578125" style="745" customWidth="1"/>
    <col min="10502" max="10502" width="14.42578125" style="745" customWidth="1"/>
    <col min="10503" max="10503" width="16.140625" style="745" customWidth="1"/>
    <col min="10504" max="10504" width="13.7109375" style="745" bestFit="1" customWidth="1"/>
    <col min="10505" max="10752" width="11" style="745"/>
    <col min="10753" max="10753" width="6.42578125" style="745" customWidth="1"/>
    <col min="10754" max="10754" width="12.140625" style="745" customWidth="1"/>
    <col min="10755" max="10755" width="51" style="745" customWidth="1"/>
    <col min="10756" max="10756" width="12.140625" style="745" customWidth="1"/>
    <col min="10757" max="10757" width="6.42578125" style="745" customWidth="1"/>
    <col min="10758" max="10758" width="14.42578125" style="745" customWidth="1"/>
    <col min="10759" max="10759" width="16.140625" style="745" customWidth="1"/>
    <col min="10760" max="10760" width="13.7109375" style="745" bestFit="1" customWidth="1"/>
    <col min="10761" max="11008" width="11" style="745"/>
    <col min="11009" max="11009" width="6.42578125" style="745" customWidth="1"/>
    <col min="11010" max="11010" width="12.140625" style="745" customWidth="1"/>
    <col min="11011" max="11011" width="51" style="745" customWidth="1"/>
    <col min="11012" max="11012" width="12.140625" style="745" customWidth="1"/>
    <col min="11013" max="11013" width="6.42578125" style="745" customWidth="1"/>
    <col min="11014" max="11014" width="14.42578125" style="745" customWidth="1"/>
    <col min="11015" max="11015" width="16.140625" style="745" customWidth="1"/>
    <col min="11016" max="11016" width="13.7109375" style="745" bestFit="1" customWidth="1"/>
    <col min="11017" max="11264" width="11" style="745"/>
    <col min="11265" max="11265" width="6.42578125" style="745" customWidth="1"/>
    <col min="11266" max="11266" width="12.140625" style="745" customWidth="1"/>
    <col min="11267" max="11267" width="51" style="745" customWidth="1"/>
    <col min="11268" max="11268" width="12.140625" style="745" customWidth="1"/>
    <col min="11269" max="11269" width="6.42578125" style="745" customWidth="1"/>
    <col min="11270" max="11270" width="14.42578125" style="745" customWidth="1"/>
    <col min="11271" max="11271" width="16.140625" style="745" customWidth="1"/>
    <col min="11272" max="11272" width="13.7109375" style="745" bestFit="1" customWidth="1"/>
    <col min="11273" max="11520" width="11" style="745"/>
    <col min="11521" max="11521" width="6.42578125" style="745" customWidth="1"/>
    <col min="11522" max="11522" width="12.140625" style="745" customWidth="1"/>
    <col min="11523" max="11523" width="51" style="745" customWidth="1"/>
    <col min="11524" max="11524" width="12.140625" style="745" customWidth="1"/>
    <col min="11525" max="11525" width="6.42578125" style="745" customWidth="1"/>
    <col min="11526" max="11526" width="14.42578125" style="745" customWidth="1"/>
    <col min="11527" max="11527" width="16.140625" style="745" customWidth="1"/>
    <col min="11528" max="11528" width="13.7109375" style="745" bestFit="1" customWidth="1"/>
    <col min="11529" max="11776" width="11" style="745"/>
    <col min="11777" max="11777" width="6.42578125" style="745" customWidth="1"/>
    <col min="11778" max="11778" width="12.140625" style="745" customWidth="1"/>
    <col min="11779" max="11779" width="51" style="745" customWidth="1"/>
    <col min="11780" max="11780" width="12.140625" style="745" customWidth="1"/>
    <col min="11781" max="11781" width="6.42578125" style="745" customWidth="1"/>
    <col min="11782" max="11782" width="14.42578125" style="745" customWidth="1"/>
    <col min="11783" max="11783" width="16.140625" style="745" customWidth="1"/>
    <col min="11784" max="11784" width="13.7109375" style="745" bestFit="1" customWidth="1"/>
    <col min="11785" max="12032" width="11" style="745"/>
    <col min="12033" max="12033" width="6.42578125" style="745" customWidth="1"/>
    <col min="12034" max="12034" width="12.140625" style="745" customWidth="1"/>
    <col min="12035" max="12035" width="51" style="745" customWidth="1"/>
    <col min="12036" max="12036" width="12.140625" style="745" customWidth="1"/>
    <col min="12037" max="12037" width="6.42578125" style="745" customWidth="1"/>
    <col min="12038" max="12038" width="14.42578125" style="745" customWidth="1"/>
    <col min="12039" max="12039" width="16.140625" style="745" customWidth="1"/>
    <col min="12040" max="12040" width="13.7109375" style="745" bestFit="1" customWidth="1"/>
    <col min="12041" max="12288" width="11" style="745"/>
    <col min="12289" max="12289" width="6.42578125" style="745" customWidth="1"/>
    <col min="12290" max="12290" width="12.140625" style="745" customWidth="1"/>
    <col min="12291" max="12291" width="51" style="745" customWidth="1"/>
    <col min="12292" max="12292" width="12.140625" style="745" customWidth="1"/>
    <col min="12293" max="12293" width="6.42578125" style="745" customWidth="1"/>
    <col min="12294" max="12294" width="14.42578125" style="745" customWidth="1"/>
    <col min="12295" max="12295" width="16.140625" style="745" customWidth="1"/>
    <col min="12296" max="12296" width="13.7109375" style="745" bestFit="1" customWidth="1"/>
    <col min="12297" max="12544" width="11" style="745"/>
    <col min="12545" max="12545" width="6.42578125" style="745" customWidth="1"/>
    <col min="12546" max="12546" width="12.140625" style="745" customWidth="1"/>
    <col min="12547" max="12547" width="51" style="745" customWidth="1"/>
    <col min="12548" max="12548" width="12.140625" style="745" customWidth="1"/>
    <col min="12549" max="12549" width="6.42578125" style="745" customWidth="1"/>
    <col min="12550" max="12550" width="14.42578125" style="745" customWidth="1"/>
    <col min="12551" max="12551" width="16.140625" style="745" customWidth="1"/>
    <col min="12552" max="12552" width="13.7109375" style="745" bestFit="1" customWidth="1"/>
    <col min="12553" max="12800" width="11" style="745"/>
    <col min="12801" max="12801" width="6.42578125" style="745" customWidth="1"/>
    <col min="12802" max="12802" width="12.140625" style="745" customWidth="1"/>
    <col min="12803" max="12803" width="51" style="745" customWidth="1"/>
    <col min="12804" max="12804" width="12.140625" style="745" customWidth="1"/>
    <col min="12805" max="12805" width="6.42578125" style="745" customWidth="1"/>
    <col min="12806" max="12806" width="14.42578125" style="745" customWidth="1"/>
    <col min="12807" max="12807" width="16.140625" style="745" customWidth="1"/>
    <col min="12808" max="12808" width="13.7109375" style="745" bestFit="1" customWidth="1"/>
    <col min="12809" max="13056" width="11" style="745"/>
    <col min="13057" max="13057" width="6.42578125" style="745" customWidth="1"/>
    <col min="13058" max="13058" width="12.140625" style="745" customWidth="1"/>
    <col min="13059" max="13059" width="51" style="745" customWidth="1"/>
    <col min="13060" max="13060" width="12.140625" style="745" customWidth="1"/>
    <col min="13061" max="13061" width="6.42578125" style="745" customWidth="1"/>
    <col min="13062" max="13062" width="14.42578125" style="745" customWidth="1"/>
    <col min="13063" max="13063" width="16.140625" style="745" customWidth="1"/>
    <col min="13064" max="13064" width="13.7109375" style="745" bestFit="1" customWidth="1"/>
    <col min="13065" max="13312" width="11" style="745"/>
    <col min="13313" max="13313" width="6.42578125" style="745" customWidth="1"/>
    <col min="13314" max="13314" width="12.140625" style="745" customWidth="1"/>
    <col min="13315" max="13315" width="51" style="745" customWidth="1"/>
    <col min="13316" max="13316" width="12.140625" style="745" customWidth="1"/>
    <col min="13317" max="13317" width="6.42578125" style="745" customWidth="1"/>
    <col min="13318" max="13318" width="14.42578125" style="745" customWidth="1"/>
    <col min="13319" max="13319" width="16.140625" style="745" customWidth="1"/>
    <col min="13320" max="13320" width="13.7109375" style="745" bestFit="1" customWidth="1"/>
    <col min="13321" max="13568" width="11" style="745"/>
    <col min="13569" max="13569" width="6.42578125" style="745" customWidth="1"/>
    <col min="13570" max="13570" width="12.140625" style="745" customWidth="1"/>
    <col min="13571" max="13571" width="51" style="745" customWidth="1"/>
    <col min="13572" max="13572" width="12.140625" style="745" customWidth="1"/>
    <col min="13573" max="13573" width="6.42578125" style="745" customWidth="1"/>
    <col min="13574" max="13574" width="14.42578125" style="745" customWidth="1"/>
    <col min="13575" max="13575" width="16.140625" style="745" customWidth="1"/>
    <col min="13576" max="13576" width="13.7109375" style="745" bestFit="1" customWidth="1"/>
    <col min="13577" max="13824" width="11" style="745"/>
    <col min="13825" max="13825" width="6.42578125" style="745" customWidth="1"/>
    <col min="13826" max="13826" width="12.140625" style="745" customWidth="1"/>
    <col min="13827" max="13827" width="51" style="745" customWidth="1"/>
    <col min="13828" max="13828" width="12.140625" style="745" customWidth="1"/>
    <col min="13829" max="13829" width="6.42578125" style="745" customWidth="1"/>
    <col min="13830" max="13830" width="14.42578125" style="745" customWidth="1"/>
    <col min="13831" max="13831" width="16.140625" style="745" customWidth="1"/>
    <col min="13832" max="13832" width="13.7109375" style="745" bestFit="1" customWidth="1"/>
    <col min="13833" max="14080" width="11" style="745"/>
    <col min="14081" max="14081" width="6.42578125" style="745" customWidth="1"/>
    <col min="14082" max="14082" width="12.140625" style="745" customWidth="1"/>
    <col min="14083" max="14083" width="51" style="745" customWidth="1"/>
    <col min="14084" max="14084" width="12.140625" style="745" customWidth="1"/>
    <col min="14085" max="14085" width="6.42578125" style="745" customWidth="1"/>
    <col min="14086" max="14086" width="14.42578125" style="745" customWidth="1"/>
    <col min="14087" max="14087" width="16.140625" style="745" customWidth="1"/>
    <col min="14088" max="14088" width="13.7109375" style="745" bestFit="1" customWidth="1"/>
    <col min="14089" max="14336" width="11" style="745"/>
    <col min="14337" max="14337" width="6.42578125" style="745" customWidth="1"/>
    <col min="14338" max="14338" width="12.140625" style="745" customWidth="1"/>
    <col min="14339" max="14339" width="51" style="745" customWidth="1"/>
    <col min="14340" max="14340" width="12.140625" style="745" customWidth="1"/>
    <col min="14341" max="14341" width="6.42578125" style="745" customWidth="1"/>
    <col min="14342" max="14342" width="14.42578125" style="745" customWidth="1"/>
    <col min="14343" max="14343" width="16.140625" style="745" customWidth="1"/>
    <col min="14344" max="14344" width="13.7109375" style="745" bestFit="1" customWidth="1"/>
    <col min="14345" max="14592" width="11" style="745"/>
    <col min="14593" max="14593" width="6.42578125" style="745" customWidth="1"/>
    <col min="14594" max="14594" width="12.140625" style="745" customWidth="1"/>
    <col min="14595" max="14595" width="51" style="745" customWidth="1"/>
    <col min="14596" max="14596" width="12.140625" style="745" customWidth="1"/>
    <col min="14597" max="14597" width="6.42578125" style="745" customWidth="1"/>
    <col min="14598" max="14598" width="14.42578125" style="745" customWidth="1"/>
    <col min="14599" max="14599" width="16.140625" style="745" customWidth="1"/>
    <col min="14600" max="14600" width="13.7109375" style="745" bestFit="1" customWidth="1"/>
    <col min="14601" max="14848" width="11" style="745"/>
    <col min="14849" max="14849" width="6.42578125" style="745" customWidth="1"/>
    <col min="14850" max="14850" width="12.140625" style="745" customWidth="1"/>
    <col min="14851" max="14851" width="51" style="745" customWidth="1"/>
    <col min="14852" max="14852" width="12.140625" style="745" customWidth="1"/>
    <col min="14853" max="14853" width="6.42578125" style="745" customWidth="1"/>
    <col min="14854" max="14854" width="14.42578125" style="745" customWidth="1"/>
    <col min="14855" max="14855" width="16.140625" style="745" customWidth="1"/>
    <col min="14856" max="14856" width="13.7109375" style="745" bestFit="1" customWidth="1"/>
    <col min="14857" max="15104" width="11" style="745"/>
    <col min="15105" max="15105" width="6.42578125" style="745" customWidth="1"/>
    <col min="15106" max="15106" width="12.140625" style="745" customWidth="1"/>
    <col min="15107" max="15107" width="51" style="745" customWidth="1"/>
    <col min="15108" max="15108" width="12.140625" style="745" customWidth="1"/>
    <col min="15109" max="15109" width="6.42578125" style="745" customWidth="1"/>
    <col min="15110" max="15110" width="14.42578125" style="745" customWidth="1"/>
    <col min="15111" max="15111" width="16.140625" style="745" customWidth="1"/>
    <col min="15112" max="15112" width="13.7109375" style="745" bestFit="1" customWidth="1"/>
    <col min="15113" max="15360" width="11" style="745"/>
    <col min="15361" max="15361" width="6.42578125" style="745" customWidth="1"/>
    <col min="15362" max="15362" width="12.140625" style="745" customWidth="1"/>
    <col min="15363" max="15363" width="51" style="745" customWidth="1"/>
    <col min="15364" max="15364" width="12.140625" style="745" customWidth="1"/>
    <col min="15365" max="15365" width="6.42578125" style="745" customWidth="1"/>
    <col min="15366" max="15366" width="14.42578125" style="745" customWidth="1"/>
    <col min="15367" max="15367" width="16.140625" style="745" customWidth="1"/>
    <col min="15368" max="15368" width="13.7109375" style="745" bestFit="1" customWidth="1"/>
    <col min="15369" max="15616" width="11" style="745"/>
    <col min="15617" max="15617" width="6.42578125" style="745" customWidth="1"/>
    <col min="15618" max="15618" width="12.140625" style="745" customWidth="1"/>
    <col min="15619" max="15619" width="51" style="745" customWidth="1"/>
    <col min="15620" max="15620" width="12.140625" style="745" customWidth="1"/>
    <col min="15621" max="15621" width="6.42578125" style="745" customWidth="1"/>
    <col min="15622" max="15622" width="14.42578125" style="745" customWidth="1"/>
    <col min="15623" max="15623" width="16.140625" style="745" customWidth="1"/>
    <col min="15624" max="15624" width="13.7109375" style="745" bestFit="1" customWidth="1"/>
    <col min="15625" max="15872" width="11" style="745"/>
    <col min="15873" max="15873" width="6.42578125" style="745" customWidth="1"/>
    <col min="15874" max="15874" width="12.140625" style="745" customWidth="1"/>
    <col min="15875" max="15875" width="51" style="745" customWidth="1"/>
    <col min="15876" max="15876" width="12.140625" style="745" customWidth="1"/>
    <col min="15877" max="15877" width="6.42578125" style="745" customWidth="1"/>
    <col min="15878" max="15878" width="14.42578125" style="745" customWidth="1"/>
    <col min="15879" max="15879" width="16.140625" style="745" customWidth="1"/>
    <col min="15880" max="15880" width="13.7109375" style="745" bestFit="1" customWidth="1"/>
    <col min="15881" max="16128" width="11" style="745"/>
    <col min="16129" max="16129" width="6.42578125" style="745" customWidth="1"/>
    <col min="16130" max="16130" width="12.140625" style="745" customWidth="1"/>
    <col min="16131" max="16131" width="51" style="745" customWidth="1"/>
    <col min="16132" max="16132" width="12.140625" style="745" customWidth="1"/>
    <col min="16133" max="16133" width="6.42578125" style="745" customWidth="1"/>
    <col min="16134" max="16134" width="14.42578125" style="745" customWidth="1"/>
    <col min="16135" max="16135" width="16.140625" style="745" customWidth="1"/>
    <col min="16136" max="16136" width="13.7109375" style="745" bestFit="1" customWidth="1"/>
    <col min="16137" max="16384" width="11" style="745"/>
  </cols>
  <sheetData>
    <row r="1" spans="1:7" s="699" customFormat="1" ht="24.95" customHeight="1" x14ac:dyDescent="0.25">
      <c r="A1" s="773" t="s">
        <v>811</v>
      </c>
      <c r="B1" s="773"/>
      <c r="C1" s="773"/>
      <c r="D1" s="773"/>
      <c r="E1" s="773"/>
      <c r="F1" s="773"/>
      <c r="G1" s="773"/>
    </row>
    <row r="2" spans="1:7" s="703" customFormat="1" ht="8.1" customHeight="1" thickBot="1" x14ac:dyDescent="0.3">
      <c r="A2" s="700"/>
      <c r="B2" s="701"/>
      <c r="C2" s="701"/>
      <c r="D2" s="701"/>
      <c r="E2" s="701"/>
      <c r="F2" s="702"/>
      <c r="G2" s="701"/>
    </row>
    <row r="3" spans="1:7" s="704" customFormat="1" thickBot="1" x14ac:dyDescent="0.3">
      <c r="A3" s="774" t="s">
        <v>812</v>
      </c>
      <c r="B3" s="775" t="s">
        <v>813</v>
      </c>
      <c r="C3" s="776" t="s">
        <v>814</v>
      </c>
      <c r="D3" s="775" t="s">
        <v>799</v>
      </c>
      <c r="E3" s="774" t="s">
        <v>2</v>
      </c>
      <c r="F3" s="777" t="s">
        <v>815</v>
      </c>
      <c r="G3" s="777" t="s">
        <v>816</v>
      </c>
    </row>
    <row r="4" spans="1:7" s="704" customFormat="1" ht="15" customHeight="1" thickBot="1" x14ac:dyDescent="0.3">
      <c r="A4" s="774"/>
      <c r="B4" s="775"/>
      <c r="C4" s="776"/>
      <c r="D4" s="775"/>
      <c r="E4" s="774"/>
      <c r="F4" s="777"/>
      <c r="G4" s="777"/>
    </row>
    <row r="5" spans="1:7" s="704" customFormat="1" ht="15" customHeight="1" x14ac:dyDescent="0.25">
      <c r="A5" s="705" t="s">
        <v>817</v>
      </c>
      <c r="B5" s="706"/>
      <c r="C5" s="707"/>
      <c r="D5" s="706"/>
      <c r="E5" s="708"/>
      <c r="F5" s="709"/>
      <c r="G5" s="710"/>
    </row>
    <row r="6" spans="1:7" s="704" customFormat="1" ht="15" customHeight="1" x14ac:dyDescent="0.25">
      <c r="A6" s="711" t="s">
        <v>818</v>
      </c>
      <c r="B6" s="712"/>
      <c r="C6" s="713"/>
      <c r="D6" s="712"/>
      <c r="E6" s="714"/>
      <c r="F6" s="715"/>
      <c r="G6" s="716"/>
    </row>
    <row r="7" spans="1:7" s="704" customFormat="1" ht="90" x14ac:dyDescent="0.25">
      <c r="A7" s="717">
        <v>1</v>
      </c>
      <c r="B7" s="718" t="s">
        <v>819</v>
      </c>
      <c r="C7" s="719" t="s">
        <v>820</v>
      </c>
      <c r="D7" s="718">
        <v>30000</v>
      </c>
      <c r="E7" s="718" t="s">
        <v>821</v>
      </c>
      <c r="F7" s="720">
        <v>3176.25</v>
      </c>
      <c r="G7" s="721">
        <f>ROUND(F7*D7/1000,0)</f>
        <v>95288</v>
      </c>
    </row>
    <row r="8" spans="1:7" s="704" customFormat="1" ht="105" x14ac:dyDescent="0.25">
      <c r="A8" s="717">
        <v>2</v>
      </c>
      <c r="B8" s="718" t="s">
        <v>822</v>
      </c>
      <c r="C8" s="719" t="s">
        <v>823</v>
      </c>
      <c r="D8" s="718">
        <v>8200</v>
      </c>
      <c r="E8" s="718" t="s">
        <v>10</v>
      </c>
      <c r="F8" s="720">
        <v>9.74</v>
      </c>
      <c r="G8" s="721">
        <f>ROUND(F8*D8,0)</f>
        <v>79868</v>
      </c>
    </row>
    <row r="9" spans="1:7" s="704" customFormat="1" ht="75" x14ac:dyDescent="0.25">
      <c r="A9" s="717">
        <v>3</v>
      </c>
      <c r="B9" s="718" t="s">
        <v>824</v>
      </c>
      <c r="C9" s="719" t="s">
        <v>825</v>
      </c>
      <c r="D9" s="718">
        <v>28600</v>
      </c>
      <c r="E9" s="718" t="s">
        <v>821</v>
      </c>
      <c r="F9" s="720">
        <v>354</v>
      </c>
      <c r="G9" s="721">
        <f>ROUND(F9*D9/1000,0)</f>
        <v>10124</v>
      </c>
    </row>
    <row r="10" spans="1:7" s="704" customFormat="1" ht="75" x14ac:dyDescent="0.25">
      <c r="A10" s="717">
        <v>4</v>
      </c>
      <c r="B10" s="718" t="s">
        <v>826</v>
      </c>
      <c r="C10" s="719" t="s">
        <v>827</v>
      </c>
      <c r="D10" s="718">
        <v>28600</v>
      </c>
      <c r="E10" s="718" t="s">
        <v>821</v>
      </c>
      <c r="F10" s="720">
        <v>3630</v>
      </c>
      <c r="G10" s="721">
        <f>ROUND(F10*D10/1000,0)</f>
        <v>103818</v>
      </c>
    </row>
    <row r="11" spans="1:7" s="704" customFormat="1" ht="60" x14ac:dyDescent="0.25">
      <c r="A11" s="717">
        <v>5</v>
      </c>
      <c r="B11" s="718" t="s">
        <v>828</v>
      </c>
      <c r="C11" s="719" t="s">
        <v>829</v>
      </c>
      <c r="D11" s="718">
        <v>3300</v>
      </c>
      <c r="E11" s="718" t="s">
        <v>807</v>
      </c>
      <c r="F11" s="720">
        <v>2684</v>
      </c>
      <c r="G11" s="721">
        <f>ROUND(F11*D11/100,0)</f>
        <v>88572</v>
      </c>
    </row>
    <row r="12" spans="1:7" s="704" customFormat="1" ht="120" x14ac:dyDescent="0.25">
      <c r="A12" s="717">
        <f>+A11+1</f>
        <v>6</v>
      </c>
      <c r="B12" s="718" t="s">
        <v>830</v>
      </c>
      <c r="C12" s="719" t="s">
        <v>831</v>
      </c>
      <c r="D12" s="718">
        <v>3000</v>
      </c>
      <c r="E12" s="718" t="s">
        <v>807</v>
      </c>
      <c r="F12" s="720">
        <v>17197.02</v>
      </c>
      <c r="G12" s="721">
        <f>ROUND(F12*D12/100,0)</f>
        <v>515911</v>
      </c>
    </row>
    <row r="13" spans="1:7" s="704" customFormat="1" ht="120" x14ac:dyDescent="0.25">
      <c r="A13" s="717">
        <f>+A12+1</f>
        <v>7</v>
      </c>
      <c r="B13" s="718" t="s">
        <v>832</v>
      </c>
      <c r="C13" s="719" t="s">
        <v>833</v>
      </c>
      <c r="D13" s="718">
        <v>5500</v>
      </c>
      <c r="E13" s="718" t="s">
        <v>807</v>
      </c>
      <c r="F13" s="720">
        <v>25509.06</v>
      </c>
      <c r="G13" s="721">
        <f>ROUND(F13*D13/100,0)</f>
        <v>1402998</v>
      </c>
    </row>
    <row r="14" spans="1:7" s="704" customFormat="1" ht="30" x14ac:dyDescent="0.25">
      <c r="A14" s="717">
        <f>+A13+1</f>
        <v>8</v>
      </c>
      <c r="B14" s="718" t="s">
        <v>834</v>
      </c>
      <c r="C14" s="719" t="s">
        <v>835</v>
      </c>
      <c r="D14" s="718">
        <v>16418</v>
      </c>
      <c r="E14" s="718" t="s">
        <v>836</v>
      </c>
      <c r="F14" s="720">
        <v>3127.41</v>
      </c>
      <c r="G14" s="721">
        <f>ROUND(F14*D14/100,0)</f>
        <v>513458</v>
      </c>
    </row>
    <row r="15" spans="1:7" s="704" customFormat="1" ht="90" x14ac:dyDescent="0.25">
      <c r="A15" s="717">
        <f>+A14+1</f>
        <v>9</v>
      </c>
      <c r="B15" s="718" t="s">
        <v>837</v>
      </c>
      <c r="C15" s="719" t="s">
        <v>838</v>
      </c>
      <c r="D15" s="718"/>
      <c r="E15" s="718"/>
      <c r="F15" s="720"/>
      <c r="G15" s="721"/>
    </row>
    <row r="16" spans="1:7" s="704" customFormat="1" x14ac:dyDescent="0.25">
      <c r="A16" s="717" t="s">
        <v>415</v>
      </c>
      <c r="B16" s="718"/>
      <c r="C16" s="719" t="s">
        <v>839</v>
      </c>
      <c r="D16" s="718">
        <v>1650</v>
      </c>
      <c r="E16" s="718" t="s">
        <v>807</v>
      </c>
      <c r="F16" s="720">
        <v>12595</v>
      </c>
      <c r="G16" s="721">
        <f>ROUND(F16*D16/100,0)</f>
        <v>207818</v>
      </c>
    </row>
    <row r="17" spans="1:7" s="704" customFormat="1" x14ac:dyDescent="0.25">
      <c r="A17" s="717" t="s">
        <v>438</v>
      </c>
      <c r="B17" s="718"/>
      <c r="C17" s="719" t="s">
        <v>840</v>
      </c>
      <c r="D17" s="718">
        <v>1122</v>
      </c>
      <c r="E17" s="718" t="s">
        <v>807</v>
      </c>
      <c r="F17" s="720">
        <v>12595</v>
      </c>
      <c r="G17" s="721">
        <f>ROUND(F17*D17/100,0)</f>
        <v>141316</v>
      </c>
    </row>
    <row r="18" spans="1:7" s="704" customFormat="1" ht="105" x14ac:dyDescent="0.25">
      <c r="A18" s="717">
        <f>+A15+1</f>
        <v>10</v>
      </c>
      <c r="B18" s="718" t="s">
        <v>841</v>
      </c>
      <c r="C18" s="719" t="s">
        <v>842</v>
      </c>
      <c r="D18" s="718"/>
      <c r="E18" s="718"/>
      <c r="F18" s="720"/>
      <c r="G18" s="721"/>
    </row>
    <row r="19" spans="1:7" s="704" customFormat="1" x14ac:dyDescent="0.25">
      <c r="A19" s="717" t="s">
        <v>415</v>
      </c>
      <c r="B19" s="718"/>
      <c r="C19" s="719" t="s">
        <v>843</v>
      </c>
      <c r="D19" s="718">
        <v>8700</v>
      </c>
      <c r="E19" s="718" t="s">
        <v>807</v>
      </c>
      <c r="F19" s="720">
        <v>27160.11</v>
      </c>
      <c r="G19" s="721">
        <f t="shared" ref="G19:G30" si="0">ROUND(F19*D19/100,0)</f>
        <v>2362930</v>
      </c>
    </row>
    <row r="20" spans="1:7" s="704" customFormat="1" ht="75" x14ac:dyDescent="0.25">
      <c r="A20" s="717">
        <f>+A18+1</f>
        <v>11</v>
      </c>
      <c r="B20" s="718"/>
      <c r="C20" s="719" t="s">
        <v>844</v>
      </c>
      <c r="D20" s="718"/>
      <c r="E20" s="718"/>
      <c r="F20" s="720"/>
      <c r="G20" s="721"/>
    </row>
    <row r="21" spans="1:7" s="704" customFormat="1" x14ac:dyDescent="0.25">
      <c r="A21" s="717" t="s">
        <v>415</v>
      </c>
      <c r="B21" s="718" t="s">
        <v>845</v>
      </c>
      <c r="C21" s="719" t="s">
        <v>248</v>
      </c>
      <c r="D21" s="718">
        <v>6000</v>
      </c>
      <c r="E21" s="718" t="s">
        <v>807</v>
      </c>
      <c r="F21" s="720">
        <v>27160.11</v>
      </c>
      <c r="G21" s="721">
        <f t="shared" si="0"/>
        <v>1629607</v>
      </c>
    </row>
    <row r="22" spans="1:7" s="704" customFormat="1" x14ac:dyDescent="0.25">
      <c r="A22" s="717" t="s">
        <v>438</v>
      </c>
      <c r="B22" s="718" t="s">
        <v>845</v>
      </c>
      <c r="C22" s="719" t="s">
        <v>846</v>
      </c>
      <c r="D22" s="718">
        <v>475</v>
      </c>
      <c r="E22" s="718" t="s">
        <v>807</v>
      </c>
      <c r="F22" s="720">
        <v>27160.11</v>
      </c>
      <c r="G22" s="721">
        <f t="shared" si="0"/>
        <v>129011</v>
      </c>
    </row>
    <row r="23" spans="1:7" s="704" customFormat="1" x14ac:dyDescent="0.25">
      <c r="A23" s="717" t="s">
        <v>440</v>
      </c>
      <c r="B23" s="718" t="s">
        <v>845</v>
      </c>
      <c r="C23" s="719" t="s">
        <v>847</v>
      </c>
      <c r="D23" s="718">
        <v>3300</v>
      </c>
      <c r="E23" s="718" t="s">
        <v>807</v>
      </c>
      <c r="F23" s="720">
        <v>27160.11</v>
      </c>
      <c r="G23" s="721">
        <f t="shared" si="0"/>
        <v>896284</v>
      </c>
    </row>
    <row r="24" spans="1:7" s="704" customFormat="1" x14ac:dyDescent="0.25">
      <c r="A24" s="717"/>
      <c r="B24" s="718"/>
      <c r="C24" s="719" t="s">
        <v>848</v>
      </c>
      <c r="D24" s="718"/>
      <c r="E24" s="718"/>
      <c r="F24" s="720"/>
      <c r="G24" s="721"/>
    </row>
    <row r="25" spans="1:7" s="704" customFormat="1" x14ac:dyDescent="0.25">
      <c r="A25" s="717" t="s">
        <v>415</v>
      </c>
      <c r="B25" s="718" t="s">
        <v>845</v>
      </c>
      <c r="C25" s="719" t="s">
        <v>8</v>
      </c>
      <c r="D25" s="718">
        <v>1900</v>
      </c>
      <c r="E25" s="718" t="s">
        <v>807</v>
      </c>
      <c r="F25" s="720">
        <v>27160.11</v>
      </c>
      <c r="G25" s="721">
        <f t="shared" si="0"/>
        <v>516042</v>
      </c>
    </row>
    <row r="26" spans="1:7" s="704" customFormat="1" x14ac:dyDescent="0.25">
      <c r="A26" s="717" t="s">
        <v>438</v>
      </c>
      <c r="B26" s="718" t="s">
        <v>845</v>
      </c>
      <c r="C26" s="719" t="s">
        <v>849</v>
      </c>
      <c r="D26" s="718">
        <v>1000</v>
      </c>
      <c r="E26" s="718" t="s">
        <v>807</v>
      </c>
      <c r="F26" s="720">
        <v>27160.11</v>
      </c>
      <c r="G26" s="721">
        <f t="shared" si="0"/>
        <v>271601</v>
      </c>
    </row>
    <row r="27" spans="1:7" s="704" customFormat="1" x14ac:dyDescent="0.25">
      <c r="A27" s="717"/>
      <c r="B27" s="718" t="s">
        <v>845</v>
      </c>
      <c r="C27" s="719" t="s">
        <v>62</v>
      </c>
      <c r="D27" s="718"/>
      <c r="E27" s="718"/>
      <c r="F27" s="720"/>
      <c r="G27" s="721"/>
    </row>
    <row r="28" spans="1:7" s="704" customFormat="1" x14ac:dyDescent="0.25">
      <c r="A28" s="717" t="s">
        <v>440</v>
      </c>
      <c r="B28" s="718" t="s">
        <v>845</v>
      </c>
      <c r="C28" s="719" t="s">
        <v>850</v>
      </c>
      <c r="D28" s="718">
        <v>8300</v>
      </c>
      <c r="E28" s="718" t="s">
        <v>807</v>
      </c>
      <c r="F28" s="720">
        <v>27160.11</v>
      </c>
      <c r="G28" s="721">
        <f t="shared" si="0"/>
        <v>2254289</v>
      </c>
    </row>
    <row r="29" spans="1:7" s="704" customFormat="1" x14ac:dyDescent="0.25">
      <c r="A29" s="717" t="s">
        <v>442</v>
      </c>
      <c r="B29" s="718" t="s">
        <v>845</v>
      </c>
      <c r="C29" s="719" t="s">
        <v>851</v>
      </c>
      <c r="D29" s="718">
        <v>515</v>
      </c>
      <c r="E29" s="718" t="s">
        <v>807</v>
      </c>
      <c r="F29" s="720">
        <v>27160.11</v>
      </c>
      <c r="G29" s="721">
        <f t="shared" si="0"/>
        <v>139875</v>
      </c>
    </row>
    <row r="30" spans="1:7" s="704" customFormat="1" x14ac:dyDescent="0.25">
      <c r="A30" s="717" t="s">
        <v>444</v>
      </c>
      <c r="B30" s="718" t="s">
        <v>845</v>
      </c>
      <c r="C30" s="719" t="s">
        <v>852</v>
      </c>
      <c r="D30" s="718">
        <v>300</v>
      </c>
      <c r="E30" s="718" t="s">
        <v>807</v>
      </c>
      <c r="F30" s="720">
        <v>27160.11</v>
      </c>
      <c r="G30" s="721">
        <f t="shared" si="0"/>
        <v>81480</v>
      </c>
    </row>
    <row r="31" spans="1:7" s="704" customFormat="1" ht="90" x14ac:dyDescent="0.25">
      <c r="A31" s="717">
        <f>+A20+1</f>
        <v>12</v>
      </c>
      <c r="B31" s="718" t="s">
        <v>853</v>
      </c>
      <c r="C31" s="719" t="s">
        <v>854</v>
      </c>
      <c r="D31" s="718">
        <v>113</v>
      </c>
      <c r="E31" s="718" t="s">
        <v>855</v>
      </c>
      <c r="F31" s="720">
        <v>94850.71</v>
      </c>
      <c r="G31" s="721">
        <f>ROUND(F31*D31,0)</f>
        <v>10718130</v>
      </c>
    </row>
    <row r="32" spans="1:7" s="704" customFormat="1" ht="90" x14ac:dyDescent="0.25">
      <c r="A32" s="717">
        <f>+A31+1</f>
        <v>13</v>
      </c>
      <c r="B32" s="718" t="s">
        <v>856</v>
      </c>
      <c r="C32" s="719" t="s">
        <v>857</v>
      </c>
      <c r="D32" s="718"/>
      <c r="E32" s="718"/>
      <c r="F32" s="720"/>
      <c r="G32" s="721"/>
    </row>
    <row r="33" spans="1:7" s="704" customFormat="1" x14ac:dyDescent="0.25">
      <c r="A33" s="717" t="s">
        <v>415</v>
      </c>
      <c r="B33" s="718"/>
      <c r="C33" s="719" t="s">
        <v>858</v>
      </c>
      <c r="D33" s="718">
        <v>4450</v>
      </c>
      <c r="E33" s="718" t="s">
        <v>807</v>
      </c>
      <c r="F33" s="720">
        <v>14621.44</v>
      </c>
      <c r="G33" s="721">
        <f>ROUND(F33*D33/100,0)</f>
        <v>650654</v>
      </c>
    </row>
    <row r="34" spans="1:7" s="704" customFormat="1" x14ac:dyDescent="0.25">
      <c r="A34" s="717" t="s">
        <v>438</v>
      </c>
      <c r="B34" s="718"/>
      <c r="C34" s="719" t="s">
        <v>859</v>
      </c>
      <c r="D34" s="718">
        <v>231</v>
      </c>
      <c r="E34" s="718" t="s">
        <v>807</v>
      </c>
      <c r="F34" s="720">
        <v>14621.44</v>
      </c>
      <c r="G34" s="721">
        <f>ROUND(F34*D34/100,0)</f>
        <v>33776</v>
      </c>
    </row>
    <row r="35" spans="1:7" s="704" customFormat="1" ht="90" x14ac:dyDescent="0.25">
      <c r="A35" s="717">
        <f>+A32+1</f>
        <v>14</v>
      </c>
      <c r="B35" s="718" t="s">
        <v>837</v>
      </c>
      <c r="C35" s="719" t="s">
        <v>860</v>
      </c>
      <c r="D35" s="718">
        <v>17</v>
      </c>
      <c r="E35" s="718" t="s">
        <v>807</v>
      </c>
      <c r="F35" s="720">
        <v>12595</v>
      </c>
      <c r="G35" s="721">
        <f>ROUND(F35*D35/100,0)</f>
        <v>2141</v>
      </c>
    </row>
    <row r="36" spans="1:7" s="704" customFormat="1" ht="120" x14ac:dyDescent="0.25">
      <c r="A36" s="717">
        <f t="shared" ref="A36:A44" si="1">+A35+1</f>
        <v>15</v>
      </c>
      <c r="B36" s="718" t="s">
        <v>861</v>
      </c>
      <c r="C36" s="719" t="s">
        <v>862</v>
      </c>
      <c r="D36" s="718">
        <v>34.200000000000003</v>
      </c>
      <c r="E36" s="718" t="s">
        <v>806</v>
      </c>
      <c r="F36" s="720">
        <v>96985.64</v>
      </c>
      <c r="G36" s="721">
        <f>ROUND(F36*D36,0)</f>
        <v>3316909</v>
      </c>
    </row>
    <row r="37" spans="1:7" s="704" customFormat="1" ht="30" x14ac:dyDescent="0.25">
      <c r="A37" s="717">
        <f t="shared" si="1"/>
        <v>16</v>
      </c>
      <c r="B37" s="718" t="s">
        <v>863</v>
      </c>
      <c r="C37" s="719" t="s">
        <v>864</v>
      </c>
      <c r="D37" s="718">
        <v>34.200000000000003</v>
      </c>
      <c r="E37" s="718" t="s">
        <v>855</v>
      </c>
      <c r="F37" s="720">
        <v>5333.68</v>
      </c>
      <c r="G37" s="721">
        <f>ROUND(F37*D37,0)</f>
        <v>182412</v>
      </c>
    </row>
    <row r="38" spans="1:7" s="704" customFormat="1" ht="45" x14ac:dyDescent="0.25">
      <c r="A38" s="717">
        <f t="shared" si="1"/>
        <v>17</v>
      </c>
      <c r="B38" s="718" t="s">
        <v>865</v>
      </c>
      <c r="C38" s="719" t="s">
        <v>866</v>
      </c>
      <c r="D38" s="718">
        <v>3420</v>
      </c>
      <c r="E38" s="718" t="s">
        <v>836</v>
      </c>
      <c r="F38" s="720">
        <v>1270.8300000000002</v>
      </c>
      <c r="G38" s="721">
        <f>ROUND(F38*D38/100,0)</f>
        <v>43462</v>
      </c>
    </row>
    <row r="39" spans="1:7" s="704" customFormat="1" ht="165" x14ac:dyDescent="0.25">
      <c r="A39" s="717">
        <f t="shared" si="1"/>
        <v>18</v>
      </c>
      <c r="B39" s="718" t="s">
        <v>867</v>
      </c>
      <c r="C39" s="719" t="s">
        <v>868</v>
      </c>
      <c r="D39" s="718">
        <v>675</v>
      </c>
      <c r="E39" s="718" t="s">
        <v>279</v>
      </c>
      <c r="F39" s="720">
        <v>102.31932</v>
      </c>
      <c r="G39" s="721">
        <f>ROUND(F39*D39,0)</f>
        <v>69066</v>
      </c>
    </row>
    <row r="40" spans="1:7" s="704" customFormat="1" ht="90" x14ac:dyDescent="0.25">
      <c r="A40" s="717">
        <f t="shared" si="1"/>
        <v>19</v>
      </c>
      <c r="B40" s="718" t="s">
        <v>869</v>
      </c>
      <c r="C40" s="719" t="s">
        <v>870</v>
      </c>
      <c r="D40" s="718">
        <v>2000</v>
      </c>
      <c r="E40" s="718" t="s">
        <v>836</v>
      </c>
      <c r="F40" s="720">
        <v>3912.85</v>
      </c>
      <c r="G40" s="721">
        <f>ROUND(F40*D40/100,0)</f>
        <v>78257</v>
      </c>
    </row>
    <row r="41" spans="1:7" s="704" customFormat="1" ht="45" x14ac:dyDescent="0.25">
      <c r="A41" s="717">
        <f t="shared" si="1"/>
        <v>20</v>
      </c>
      <c r="B41" s="718" t="s">
        <v>871</v>
      </c>
      <c r="C41" s="719" t="s">
        <v>872</v>
      </c>
      <c r="D41" s="718">
        <v>23800</v>
      </c>
      <c r="E41" s="718" t="s">
        <v>836</v>
      </c>
      <c r="F41" s="720">
        <v>778.02</v>
      </c>
      <c r="G41" s="721">
        <f>ROUND(F41*D41/100,0)</f>
        <v>185169</v>
      </c>
    </row>
    <row r="42" spans="1:7" s="704" customFormat="1" ht="75" x14ac:dyDescent="0.25">
      <c r="A42" s="717">
        <f t="shared" si="1"/>
        <v>21</v>
      </c>
      <c r="B42" s="718" t="s">
        <v>873</v>
      </c>
      <c r="C42" s="719" t="s">
        <v>874</v>
      </c>
      <c r="D42" s="718">
        <v>15000</v>
      </c>
      <c r="E42" s="718" t="s">
        <v>10</v>
      </c>
      <c r="F42" s="720">
        <v>10.7</v>
      </c>
      <c r="G42" s="721">
        <f>ROUND(F42*D42,0)</f>
        <v>160500</v>
      </c>
    </row>
    <row r="43" spans="1:7" s="704" customFormat="1" ht="90" x14ac:dyDescent="0.25">
      <c r="A43" s="717">
        <f t="shared" si="1"/>
        <v>22</v>
      </c>
      <c r="B43" s="718" t="s">
        <v>875</v>
      </c>
      <c r="C43" s="719" t="s">
        <v>876</v>
      </c>
      <c r="D43" s="718">
        <v>8400</v>
      </c>
      <c r="E43" s="718" t="s">
        <v>836</v>
      </c>
      <c r="F43" s="720">
        <v>5310.35</v>
      </c>
      <c r="G43" s="721">
        <f>ROUND(F43*D43/100,0)</f>
        <v>446069</v>
      </c>
    </row>
    <row r="44" spans="1:7" s="704" customFormat="1" ht="60" x14ac:dyDescent="0.25">
      <c r="A44" s="717">
        <f t="shared" si="1"/>
        <v>23</v>
      </c>
      <c r="B44" s="718" t="s">
        <v>877</v>
      </c>
      <c r="C44" s="719" t="s">
        <v>878</v>
      </c>
      <c r="D44" s="718"/>
      <c r="E44" s="718"/>
      <c r="F44" s="720"/>
      <c r="G44" s="721"/>
    </row>
    <row r="45" spans="1:7" s="704" customFormat="1" x14ac:dyDescent="0.25">
      <c r="A45" s="717" t="s">
        <v>415</v>
      </c>
      <c r="B45" s="718"/>
      <c r="C45" s="719" t="s">
        <v>879</v>
      </c>
      <c r="D45" s="718">
        <v>8400</v>
      </c>
      <c r="E45" s="718" t="s">
        <v>836</v>
      </c>
      <c r="F45" s="720">
        <v>3275.5</v>
      </c>
      <c r="G45" s="721">
        <f>ROUND(F45*D45/100,0)</f>
        <v>275142</v>
      </c>
    </row>
    <row r="46" spans="1:7" s="704" customFormat="1" ht="120" x14ac:dyDescent="0.25">
      <c r="A46" s="717">
        <f>+A44+1</f>
        <v>24</v>
      </c>
      <c r="B46" s="718" t="s">
        <v>880</v>
      </c>
      <c r="C46" s="719" t="s">
        <v>881</v>
      </c>
      <c r="D46" s="718"/>
      <c r="E46" s="718"/>
      <c r="F46" s="720"/>
      <c r="G46" s="721"/>
    </row>
    <row r="47" spans="1:7" s="704" customFormat="1" x14ac:dyDescent="0.25">
      <c r="A47" s="717" t="s">
        <v>415</v>
      </c>
      <c r="B47" s="718"/>
      <c r="C47" s="719" t="s">
        <v>882</v>
      </c>
      <c r="D47" s="718">
        <v>450</v>
      </c>
      <c r="E47" s="718" t="s">
        <v>287</v>
      </c>
      <c r="F47" s="720">
        <v>274.85714285714283</v>
      </c>
      <c r="G47" s="721">
        <f>ROUND(F47*D47,0)</f>
        <v>123686</v>
      </c>
    </row>
    <row r="48" spans="1:7" s="704" customFormat="1" ht="135" x14ac:dyDescent="0.25">
      <c r="A48" s="717">
        <f>+A46+1</f>
        <v>25</v>
      </c>
      <c r="B48" s="718" t="s">
        <v>883</v>
      </c>
      <c r="C48" s="719" t="s">
        <v>884</v>
      </c>
      <c r="D48" s="718"/>
      <c r="E48" s="718"/>
      <c r="F48" s="720"/>
      <c r="G48" s="721"/>
    </row>
    <row r="49" spans="1:7" s="704" customFormat="1" x14ac:dyDescent="0.25">
      <c r="A49" s="717" t="s">
        <v>415</v>
      </c>
      <c r="B49" s="718"/>
      <c r="C49" s="719" t="s">
        <v>885</v>
      </c>
      <c r="D49" s="718">
        <v>250</v>
      </c>
      <c r="E49" s="718" t="s">
        <v>10</v>
      </c>
      <c r="F49" s="720">
        <v>1182.56</v>
      </c>
      <c r="G49" s="721">
        <f>ROUND(F49*D49,0)</f>
        <v>295640</v>
      </c>
    </row>
    <row r="50" spans="1:7" s="704" customFormat="1" x14ac:dyDescent="0.25">
      <c r="A50" s="717" t="s">
        <v>438</v>
      </c>
      <c r="B50" s="718"/>
      <c r="C50" s="719" t="s">
        <v>886</v>
      </c>
      <c r="D50" s="718">
        <v>250</v>
      </c>
      <c r="E50" s="718" t="s">
        <v>10</v>
      </c>
      <c r="F50" s="720">
        <v>1182.56</v>
      </c>
      <c r="G50" s="721">
        <f>ROUND(F50*D50,0)</f>
        <v>295640</v>
      </c>
    </row>
    <row r="51" spans="1:7" s="704" customFormat="1" ht="60" x14ac:dyDescent="0.25">
      <c r="A51" s="717">
        <f>+A48+1</f>
        <v>26</v>
      </c>
      <c r="B51" s="718" t="s">
        <v>887</v>
      </c>
      <c r="C51" s="719" t="s">
        <v>888</v>
      </c>
      <c r="D51" s="718">
        <v>1000</v>
      </c>
      <c r="E51" s="718" t="s">
        <v>10</v>
      </c>
      <c r="F51" s="720">
        <v>480.62</v>
      </c>
      <c r="G51" s="721">
        <f>ROUND(F51*D51,0)</f>
        <v>480620</v>
      </c>
    </row>
    <row r="52" spans="1:7" s="704" customFormat="1" ht="150" x14ac:dyDescent="0.25">
      <c r="A52" s="717">
        <f>+A51+1</f>
        <v>27</v>
      </c>
      <c r="B52" s="718" t="s">
        <v>889</v>
      </c>
      <c r="C52" s="719" t="s">
        <v>890</v>
      </c>
      <c r="D52" s="718">
        <v>1300</v>
      </c>
      <c r="E52" s="718" t="s">
        <v>10</v>
      </c>
      <c r="F52" s="720">
        <v>1647.69</v>
      </c>
      <c r="G52" s="721">
        <f>ROUND(F52*D52,0)</f>
        <v>2141997</v>
      </c>
    </row>
    <row r="53" spans="1:7" s="704" customFormat="1" ht="45" x14ac:dyDescent="0.25">
      <c r="A53" s="717">
        <f>+A52+1</f>
        <v>28</v>
      </c>
      <c r="B53" s="718" t="s">
        <v>891</v>
      </c>
      <c r="C53" s="719" t="s">
        <v>892</v>
      </c>
      <c r="D53" s="718"/>
      <c r="E53" s="718"/>
      <c r="F53" s="720"/>
      <c r="G53" s="721"/>
    </row>
    <row r="54" spans="1:7" s="704" customFormat="1" x14ac:dyDescent="0.25">
      <c r="A54" s="717" t="s">
        <v>415</v>
      </c>
      <c r="B54" s="718"/>
      <c r="C54" s="719" t="s">
        <v>893</v>
      </c>
      <c r="D54" s="718">
        <v>32200</v>
      </c>
      <c r="E54" s="718" t="s">
        <v>836</v>
      </c>
      <c r="F54" s="720">
        <v>2241.8000000000002</v>
      </c>
      <c r="G54" s="721">
        <f>ROUND(F54*D54/100,0)</f>
        <v>721860</v>
      </c>
    </row>
    <row r="55" spans="1:7" s="704" customFormat="1" ht="30" x14ac:dyDescent="0.25">
      <c r="A55" s="717">
        <f>+A53+1</f>
        <v>29</v>
      </c>
      <c r="B55" s="718" t="s">
        <v>894</v>
      </c>
      <c r="C55" s="719" t="s">
        <v>895</v>
      </c>
      <c r="D55" s="718">
        <v>1610</v>
      </c>
      <c r="E55" s="718" t="s">
        <v>10</v>
      </c>
      <c r="F55" s="720">
        <v>104.15</v>
      </c>
      <c r="G55" s="721">
        <f>ROUND(F55*D55,0)</f>
        <v>167682</v>
      </c>
    </row>
    <row r="56" spans="1:7" s="704" customFormat="1" ht="45" x14ac:dyDescent="0.25">
      <c r="A56" s="717">
        <f>+A55+1</f>
        <v>30</v>
      </c>
      <c r="B56" s="718" t="s">
        <v>896</v>
      </c>
      <c r="C56" s="719" t="s">
        <v>897</v>
      </c>
      <c r="D56" s="718"/>
      <c r="E56" s="718"/>
      <c r="F56" s="720"/>
      <c r="G56" s="721"/>
    </row>
    <row r="57" spans="1:7" s="704" customFormat="1" x14ac:dyDescent="0.25">
      <c r="A57" s="717" t="s">
        <v>415</v>
      </c>
      <c r="B57" s="718"/>
      <c r="C57" s="719" t="s">
        <v>898</v>
      </c>
      <c r="D57" s="718">
        <v>3400</v>
      </c>
      <c r="E57" s="718" t="s">
        <v>836</v>
      </c>
      <c r="F57" s="720">
        <v>3191.76</v>
      </c>
      <c r="G57" s="721">
        <f>ROUND(F57*D57/100,0)</f>
        <v>108520</v>
      </c>
    </row>
    <row r="58" spans="1:7" s="704" customFormat="1" ht="135" x14ac:dyDescent="0.25">
      <c r="A58" s="717">
        <f>+A56+1</f>
        <v>31</v>
      </c>
      <c r="B58" s="718" t="s">
        <v>899</v>
      </c>
      <c r="C58" s="719" t="s">
        <v>900</v>
      </c>
      <c r="D58" s="718">
        <v>20000</v>
      </c>
      <c r="E58" s="718" t="s">
        <v>836</v>
      </c>
      <c r="F58" s="720">
        <v>3444.38</v>
      </c>
      <c r="G58" s="721">
        <f>ROUND(F58*D58/100,0)</f>
        <v>688876</v>
      </c>
    </row>
    <row r="59" spans="1:7" s="704" customFormat="1" ht="90" x14ac:dyDescent="0.25">
      <c r="A59" s="717">
        <f>+A58+1</f>
        <v>32</v>
      </c>
      <c r="B59" s="718" t="s">
        <v>901</v>
      </c>
      <c r="C59" s="719" t="s">
        <v>902</v>
      </c>
      <c r="D59" s="718">
        <v>12200</v>
      </c>
      <c r="E59" s="718" t="s">
        <v>836</v>
      </c>
      <c r="F59" s="720">
        <v>2237.9499999999998</v>
      </c>
      <c r="G59" s="721">
        <f>ROUND(F59*D59/100,0)</f>
        <v>273030</v>
      </c>
    </row>
    <row r="60" spans="1:7" s="704" customFormat="1" ht="60" x14ac:dyDescent="0.25">
      <c r="A60" s="717">
        <f>+A59+1</f>
        <v>33</v>
      </c>
      <c r="B60" s="718" t="s">
        <v>903</v>
      </c>
      <c r="C60" s="719" t="s">
        <v>904</v>
      </c>
      <c r="D60" s="718"/>
      <c r="E60" s="718"/>
      <c r="F60" s="720"/>
      <c r="G60" s="721"/>
    </row>
    <row r="61" spans="1:7" s="704" customFormat="1" x14ac:dyDescent="0.25">
      <c r="A61" s="717" t="s">
        <v>415</v>
      </c>
      <c r="B61" s="718"/>
      <c r="C61" s="719" t="s">
        <v>905</v>
      </c>
      <c r="D61" s="718">
        <v>350</v>
      </c>
      <c r="E61" s="718" t="s">
        <v>906</v>
      </c>
      <c r="F61" s="720">
        <v>28299.3</v>
      </c>
      <c r="G61" s="721">
        <f>ROUND(F61*D61/100,0)</f>
        <v>99048</v>
      </c>
    </row>
    <row r="62" spans="1:7" s="704" customFormat="1" x14ac:dyDescent="0.25">
      <c r="A62" s="717" t="s">
        <v>438</v>
      </c>
      <c r="B62" s="718"/>
      <c r="C62" s="719" t="s">
        <v>907</v>
      </c>
      <c r="D62" s="718">
        <v>1500</v>
      </c>
      <c r="E62" s="718" t="s">
        <v>906</v>
      </c>
      <c r="F62" s="720">
        <v>28299.3</v>
      </c>
      <c r="G62" s="721">
        <f>ROUND(F62*D62/100,0)</f>
        <v>424490</v>
      </c>
    </row>
    <row r="63" spans="1:7" s="704" customFormat="1" ht="150" x14ac:dyDescent="0.25">
      <c r="A63" s="717">
        <f>+A60+1</f>
        <v>34</v>
      </c>
      <c r="B63" s="718" t="s">
        <v>903</v>
      </c>
      <c r="C63" s="719" t="s">
        <v>908</v>
      </c>
      <c r="D63" s="718"/>
      <c r="E63" s="718"/>
      <c r="F63" s="720"/>
      <c r="G63" s="721"/>
    </row>
    <row r="64" spans="1:7" s="704" customFormat="1" x14ac:dyDescent="0.25">
      <c r="A64" s="717" t="s">
        <v>415</v>
      </c>
      <c r="B64" s="718"/>
      <c r="C64" s="719" t="s">
        <v>909</v>
      </c>
      <c r="D64" s="718">
        <v>545</v>
      </c>
      <c r="E64" s="718" t="s">
        <v>906</v>
      </c>
      <c r="F64" s="720">
        <v>28299.3</v>
      </c>
      <c r="G64" s="721">
        <f>ROUND(F64*D64/100,0)</f>
        <v>154231</v>
      </c>
    </row>
    <row r="65" spans="1:7" s="704" customFormat="1" ht="90" x14ac:dyDescent="0.25">
      <c r="A65" s="717">
        <f>+A63+1</f>
        <v>35</v>
      </c>
      <c r="B65" s="718" t="s">
        <v>910</v>
      </c>
      <c r="C65" s="719" t="s">
        <v>911</v>
      </c>
      <c r="D65" s="718">
        <v>3400</v>
      </c>
      <c r="E65" s="718" t="s">
        <v>906</v>
      </c>
      <c r="F65" s="720">
        <v>2567.9499999999998</v>
      </c>
      <c r="G65" s="721">
        <f>ROUND(F65*D65/100,0)</f>
        <v>87310</v>
      </c>
    </row>
    <row r="66" spans="1:7" s="704" customFormat="1" ht="75" x14ac:dyDescent="0.25">
      <c r="A66" s="717">
        <f>+A65+1</f>
        <v>36</v>
      </c>
      <c r="B66" s="718" t="s">
        <v>912</v>
      </c>
      <c r="C66" s="719" t="s">
        <v>913</v>
      </c>
      <c r="D66" s="718">
        <v>80</v>
      </c>
      <c r="E66" s="718" t="s">
        <v>10</v>
      </c>
      <c r="F66" s="720">
        <v>535.70000000000005</v>
      </c>
      <c r="G66" s="721">
        <f>ROUND(F66*D66,0)</f>
        <v>42856</v>
      </c>
    </row>
    <row r="67" spans="1:7" s="704" customFormat="1" ht="30" x14ac:dyDescent="0.25">
      <c r="A67" s="717"/>
      <c r="B67" s="718"/>
      <c r="C67" s="719" t="s">
        <v>914</v>
      </c>
      <c r="D67" s="718"/>
      <c r="E67" s="718"/>
      <c r="F67" s="720"/>
      <c r="G67" s="721"/>
    </row>
    <row r="68" spans="1:7" s="704" customFormat="1" ht="45" x14ac:dyDescent="0.25">
      <c r="A68" s="717">
        <f>+A66+1</f>
        <v>37</v>
      </c>
      <c r="B68" s="718" t="s">
        <v>915</v>
      </c>
      <c r="C68" s="719" t="s">
        <v>916</v>
      </c>
      <c r="D68" s="718"/>
      <c r="E68" s="718"/>
      <c r="F68" s="720"/>
      <c r="G68" s="721"/>
    </row>
    <row r="69" spans="1:7" s="704" customFormat="1" x14ac:dyDescent="0.25">
      <c r="A69" s="717" t="s">
        <v>415</v>
      </c>
      <c r="B69" s="718"/>
      <c r="C69" s="719" t="s">
        <v>917</v>
      </c>
      <c r="D69" s="718">
        <v>10000</v>
      </c>
      <c r="E69" s="718" t="s">
        <v>906</v>
      </c>
      <c r="F69" s="720">
        <v>27747.06</v>
      </c>
      <c r="G69" s="721">
        <f>ROUND(F69*D69/100,0)</f>
        <v>2774706</v>
      </c>
    </row>
    <row r="70" spans="1:7" s="704" customFormat="1" x14ac:dyDescent="0.25">
      <c r="A70" s="717" t="s">
        <v>438</v>
      </c>
      <c r="B70" s="718"/>
      <c r="C70" s="719" t="s">
        <v>918</v>
      </c>
      <c r="D70" s="718">
        <v>125</v>
      </c>
      <c r="E70" s="718" t="s">
        <v>906</v>
      </c>
      <c r="F70" s="720">
        <v>27747.06</v>
      </c>
      <c r="G70" s="721">
        <f>ROUND(F70*D70/100,0)</f>
        <v>34684</v>
      </c>
    </row>
    <row r="71" spans="1:7" s="704" customFormat="1" x14ac:dyDescent="0.25">
      <c r="A71" s="717" t="s">
        <v>440</v>
      </c>
      <c r="B71" s="718"/>
      <c r="C71" s="719" t="s">
        <v>919</v>
      </c>
      <c r="D71" s="718">
        <v>450</v>
      </c>
      <c r="E71" s="718" t="s">
        <v>906</v>
      </c>
      <c r="F71" s="720">
        <v>27747.06</v>
      </c>
      <c r="G71" s="721">
        <f>ROUND(F71*D71/100,0)</f>
        <v>124862</v>
      </c>
    </row>
    <row r="72" spans="1:7" s="704" customFormat="1" ht="75" x14ac:dyDescent="0.25">
      <c r="A72" s="717">
        <f>+A68+1</f>
        <v>38</v>
      </c>
      <c r="B72" s="718" t="s">
        <v>920</v>
      </c>
      <c r="C72" s="719" t="s">
        <v>921</v>
      </c>
      <c r="D72" s="718"/>
      <c r="E72" s="718"/>
      <c r="F72" s="720"/>
      <c r="G72" s="721"/>
    </row>
    <row r="73" spans="1:7" s="704" customFormat="1" x14ac:dyDescent="0.25">
      <c r="A73" s="717" t="s">
        <v>415</v>
      </c>
      <c r="B73" s="718"/>
      <c r="C73" s="719" t="s">
        <v>922</v>
      </c>
      <c r="D73" s="718">
        <v>600</v>
      </c>
      <c r="E73" s="718" t="s">
        <v>10</v>
      </c>
      <c r="F73" s="720">
        <v>567.48</v>
      </c>
      <c r="G73" s="721">
        <f>ROUND(F73*D73,0)</f>
        <v>340488</v>
      </c>
    </row>
    <row r="74" spans="1:7" s="704" customFormat="1" ht="210" x14ac:dyDescent="0.25">
      <c r="A74" s="717">
        <f>+A72+1</f>
        <v>39</v>
      </c>
      <c r="B74" s="718" t="s">
        <v>923</v>
      </c>
      <c r="C74" s="719" t="s">
        <v>924</v>
      </c>
      <c r="D74" s="718">
        <v>25</v>
      </c>
      <c r="E74" s="718" t="s">
        <v>11</v>
      </c>
      <c r="F74" s="720">
        <v>351.54999999999995</v>
      </c>
      <c r="G74" s="721">
        <f>ROUND(F74*D74,0)</f>
        <v>8789</v>
      </c>
    </row>
    <row r="75" spans="1:7" s="704" customFormat="1" ht="210" x14ac:dyDescent="0.25">
      <c r="A75" s="717">
        <f>+A74+1</f>
        <v>40</v>
      </c>
      <c r="B75" s="718" t="s">
        <v>923</v>
      </c>
      <c r="C75" s="719" t="s">
        <v>925</v>
      </c>
      <c r="D75" s="718">
        <v>35</v>
      </c>
      <c r="E75" s="718" t="s">
        <v>11</v>
      </c>
      <c r="F75" s="720">
        <v>351.54999999999995</v>
      </c>
      <c r="G75" s="721">
        <f>ROUND(F75*D75,0)</f>
        <v>12304</v>
      </c>
    </row>
    <row r="76" spans="1:7" s="704" customFormat="1" ht="15" customHeight="1" x14ac:dyDescent="0.25">
      <c r="A76" s="722" t="s">
        <v>926</v>
      </c>
      <c r="B76" s="723"/>
      <c r="C76" s="724"/>
      <c r="D76" s="723"/>
      <c r="E76" s="725"/>
      <c r="F76" s="726"/>
      <c r="G76" s="727"/>
    </row>
    <row r="77" spans="1:7" s="704" customFormat="1" ht="240" x14ac:dyDescent="0.25">
      <c r="A77" s="717">
        <f>+A75+1</f>
        <v>41</v>
      </c>
      <c r="B77" s="718" t="s">
        <v>927</v>
      </c>
      <c r="C77" s="719" t="s">
        <v>928</v>
      </c>
      <c r="D77" s="718"/>
      <c r="E77" s="718"/>
      <c r="F77" s="720" t="s">
        <v>929</v>
      </c>
      <c r="G77" s="721"/>
    </row>
    <row r="78" spans="1:7" s="704" customFormat="1" x14ac:dyDescent="0.25">
      <c r="A78" s="717" t="s">
        <v>415</v>
      </c>
      <c r="B78" s="718"/>
      <c r="C78" s="719" t="s">
        <v>930</v>
      </c>
      <c r="D78" s="718">
        <v>8800</v>
      </c>
      <c r="E78" s="718" t="s">
        <v>11</v>
      </c>
      <c r="F78" s="720">
        <v>650</v>
      </c>
      <c r="G78" s="721">
        <f t="shared" ref="G78:G84" si="2">ROUND(F78*D78,0)</f>
        <v>5720000</v>
      </c>
    </row>
    <row r="79" spans="1:7" s="704" customFormat="1" ht="240" x14ac:dyDescent="0.25">
      <c r="A79" s="717">
        <f>+A77+1</f>
        <v>42</v>
      </c>
      <c r="B79" s="718" t="s">
        <v>927</v>
      </c>
      <c r="C79" s="719" t="s">
        <v>931</v>
      </c>
      <c r="D79" s="718">
        <v>3200</v>
      </c>
      <c r="E79" s="718" t="s">
        <v>10</v>
      </c>
      <c r="F79" s="720">
        <v>700</v>
      </c>
      <c r="G79" s="721">
        <f t="shared" si="2"/>
        <v>2240000</v>
      </c>
    </row>
    <row r="80" spans="1:7" s="704" customFormat="1" ht="165" x14ac:dyDescent="0.25">
      <c r="A80" s="717">
        <f t="shared" ref="A80:A85" si="3">+A79+1</f>
        <v>43</v>
      </c>
      <c r="B80" s="718" t="s">
        <v>927</v>
      </c>
      <c r="C80" s="719" t="s">
        <v>932</v>
      </c>
      <c r="D80" s="718">
        <v>70</v>
      </c>
      <c r="E80" s="718" t="s">
        <v>10</v>
      </c>
      <c r="F80" s="720">
        <v>1600</v>
      </c>
      <c r="G80" s="721">
        <f t="shared" si="2"/>
        <v>112000</v>
      </c>
    </row>
    <row r="81" spans="1:7" s="704" customFormat="1" ht="150" x14ac:dyDescent="0.25">
      <c r="A81" s="717">
        <f t="shared" si="3"/>
        <v>44</v>
      </c>
      <c r="B81" s="718" t="s">
        <v>927</v>
      </c>
      <c r="C81" s="719" t="s">
        <v>933</v>
      </c>
      <c r="D81" s="718">
        <v>40</v>
      </c>
      <c r="E81" s="718" t="s">
        <v>10</v>
      </c>
      <c r="F81" s="720">
        <v>1300</v>
      </c>
      <c r="G81" s="721">
        <f t="shared" si="2"/>
        <v>52000</v>
      </c>
    </row>
    <row r="82" spans="1:7" s="704" customFormat="1" ht="105" x14ac:dyDescent="0.25">
      <c r="A82" s="717">
        <f t="shared" si="3"/>
        <v>45</v>
      </c>
      <c r="B82" s="718" t="s">
        <v>927</v>
      </c>
      <c r="C82" s="719" t="s">
        <v>934</v>
      </c>
      <c r="D82" s="718">
        <v>750</v>
      </c>
      <c r="E82" s="718" t="s">
        <v>10</v>
      </c>
      <c r="F82" s="720">
        <v>110</v>
      </c>
      <c r="G82" s="721">
        <f t="shared" si="2"/>
        <v>82500</v>
      </c>
    </row>
    <row r="83" spans="1:7" s="704" customFormat="1" ht="75" x14ac:dyDescent="0.25">
      <c r="A83" s="717">
        <f t="shared" si="3"/>
        <v>46</v>
      </c>
      <c r="B83" s="718" t="s">
        <v>927</v>
      </c>
      <c r="C83" s="719" t="s">
        <v>935</v>
      </c>
      <c r="D83" s="718">
        <v>8400</v>
      </c>
      <c r="E83" s="718" t="s">
        <v>10</v>
      </c>
      <c r="F83" s="720">
        <v>260</v>
      </c>
      <c r="G83" s="721">
        <f t="shared" si="2"/>
        <v>2184000</v>
      </c>
    </row>
    <row r="84" spans="1:7" s="704" customFormat="1" ht="90" x14ac:dyDescent="0.25">
      <c r="A84" s="717">
        <f t="shared" si="3"/>
        <v>47</v>
      </c>
      <c r="B84" s="718" t="s">
        <v>927</v>
      </c>
      <c r="C84" s="719" t="s">
        <v>936</v>
      </c>
      <c r="D84" s="718">
        <v>1765</v>
      </c>
      <c r="E84" s="718" t="s">
        <v>287</v>
      </c>
      <c r="F84" s="720">
        <v>50</v>
      </c>
      <c r="G84" s="721">
        <f t="shared" si="2"/>
        <v>88250</v>
      </c>
    </row>
    <row r="85" spans="1:7" s="704" customFormat="1" ht="150" x14ac:dyDescent="0.25">
      <c r="A85" s="717">
        <f t="shared" si="3"/>
        <v>48</v>
      </c>
      <c r="B85" s="718"/>
      <c r="C85" s="719" t="s">
        <v>937</v>
      </c>
      <c r="D85" s="718"/>
      <c r="E85" s="718"/>
      <c r="F85" s="720"/>
      <c r="G85" s="721"/>
    </row>
    <row r="86" spans="1:7" s="704" customFormat="1" x14ac:dyDescent="0.25">
      <c r="A86" s="717" t="s">
        <v>415</v>
      </c>
      <c r="B86" s="718" t="s">
        <v>927</v>
      </c>
      <c r="C86" s="719" t="s">
        <v>938</v>
      </c>
      <c r="D86" s="718">
        <v>2</v>
      </c>
      <c r="E86" s="718" t="s">
        <v>678</v>
      </c>
      <c r="F86" s="720">
        <v>86400</v>
      </c>
      <c r="G86" s="721">
        <f t="shared" ref="G86:G92" si="4">ROUND(F86*D86,0)</f>
        <v>172800</v>
      </c>
    </row>
    <row r="87" spans="1:7" s="704" customFormat="1" x14ac:dyDescent="0.25">
      <c r="A87" s="717" t="s">
        <v>438</v>
      </c>
      <c r="B87" s="718" t="s">
        <v>927</v>
      </c>
      <c r="C87" s="719" t="s">
        <v>939</v>
      </c>
      <c r="D87" s="718">
        <v>13</v>
      </c>
      <c r="E87" s="718" t="s">
        <v>678</v>
      </c>
      <c r="F87" s="720">
        <v>43200</v>
      </c>
      <c r="G87" s="721">
        <f t="shared" si="4"/>
        <v>561600</v>
      </c>
    </row>
    <row r="88" spans="1:7" s="704" customFormat="1" ht="105" x14ac:dyDescent="0.25">
      <c r="A88" s="717">
        <f>+A85+1</f>
        <v>49</v>
      </c>
      <c r="B88" s="718" t="s">
        <v>927</v>
      </c>
      <c r="C88" s="719" t="s">
        <v>940</v>
      </c>
      <c r="D88" s="718">
        <v>350</v>
      </c>
      <c r="E88" s="718" t="s">
        <v>10</v>
      </c>
      <c r="F88" s="720">
        <v>1250</v>
      </c>
      <c r="G88" s="721">
        <f t="shared" si="4"/>
        <v>437500</v>
      </c>
    </row>
    <row r="89" spans="1:7" s="704" customFormat="1" ht="135" x14ac:dyDescent="0.25">
      <c r="A89" s="717">
        <f>+A88+1</f>
        <v>50</v>
      </c>
      <c r="B89" s="718" t="s">
        <v>927</v>
      </c>
      <c r="C89" s="719" t="s">
        <v>941</v>
      </c>
      <c r="D89" s="718">
        <v>125</v>
      </c>
      <c r="E89" s="718" t="s">
        <v>10</v>
      </c>
      <c r="F89" s="720">
        <v>1200</v>
      </c>
      <c r="G89" s="721">
        <f t="shared" si="4"/>
        <v>150000</v>
      </c>
    </row>
    <row r="90" spans="1:7" s="704" customFormat="1" ht="135" x14ac:dyDescent="0.25">
      <c r="A90" s="717">
        <f>+A89+1</f>
        <v>51</v>
      </c>
      <c r="B90" s="718" t="s">
        <v>927</v>
      </c>
      <c r="C90" s="719" t="s">
        <v>942</v>
      </c>
      <c r="D90" s="718">
        <v>2400</v>
      </c>
      <c r="E90" s="718" t="s">
        <v>10</v>
      </c>
      <c r="F90" s="720">
        <v>300</v>
      </c>
      <c r="G90" s="721">
        <f t="shared" si="4"/>
        <v>720000</v>
      </c>
    </row>
    <row r="91" spans="1:7" s="704" customFormat="1" ht="120" x14ac:dyDescent="0.25">
      <c r="A91" s="717">
        <f>+A90+1</f>
        <v>52</v>
      </c>
      <c r="B91" s="718" t="s">
        <v>927</v>
      </c>
      <c r="C91" s="719" t="s">
        <v>943</v>
      </c>
      <c r="D91" s="718">
        <v>570</v>
      </c>
      <c r="E91" s="718" t="s">
        <v>287</v>
      </c>
      <c r="F91" s="720">
        <v>150</v>
      </c>
      <c r="G91" s="721">
        <f t="shared" si="4"/>
        <v>85500</v>
      </c>
    </row>
    <row r="92" spans="1:7" s="704" customFormat="1" ht="90" x14ac:dyDescent="0.25">
      <c r="A92" s="728">
        <f>+A91+1</f>
        <v>53</v>
      </c>
      <c r="B92" s="729" t="s">
        <v>927</v>
      </c>
      <c r="C92" s="730" t="s">
        <v>944</v>
      </c>
      <c r="D92" s="729">
        <v>6</v>
      </c>
      <c r="E92" s="729" t="s">
        <v>945</v>
      </c>
      <c r="F92" s="731">
        <v>2000</v>
      </c>
      <c r="G92" s="732">
        <f t="shared" si="4"/>
        <v>12000</v>
      </c>
    </row>
    <row r="93" spans="1:7" s="667" customFormat="1" ht="30" customHeight="1" x14ac:dyDescent="0.25">
      <c r="A93" s="772" t="s">
        <v>809</v>
      </c>
      <c r="B93" s="772"/>
      <c r="C93" s="772"/>
      <c r="D93" s="772"/>
      <c r="E93" s="772"/>
      <c r="F93" s="772"/>
      <c r="G93" s="733">
        <f>SUM(G7:G92)</f>
        <v>49621446</v>
      </c>
    </row>
    <row r="94" spans="1:7" s="738" customFormat="1" x14ac:dyDescent="0.25">
      <c r="A94" s="734"/>
      <c r="B94" s="735"/>
      <c r="C94" s="736"/>
      <c r="D94" s="735"/>
      <c r="E94" s="737"/>
    </row>
  </sheetData>
  <mergeCells count="9">
    <mergeCell ref="A93:F93"/>
    <mergeCell ref="A1:G1"/>
    <mergeCell ref="A3:A4"/>
    <mergeCell ref="B3:B4"/>
    <mergeCell ref="C3:C4"/>
    <mergeCell ref="D3:D4"/>
    <mergeCell ref="E3:E4"/>
    <mergeCell ref="F3:F4"/>
    <mergeCell ref="G3:G4"/>
  </mergeCells>
  <printOptions horizontalCentered="1"/>
  <pageMargins left="0.5" right="0" top="0.5" bottom="0.55000000000000004" header="0.17" footer="0"/>
  <pageSetup paperSize="9" scale="81" fitToHeight="0" orientation="portrait" r:id="rId1"/>
  <headerFooter alignWithMargins="0">
    <oddFooter>&amp;R&amp;8______________________________
&amp;A
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I82"/>
  <sheetViews>
    <sheetView topLeftCell="A76" zoomScale="75" zoomScaleNormal="75" workbookViewId="0">
      <selection activeCell="C5" sqref="C5"/>
    </sheetView>
  </sheetViews>
  <sheetFormatPr defaultRowHeight="14.25" x14ac:dyDescent="0.2"/>
  <cols>
    <col min="1" max="1" width="9.140625" style="693"/>
    <col min="2" max="2" width="57.85546875" style="698" customWidth="1"/>
    <col min="3" max="3" width="14.42578125" style="698" customWidth="1"/>
    <col min="4" max="4" width="10.28515625" style="698" customWidth="1"/>
    <col min="5" max="9" width="17.85546875" style="693" customWidth="1"/>
    <col min="10" max="257" width="9.140625" style="693"/>
    <col min="258" max="258" width="57.85546875" style="693" customWidth="1"/>
    <col min="259" max="259" width="14.42578125" style="693" customWidth="1"/>
    <col min="260" max="260" width="10.28515625" style="693" customWidth="1"/>
    <col min="261" max="265" width="17.85546875" style="693" customWidth="1"/>
    <col min="266" max="513" width="9.140625" style="693"/>
    <col min="514" max="514" width="57.85546875" style="693" customWidth="1"/>
    <col min="515" max="515" width="14.42578125" style="693" customWidth="1"/>
    <col min="516" max="516" width="10.28515625" style="693" customWidth="1"/>
    <col min="517" max="521" width="17.85546875" style="693" customWidth="1"/>
    <col min="522" max="769" width="9.140625" style="693"/>
    <col min="770" max="770" width="57.85546875" style="693" customWidth="1"/>
    <col min="771" max="771" width="14.42578125" style="693" customWidth="1"/>
    <col min="772" max="772" width="10.28515625" style="693" customWidth="1"/>
    <col min="773" max="777" width="17.85546875" style="693" customWidth="1"/>
    <col min="778" max="1025" width="9.140625" style="693"/>
    <col min="1026" max="1026" width="57.85546875" style="693" customWidth="1"/>
    <col min="1027" max="1027" width="14.42578125" style="693" customWidth="1"/>
    <col min="1028" max="1028" width="10.28515625" style="693" customWidth="1"/>
    <col min="1029" max="1033" width="17.85546875" style="693" customWidth="1"/>
    <col min="1034" max="1281" width="9.140625" style="693"/>
    <col min="1282" max="1282" width="57.85546875" style="693" customWidth="1"/>
    <col min="1283" max="1283" width="14.42578125" style="693" customWidth="1"/>
    <col min="1284" max="1284" width="10.28515625" style="693" customWidth="1"/>
    <col min="1285" max="1289" width="17.85546875" style="693" customWidth="1"/>
    <col min="1290" max="1537" width="9.140625" style="693"/>
    <col min="1538" max="1538" width="57.85546875" style="693" customWidth="1"/>
    <col min="1539" max="1539" width="14.42578125" style="693" customWidth="1"/>
    <col min="1540" max="1540" width="10.28515625" style="693" customWidth="1"/>
    <col min="1541" max="1545" width="17.85546875" style="693" customWidth="1"/>
    <col min="1546" max="1793" width="9.140625" style="693"/>
    <col min="1794" max="1794" width="57.85546875" style="693" customWidth="1"/>
    <col min="1795" max="1795" width="14.42578125" style="693" customWidth="1"/>
    <col min="1796" max="1796" width="10.28515625" style="693" customWidth="1"/>
    <col min="1797" max="1801" width="17.85546875" style="693" customWidth="1"/>
    <col min="1802" max="2049" width="9.140625" style="693"/>
    <col min="2050" max="2050" width="57.85546875" style="693" customWidth="1"/>
    <col min="2051" max="2051" width="14.42578125" style="693" customWidth="1"/>
    <col min="2052" max="2052" width="10.28515625" style="693" customWidth="1"/>
    <col min="2053" max="2057" width="17.85546875" style="693" customWidth="1"/>
    <col min="2058" max="2305" width="9.140625" style="693"/>
    <col min="2306" max="2306" width="57.85546875" style="693" customWidth="1"/>
    <col min="2307" max="2307" width="14.42578125" style="693" customWidth="1"/>
    <col min="2308" max="2308" width="10.28515625" style="693" customWidth="1"/>
    <col min="2309" max="2313" width="17.85546875" style="693" customWidth="1"/>
    <col min="2314" max="2561" width="9.140625" style="693"/>
    <col min="2562" max="2562" width="57.85546875" style="693" customWidth="1"/>
    <col min="2563" max="2563" width="14.42578125" style="693" customWidth="1"/>
    <col min="2564" max="2564" width="10.28515625" style="693" customWidth="1"/>
    <col min="2565" max="2569" width="17.85546875" style="693" customWidth="1"/>
    <col min="2570" max="2817" width="9.140625" style="693"/>
    <col min="2818" max="2818" width="57.85546875" style="693" customWidth="1"/>
    <col min="2819" max="2819" width="14.42578125" style="693" customWidth="1"/>
    <col min="2820" max="2820" width="10.28515625" style="693" customWidth="1"/>
    <col min="2821" max="2825" width="17.85546875" style="693" customWidth="1"/>
    <col min="2826" max="3073" width="9.140625" style="693"/>
    <col min="3074" max="3074" width="57.85546875" style="693" customWidth="1"/>
    <col min="3075" max="3075" width="14.42578125" style="693" customWidth="1"/>
    <col min="3076" max="3076" width="10.28515625" style="693" customWidth="1"/>
    <col min="3077" max="3081" width="17.85546875" style="693" customWidth="1"/>
    <col min="3082" max="3329" width="9.140625" style="693"/>
    <col min="3330" max="3330" width="57.85546875" style="693" customWidth="1"/>
    <col min="3331" max="3331" width="14.42578125" style="693" customWidth="1"/>
    <col min="3332" max="3332" width="10.28515625" style="693" customWidth="1"/>
    <col min="3333" max="3337" width="17.85546875" style="693" customWidth="1"/>
    <col min="3338" max="3585" width="9.140625" style="693"/>
    <col min="3586" max="3586" width="57.85546875" style="693" customWidth="1"/>
    <col min="3587" max="3587" width="14.42578125" style="693" customWidth="1"/>
    <col min="3588" max="3588" width="10.28515625" style="693" customWidth="1"/>
    <col min="3589" max="3593" width="17.85546875" style="693" customWidth="1"/>
    <col min="3594" max="3841" width="9.140625" style="693"/>
    <col min="3842" max="3842" width="57.85546875" style="693" customWidth="1"/>
    <col min="3843" max="3843" width="14.42578125" style="693" customWidth="1"/>
    <col min="3844" max="3844" width="10.28515625" style="693" customWidth="1"/>
    <col min="3845" max="3849" width="17.85546875" style="693" customWidth="1"/>
    <col min="3850" max="4097" width="9.140625" style="693"/>
    <col min="4098" max="4098" width="57.85546875" style="693" customWidth="1"/>
    <col min="4099" max="4099" width="14.42578125" style="693" customWidth="1"/>
    <col min="4100" max="4100" width="10.28515625" style="693" customWidth="1"/>
    <col min="4101" max="4105" width="17.85546875" style="693" customWidth="1"/>
    <col min="4106" max="4353" width="9.140625" style="693"/>
    <col min="4354" max="4354" width="57.85546875" style="693" customWidth="1"/>
    <col min="4355" max="4355" width="14.42578125" style="693" customWidth="1"/>
    <col min="4356" max="4356" width="10.28515625" style="693" customWidth="1"/>
    <col min="4357" max="4361" width="17.85546875" style="693" customWidth="1"/>
    <col min="4362" max="4609" width="9.140625" style="693"/>
    <col min="4610" max="4610" width="57.85546875" style="693" customWidth="1"/>
    <col min="4611" max="4611" width="14.42578125" style="693" customWidth="1"/>
    <col min="4612" max="4612" width="10.28515625" style="693" customWidth="1"/>
    <col min="4613" max="4617" width="17.85546875" style="693" customWidth="1"/>
    <col min="4618" max="4865" width="9.140625" style="693"/>
    <col min="4866" max="4866" width="57.85546875" style="693" customWidth="1"/>
    <col min="4867" max="4867" width="14.42578125" style="693" customWidth="1"/>
    <col min="4868" max="4868" width="10.28515625" style="693" customWidth="1"/>
    <col min="4869" max="4873" width="17.85546875" style="693" customWidth="1"/>
    <col min="4874" max="5121" width="9.140625" style="693"/>
    <col min="5122" max="5122" width="57.85546875" style="693" customWidth="1"/>
    <col min="5123" max="5123" width="14.42578125" style="693" customWidth="1"/>
    <col min="5124" max="5124" width="10.28515625" style="693" customWidth="1"/>
    <col min="5125" max="5129" width="17.85546875" style="693" customWidth="1"/>
    <col min="5130" max="5377" width="9.140625" style="693"/>
    <col min="5378" max="5378" width="57.85546875" style="693" customWidth="1"/>
    <col min="5379" max="5379" width="14.42578125" style="693" customWidth="1"/>
    <col min="5380" max="5380" width="10.28515625" style="693" customWidth="1"/>
    <col min="5381" max="5385" width="17.85546875" style="693" customWidth="1"/>
    <col min="5386" max="5633" width="9.140625" style="693"/>
    <col min="5634" max="5634" width="57.85546875" style="693" customWidth="1"/>
    <col min="5635" max="5635" width="14.42578125" style="693" customWidth="1"/>
    <col min="5636" max="5636" width="10.28515625" style="693" customWidth="1"/>
    <col min="5637" max="5641" width="17.85546875" style="693" customWidth="1"/>
    <col min="5642" max="5889" width="9.140625" style="693"/>
    <col min="5890" max="5890" width="57.85546875" style="693" customWidth="1"/>
    <col min="5891" max="5891" width="14.42578125" style="693" customWidth="1"/>
    <col min="5892" max="5892" width="10.28515625" style="693" customWidth="1"/>
    <col min="5893" max="5897" width="17.85546875" style="693" customWidth="1"/>
    <col min="5898" max="6145" width="9.140625" style="693"/>
    <col min="6146" max="6146" width="57.85546875" style="693" customWidth="1"/>
    <col min="6147" max="6147" width="14.42578125" style="693" customWidth="1"/>
    <col min="6148" max="6148" width="10.28515625" style="693" customWidth="1"/>
    <col min="6149" max="6153" width="17.85546875" style="693" customWidth="1"/>
    <col min="6154" max="6401" width="9.140625" style="693"/>
    <col min="6402" max="6402" width="57.85546875" style="693" customWidth="1"/>
    <col min="6403" max="6403" width="14.42578125" style="693" customWidth="1"/>
    <col min="6404" max="6404" width="10.28515625" style="693" customWidth="1"/>
    <col min="6405" max="6409" width="17.85546875" style="693" customWidth="1"/>
    <col min="6410" max="6657" width="9.140625" style="693"/>
    <col min="6658" max="6658" width="57.85546875" style="693" customWidth="1"/>
    <col min="6659" max="6659" width="14.42578125" style="693" customWidth="1"/>
    <col min="6660" max="6660" width="10.28515625" style="693" customWidth="1"/>
    <col min="6661" max="6665" width="17.85546875" style="693" customWidth="1"/>
    <col min="6666" max="6913" width="9.140625" style="693"/>
    <col min="6914" max="6914" width="57.85546875" style="693" customWidth="1"/>
    <col min="6915" max="6915" width="14.42578125" style="693" customWidth="1"/>
    <col min="6916" max="6916" width="10.28515625" style="693" customWidth="1"/>
    <col min="6917" max="6921" width="17.85546875" style="693" customWidth="1"/>
    <col min="6922" max="7169" width="9.140625" style="693"/>
    <col min="7170" max="7170" width="57.85546875" style="693" customWidth="1"/>
    <col min="7171" max="7171" width="14.42578125" style="693" customWidth="1"/>
    <col min="7172" max="7172" width="10.28515625" style="693" customWidth="1"/>
    <col min="7173" max="7177" width="17.85546875" style="693" customWidth="1"/>
    <col min="7178" max="7425" width="9.140625" style="693"/>
    <col min="7426" max="7426" width="57.85546875" style="693" customWidth="1"/>
    <col min="7427" max="7427" width="14.42578125" style="693" customWidth="1"/>
    <col min="7428" max="7428" width="10.28515625" style="693" customWidth="1"/>
    <col min="7429" max="7433" width="17.85546875" style="693" customWidth="1"/>
    <col min="7434" max="7681" width="9.140625" style="693"/>
    <col min="7682" max="7682" width="57.85546875" style="693" customWidth="1"/>
    <col min="7683" max="7683" width="14.42578125" style="693" customWidth="1"/>
    <col min="7684" max="7684" width="10.28515625" style="693" customWidth="1"/>
    <col min="7685" max="7689" width="17.85546875" style="693" customWidth="1"/>
    <col min="7690" max="7937" width="9.140625" style="693"/>
    <col min="7938" max="7938" width="57.85546875" style="693" customWidth="1"/>
    <col min="7939" max="7939" width="14.42578125" style="693" customWidth="1"/>
    <col min="7940" max="7940" width="10.28515625" style="693" customWidth="1"/>
    <col min="7941" max="7945" width="17.85546875" style="693" customWidth="1"/>
    <col min="7946" max="8193" width="9.140625" style="693"/>
    <col min="8194" max="8194" width="57.85546875" style="693" customWidth="1"/>
    <col min="8195" max="8195" width="14.42578125" style="693" customWidth="1"/>
    <col min="8196" max="8196" width="10.28515625" style="693" customWidth="1"/>
    <col min="8197" max="8201" width="17.85546875" style="693" customWidth="1"/>
    <col min="8202" max="8449" width="9.140625" style="693"/>
    <col min="8450" max="8450" width="57.85546875" style="693" customWidth="1"/>
    <col min="8451" max="8451" width="14.42578125" style="693" customWidth="1"/>
    <col min="8452" max="8452" width="10.28515625" style="693" customWidth="1"/>
    <col min="8453" max="8457" width="17.85546875" style="693" customWidth="1"/>
    <col min="8458" max="8705" width="9.140625" style="693"/>
    <col min="8706" max="8706" width="57.85546875" style="693" customWidth="1"/>
    <col min="8707" max="8707" width="14.42578125" style="693" customWidth="1"/>
    <col min="8708" max="8708" width="10.28515625" style="693" customWidth="1"/>
    <col min="8709" max="8713" width="17.85546875" style="693" customWidth="1"/>
    <col min="8714" max="8961" width="9.140625" style="693"/>
    <col min="8962" max="8962" width="57.85546875" style="693" customWidth="1"/>
    <col min="8963" max="8963" width="14.42578125" style="693" customWidth="1"/>
    <col min="8964" max="8964" width="10.28515625" style="693" customWidth="1"/>
    <col min="8965" max="8969" width="17.85546875" style="693" customWidth="1"/>
    <col min="8970" max="9217" width="9.140625" style="693"/>
    <col min="9218" max="9218" width="57.85546875" style="693" customWidth="1"/>
    <col min="9219" max="9219" width="14.42578125" style="693" customWidth="1"/>
    <col min="9220" max="9220" width="10.28515625" style="693" customWidth="1"/>
    <col min="9221" max="9225" width="17.85546875" style="693" customWidth="1"/>
    <col min="9226" max="9473" width="9.140625" style="693"/>
    <col min="9474" max="9474" width="57.85546875" style="693" customWidth="1"/>
    <col min="9475" max="9475" width="14.42578125" style="693" customWidth="1"/>
    <col min="9476" max="9476" width="10.28515625" style="693" customWidth="1"/>
    <col min="9477" max="9481" width="17.85546875" style="693" customWidth="1"/>
    <col min="9482" max="9729" width="9.140625" style="693"/>
    <col min="9730" max="9730" width="57.85546875" style="693" customWidth="1"/>
    <col min="9731" max="9731" width="14.42578125" style="693" customWidth="1"/>
    <col min="9732" max="9732" width="10.28515625" style="693" customWidth="1"/>
    <col min="9733" max="9737" width="17.85546875" style="693" customWidth="1"/>
    <col min="9738" max="9985" width="9.140625" style="693"/>
    <col min="9986" max="9986" width="57.85546875" style="693" customWidth="1"/>
    <col min="9987" max="9987" width="14.42578125" style="693" customWidth="1"/>
    <col min="9988" max="9988" width="10.28515625" style="693" customWidth="1"/>
    <col min="9989" max="9993" width="17.85546875" style="693" customWidth="1"/>
    <col min="9994" max="10241" width="9.140625" style="693"/>
    <col min="10242" max="10242" width="57.85546875" style="693" customWidth="1"/>
    <col min="10243" max="10243" width="14.42578125" style="693" customWidth="1"/>
    <col min="10244" max="10244" width="10.28515625" style="693" customWidth="1"/>
    <col min="10245" max="10249" width="17.85546875" style="693" customWidth="1"/>
    <col min="10250" max="10497" width="9.140625" style="693"/>
    <col min="10498" max="10498" width="57.85546875" style="693" customWidth="1"/>
    <col min="10499" max="10499" width="14.42578125" style="693" customWidth="1"/>
    <col min="10500" max="10500" width="10.28515625" style="693" customWidth="1"/>
    <col min="10501" max="10505" width="17.85546875" style="693" customWidth="1"/>
    <col min="10506" max="10753" width="9.140625" style="693"/>
    <col min="10754" max="10754" width="57.85546875" style="693" customWidth="1"/>
    <col min="10755" max="10755" width="14.42578125" style="693" customWidth="1"/>
    <col min="10756" max="10756" width="10.28515625" style="693" customWidth="1"/>
    <col min="10757" max="10761" width="17.85546875" style="693" customWidth="1"/>
    <col min="10762" max="11009" width="9.140625" style="693"/>
    <col min="11010" max="11010" width="57.85546875" style="693" customWidth="1"/>
    <col min="11011" max="11011" width="14.42578125" style="693" customWidth="1"/>
    <col min="11012" max="11012" width="10.28515625" style="693" customWidth="1"/>
    <col min="11013" max="11017" width="17.85546875" style="693" customWidth="1"/>
    <col min="11018" max="11265" width="9.140625" style="693"/>
    <col min="11266" max="11266" width="57.85546875" style="693" customWidth="1"/>
    <col min="11267" max="11267" width="14.42578125" style="693" customWidth="1"/>
    <col min="11268" max="11268" width="10.28515625" style="693" customWidth="1"/>
    <col min="11269" max="11273" width="17.85546875" style="693" customWidth="1"/>
    <col min="11274" max="11521" width="9.140625" style="693"/>
    <col min="11522" max="11522" width="57.85546875" style="693" customWidth="1"/>
    <col min="11523" max="11523" width="14.42578125" style="693" customWidth="1"/>
    <col min="11524" max="11524" width="10.28515625" style="693" customWidth="1"/>
    <col min="11525" max="11529" width="17.85546875" style="693" customWidth="1"/>
    <col min="11530" max="11777" width="9.140625" style="693"/>
    <col min="11778" max="11778" width="57.85546875" style="693" customWidth="1"/>
    <col min="11779" max="11779" width="14.42578125" style="693" customWidth="1"/>
    <col min="11780" max="11780" width="10.28515625" style="693" customWidth="1"/>
    <col min="11781" max="11785" width="17.85546875" style="693" customWidth="1"/>
    <col min="11786" max="12033" width="9.140625" style="693"/>
    <col min="12034" max="12034" width="57.85546875" style="693" customWidth="1"/>
    <col min="12035" max="12035" width="14.42578125" style="693" customWidth="1"/>
    <col min="12036" max="12036" width="10.28515625" style="693" customWidth="1"/>
    <col min="12037" max="12041" width="17.85546875" style="693" customWidth="1"/>
    <col min="12042" max="12289" width="9.140625" style="693"/>
    <col min="12290" max="12290" width="57.85546875" style="693" customWidth="1"/>
    <col min="12291" max="12291" width="14.42578125" style="693" customWidth="1"/>
    <col min="12292" max="12292" width="10.28515625" style="693" customWidth="1"/>
    <col min="12293" max="12297" width="17.85546875" style="693" customWidth="1"/>
    <col min="12298" max="12545" width="9.140625" style="693"/>
    <col min="12546" max="12546" width="57.85546875" style="693" customWidth="1"/>
    <col min="12547" max="12547" width="14.42578125" style="693" customWidth="1"/>
    <col min="12548" max="12548" width="10.28515625" style="693" customWidth="1"/>
    <col min="12549" max="12553" width="17.85546875" style="693" customWidth="1"/>
    <col min="12554" max="12801" width="9.140625" style="693"/>
    <col min="12802" max="12802" width="57.85546875" style="693" customWidth="1"/>
    <col min="12803" max="12803" width="14.42578125" style="693" customWidth="1"/>
    <col min="12804" max="12804" width="10.28515625" style="693" customWidth="1"/>
    <col min="12805" max="12809" width="17.85546875" style="693" customWidth="1"/>
    <col min="12810" max="13057" width="9.140625" style="693"/>
    <col min="13058" max="13058" width="57.85546875" style="693" customWidth="1"/>
    <col min="13059" max="13059" width="14.42578125" style="693" customWidth="1"/>
    <col min="13060" max="13060" width="10.28515625" style="693" customWidth="1"/>
    <col min="13061" max="13065" width="17.85546875" style="693" customWidth="1"/>
    <col min="13066" max="13313" width="9.140625" style="693"/>
    <col min="13314" max="13314" width="57.85546875" style="693" customWidth="1"/>
    <col min="13315" max="13315" width="14.42578125" style="693" customWidth="1"/>
    <col min="13316" max="13316" width="10.28515625" style="693" customWidth="1"/>
    <col min="13317" max="13321" width="17.85546875" style="693" customWidth="1"/>
    <col min="13322" max="13569" width="9.140625" style="693"/>
    <col min="13570" max="13570" width="57.85546875" style="693" customWidth="1"/>
    <col min="13571" max="13571" width="14.42578125" style="693" customWidth="1"/>
    <col min="13572" max="13572" width="10.28515625" style="693" customWidth="1"/>
    <col min="13573" max="13577" width="17.85546875" style="693" customWidth="1"/>
    <col min="13578" max="13825" width="9.140625" style="693"/>
    <col min="13826" max="13826" width="57.85546875" style="693" customWidth="1"/>
    <col min="13827" max="13827" width="14.42578125" style="693" customWidth="1"/>
    <col min="13828" max="13828" width="10.28515625" style="693" customWidth="1"/>
    <col min="13829" max="13833" width="17.85546875" style="693" customWidth="1"/>
    <col min="13834" max="14081" width="9.140625" style="693"/>
    <col min="14082" max="14082" width="57.85546875" style="693" customWidth="1"/>
    <col min="14083" max="14083" width="14.42578125" style="693" customWidth="1"/>
    <col min="14084" max="14084" width="10.28515625" style="693" customWidth="1"/>
    <col min="14085" max="14089" width="17.85546875" style="693" customWidth="1"/>
    <col min="14090" max="14337" width="9.140625" style="693"/>
    <col min="14338" max="14338" width="57.85546875" style="693" customWidth="1"/>
    <col min="14339" max="14339" width="14.42578125" style="693" customWidth="1"/>
    <col min="14340" max="14340" width="10.28515625" style="693" customWidth="1"/>
    <col min="14341" max="14345" width="17.85546875" style="693" customWidth="1"/>
    <col min="14346" max="14593" width="9.140625" style="693"/>
    <col min="14594" max="14594" width="57.85546875" style="693" customWidth="1"/>
    <col min="14595" max="14595" width="14.42578125" style="693" customWidth="1"/>
    <col min="14596" max="14596" width="10.28515625" style="693" customWidth="1"/>
    <col min="14597" max="14601" width="17.85546875" style="693" customWidth="1"/>
    <col min="14602" max="14849" width="9.140625" style="693"/>
    <col min="14850" max="14850" width="57.85546875" style="693" customWidth="1"/>
    <col min="14851" max="14851" width="14.42578125" style="693" customWidth="1"/>
    <col min="14852" max="14852" width="10.28515625" style="693" customWidth="1"/>
    <col min="14853" max="14857" width="17.85546875" style="693" customWidth="1"/>
    <col min="14858" max="15105" width="9.140625" style="693"/>
    <col min="15106" max="15106" width="57.85546875" style="693" customWidth="1"/>
    <col min="15107" max="15107" width="14.42578125" style="693" customWidth="1"/>
    <col min="15108" max="15108" width="10.28515625" style="693" customWidth="1"/>
    <col min="15109" max="15113" width="17.85546875" style="693" customWidth="1"/>
    <col min="15114" max="15361" width="9.140625" style="693"/>
    <col min="15362" max="15362" width="57.85546875" style="693" customWidth="1"/>
    <col min="15363" max="15363" width="14.42578125" style="693" customWidth="1"/>
    <col min="15364" max="15364" width="10.28515625" style="693" customWidth="1"/>
    <col min="15365" max="15369" width="17.85546875" style="693" customWidth="1"/>
    <col min="15370" max="15617" width="9.140625" style="693"/>
    <col min="15618" max="15618" width="57.85546875" style="693" customWidth="1"/>
    <col min="15619" max="15619" width="14.42578125" style="693" customWidth="1"/>
    <col min="15620" max="15620" width="10.28515625" style="693" customWidth="1"/>
    <col min="15621" max="15625" width="17.85546875" style="693" customWidth="1"/>
    <col min="15626" max="15873" width="9.140625" style="693"/>
    <col min="15874" max="15874" width="57.85546875" style="693" customWidth="1"/>
    <col min="15875" max="15875" width="14.42578125" style="693" customWidth="1"/>
    <col min="15876" max="15876" width="10.28515625" style="693" customWidth="1"/>
    <col min="15877" max="15881" width="17.85546875" style="693" customWidth="1"/>
    <col min="15882" max="16129" width="9.140625" style="693"/>
    <col min="16130" max="16130" width="57.85546875" style="693" customWidth="1"/>
    <col min="16131" max="16131" width="14.42578125" style="693" customWidth="1"/>
    <col min="16132" max="16132" width="10.28515625" style="693" customWidth="1"/>
    <col min="16133" max="16137" width="17.85546875" style="693" customWidth="1"/>
    <col min="16138" max="16384" width="9.140625" style="693"/>
  </cols>
  <sheetData>
    <row r="1" spans="1:9" s="686" customFormat="1" ht="27" x14ac:dyDescent="0.25">
      <c r="A1" s="768" t="s">
        <v>797</v>
      </c>
      <c r="B1" s="768"/>
      <c r="C1" s="768"/>
      <c r="D1" s="768"/>
      <c r="E1" s="768"/>
      <c r="F1" s="768"/>
      <c r="G1" s="768"/>
      <c r="H1" s="768"/>
      <c r="I1" s="768"/>
    </row>
    <row r="2" spans="1:9" s="686" customFormat="1" ht="22.5" x14ac:dyDescent="0.25">
      <c r="A2" s="769" t="str">
        <f>Summary!B8</f>
        <v>STAFF BUILDING (1 Block)</v>
      </c>
      <c r="B2" s="769"/>
      <c r="C2" s="769"/>
      <c r="D2" s="769"/>
      <c r="E2" s="769"/>
      <c r="F2" s="769"/>
      <c r="G2" s="769"/>
      <c r="H2" s="769"/>
      <c r="I2" s="769"/>
    </row>
    <row r="3" spans="1:9" s="686" customFormat="1" ht="15" x14ac:dyDescent="0.25"/>
    <row r="4" spans="1:9" s="686" customFormat="1" ht="45" x14ac:dyDescent="0.25">
      <c r="A4" s="687" t="s">
        <v>798</v>
      </c>
      <c r="B4" s="688" t="s">
        <v>0</v>
      </c>
      <c r="C4" s="688" t="s">
        <v>799</v>
      </c>
      <c r="D4" s="688" t="s">
        <v>2</v>
      </c>
      <c r="E4" s="688" t="s">
        <v>238</v>
      </c>
      <c r="F4" s="687" t="s">
        <v>800</v>
      </c>
      <c r="G4" s="687" t="s">
        <v>801</v>
      </c>
      <c r="H4" s="687" t="s">
        <v>802</v>
      </c>
      <c r="I4" s="687" t="s">
        <v>803</v>
      </c>
    </row>
    <row r="5" spans="1:9" ht="85.5" x14ac:dyDescent="0.2">
      <c r="A5" s="689">
        <f>'BOQ-STAFF BUILDING (Civil)'!A7</f>
        <v>1</v>
      </c>
      <c r="B5" s="690" t="str">
        <f>'BOQ-STAFF BUILDING (Civil)'!C7</f>
        <v>Excavation
(Refer Spec's  Section # 2300)
Excavation in foundation of Building Bridges and other structures including dagbelling dressing,refilling around structure with excavated earth Watering and ramming lead upto 5 ft.</v>
      </c>
      <c r="C5" s="746">
        <f>'BOQ-STAFF BUILDING (Civil)'!D7</f>
        <v>11425</v>
      </c>
      <c r="D5" s="689" t="str">
        <f>'BOQ-STAFF BUILDING (Civil)'!E7</f>
        <v>‰Cft.</v>
      </c>
      <c r="E5" s="692"/>
      <c r="F5" s="692"/>
      <c r="G5" s="692"/>
      <c r="H5" s="692"/>
      <c r="I5" s="692"/>
    </row>
    <row r="6" spans="1:9" ht="99.75" x14ac:dyDescent="0.2">
      <c r="A6" s="689">
        <f>'BOQ-STAFF BUILDING (Civil)'!A8</f>
        <v>2</v>
      </c>
      <c r="B6" s="690" t="str">
        <f>'BOQ-STAFF BUILDING (Civil)'!C8</f>
        <v>Termite Proofing
(Refer Spec's Section # 2360)
Providing Anti-termmite by spraying/sprinkling/spreading Neptachlar 0.5% Emulsion as on overall pre-construction treatment in slab type construction under the slab and along attached perches or entrances etc, complete as per directions of Engineer Incharge.</v>
      </c>
      <c r="C6" s="746">
        <f>'BOQ-STAFF BUILDING (Civil)'!D8</f>
        <v>3600</v>
      </c>
      <c r="D6" s="689" t="str">
        <f>'BOQ-STAFF BUILDING (Civil)'!E8</f>
        <v>Sft.</v>
      </c>
      <c r="E6" s="692"/>
      <c r="F6" s="692"/>
      <c r="G6" s="692"/>
      <c r="H6" s="692"/>
      <c r="I6" s="692"/>
    </row>
    <row r="7" spans="1:9" ht="71.25" x14ac:dyDescent="0.2">
      <c r="A7" s="689">
        <f>'BOQ-STAFF BUILDING (Civil)'!A9</f>
        <v>3</v>
      </c>
      <c r="B7" s="690" t="str">
        <f>'BOQ-STAFF BUILDING (Civil)'!C9</f>
        <v>Earth Filling
(Refer Spec's  Section # 2300)
Earth work compaction (Soft, ordinary or hard soil).
Laying earth in 6" layers levelling % 0Cft.dressing and watering for compactionb etc. complete.</v>
      </c>
      <c r="C7" s="746">
        <f>'BOQ-STAFF BUILDING (Civil)'!D9</f>
        <v>8650</v>
      </c>
      <c r="D7" s="689" t="str">
        <f>'BOQ-STAFF BUILDING (Civil)'!E9</f>
        <v>‰Cft.</v>
      </c>
      <c r="E7" s="692"/>
      <c r="F7" s="692"/>
      <c r="G7" s="692"/>
      <c r="H7" s="692"/>
      <c r="I7" s="692"/>
    </row>
    <row r="8" spans="1:9" ht="71.25" x14ac:dyDescent="0.2">
      <c r="A8" s="689">
        <f>'BOQ-STAFF BUILDING (Civil)'!A10</f>
        <v>4</v>
      </c>
      <c r="B8" s="690" t="str">
        <f>'BOQ-STAFF BUILDING (Civil)'!C10</f>
        <v>Earth Filling Brough from out Side
(Refer Spec's  Section # 2300)
Filling,watering and ramming earth under floor with new earth (Excavated from outside) lead upto one chain and lift upto 5 feet.</v>
      </c>
      <c r="C8" s="746">
        <f>'BOQ-STAFF BUILDING (Civil)'!D10</f>
        <v>8650</v>
      </c>
      <c r="D8" s="689" t="str">
        <f>'BOQ-STAFF BUILDING (Civil)'!E10</f>
        <v>‰Cft.</v>
      </c>
      <c r="E8" s="692"/>
      <c r="F8" s="692"/>
      <c r="G8" s="692"/>
      <c r="H8" s="692"/>
      <c r="I8" s="692"/>
    </row>
    <row r="9" spans="1:9" ht="57" x14ac:dyDescent="0.2">
      <c r="A9" s="689">
        <f>'BOQ-STAFF BUILDING (Civil)'!A11</f>
        <v>5</v>
      </c>
      <c r="B9" s="690" t="str">
        <f>'BOQ-STAFF BUILDING (Civil)'!C11</f>
        <v>Stone Soling
(Refer Spec's  Section # 2505)
Stone filling dry hand packed as filling behind retaining walls or in pitching and aprons.</v>
      </c>
      <c r="C9" s="746">
        <f>'BOQ-STAFF BUILDING (Civil)'!D11</f>
        <v>3200</v>
      </c>
      <c r="D9" s="689" t="str">
        <f>'BOQ-STAFF BUILDING (Civil)'!E11</f>
        <v>%Cft.</v>
      </c>
      <c r="E9" s="692"/>
      <c r="F9" s="692"/>
      <c r="G9" s="692">
        <f>ROUND(C9*1.2,2)</f>
        <v>3840</v>
      </c>
      <c r="H9" s="692"/>
      <c r="I9" s="692"/>
    </row>
    <row r="10" spans="1:9" ht="114" x14ac:dyDescent="0.2">
      <c r="A10" s="689">
        <f>'BOQ-STAFF BUILDING (Civil)'!A12</f>
        <v>6</v>
      </c>
      <c r="B10" s="690" t="str">
        <f>'BOQ-STAFF BUILDING (Civil)'!C12</f>
        <v>1:4:8 in Foundation
(Refer Specs. Section # 3300)
Providing and laying lean concrete having 1450 PSI cylindrical strength (ready mixed concrete) including
placing compacting finishing, curing complete, screening and washing of crushed stone aggregate excluding the cost of shuttering.
Ratio. 1: 4 :8</v>
      </c>
      <c r="C10" s="746">
        <f>'BOQ-STAFF BUILDING (Civil)'!D12</f>
        <v>840</v>
      </c>
      <c r="D10" s="689" t="str">
        <f>'BOQ-STAFF BUILDING (Civil)'!E12</f>
        <v>%Cft.</v>
      </c>
      <c r="E10" s="692">
        <f>ROUND(((C10*1.54)/13)/1.25,2)</f>
        <v>79.61</v>
      </c>
      <c r="F10" s="692"/>
      <c r="G10" s="692"/>
      <c r="H10" s="692">
        <f>ROUND(E10*1.25*4,2)</f>
        <v>398.05</v>
      </c>
      <c r="I10" s="692">
        <f>ROUND(E10*1.25*8,2)</f>
        <v>796.1</v>
      </c>
    </row>
    <row r="11" spans="1:9" ht="114" x14ac:dyDescent="0.2">
      <c r="A11" s="689">
        <f>'BOQ-STAFF BUILDING (Civil)'!A13</f>
        <v>7</v>
      </c>
      <c r="B11" s="690" t="str">
        <f>'BOQ-STAFF BUILDING (Civil)'!C13</f>
        <v>1:3:6 Cast - in - Situ
(Refer Specs. Section # 3300)
Providing and laying lean concrete having 2250 PSI cylindrical strength (ready mixed concrete) including
placing compacting finishing, curing complete, screening and washing of crushed stone aggregate excluding the cost of shuttering.
Ratio. 1:3 :6</v>
      </c>
      <c r="C11" s="746">
        <f>'BOQ-STAFF BUILDING (Civil)'!D13</f>
        <v>3775</v>
      </c>
      <c r="D11" s="689" t="str">
        <f>'BOQ-STAFF BUILDING (Civil)'!E13</f>
        <v>%Cft.</v>
      </c>
      <c r="E11" s="692">
        <f>ROUND(((C11*1.54)/10)/1.25,2)</f>
        <v>465.08</v>
      </c>
      <c r="F11" s="692"/>
      <c r="G11" s="692"/>
      <c r="H11" s="692">
        <f>ROUND(E11*1.25*3,2)</f>
        <v>1744.05</v>
      </c>
      <c r="I11" s="692">
        <f>ROUND(E11*1.25*6,2)</f>
        <v>3488.1</v>
      </c>
    </row>
    <row r="12" spans="1:9" ht="28.5" x14ac:dyDescent="0.2">
      <c r="A12" s="689">
        <f>'BOQ-STAFF BUILDING (Civil)'!A14</f>
        <v>8</v>
      </c>
      <c r="B12" s="690" t="str">
        <f>'BOQ-STAFF BUILDING (Civil)'!C14</f>
        <v>Erection and removal of centering for R.C.C or plain cement concrete works of Deodar wood (2nd-Class)</v>
      </c>
      <c r="C12" s="746">
        <f>'BOQ-STAFF BUILDING (Civil)'!D14</f>
        <v>11269</v>
      </c>
      <c r="D12" s="689" t="str">
        <f>'BOQ-STAFF BUILDING (Civil)'!E14</f>
        <v>%Cft.</v>
      </c>
      <c r="E12" s="692"/>
      <c r="F12" s="692"/>
      <c r="G12" s="692"/>
      <c r="H12" s="692"/>
      <c r="I12" s="692"/>
    </row>
    <row r="13" spans="1:9" ht="85.5" x14ac:dyDescent="0.2">
      <c r="A13" s="689">
        <f>'BOQ-STAFF BUILDING (Civil)'!A15</f>
        <v>9</v>
      </c>
      <c r="B13" s="690" t="str">
        <f>'BOQ-STAFF BUILDING (Civil)'!C15</f>
        <v>1:9 Sub - Floor
(Refer Specs. Section # 3300)
Cement concrete plain including placing compacting, finishing and curing, complete (including screening and washing at stone aggregate without shuttering.
Ratio. 1:3 :6</v>
      </c>
      <c r="C13" s="746"/>
      <c r="D13" s="689"/>
      <c r="E13" s="692"/>
      <c r="F13" s="692"/>
      <c r="G13" s="692"/>
      <c r="H13" s="692"/>
      <c r="I13" s="692"/>
    </row>
    <row r="14" spans="1:9" x14ac:dyDescent="0.2">
      <c r="A14" s="689" t="str">
        <f>'BOQ-STAFF BUILDING (Civil)'!A16</f>
        <v>i</v>
      </c>
      <c r="B14" s="690" t="str">
        <f>'BOQ-STAFF BUILDING (Civil)'!C16</f>
        <v>3"th</v>
      </c>
      <c r="C14" s="746">
        <f>'BOQ-STAFF BUILDING (Civil)'!D16</f>
        <v>800</v>
      </c>
      <c r="D14" s="689" t="str">
        <f>'BOQ-STAFF BUILDING (Civil)'!E16</f>
        <v>%Cft.</v>
      </c>
      <c r="E14" s="692">
        <f>ROUND(((C14*1.54)/10)/1.25,2)</f>
        <v>98.56</v>
      </c>
      <c r="F14" s="692"/>
      <c r="G14" s="692"/>
      <c r="H14" s="692">
        <f>ROUND(E14*1.25*3,2)</f>
        <v>369.6</v>
      </c>
      <c r="I14" s="692">
        <f>ROUND(E14*1.25*6,2)</f>
        <v>739.2</v>
      </c>
    </row>
    <row r="15" spans="1:9" x14ac:dyDescent="0.2">
      <c r="A15" s="689" t="str">
        <f>'BOQ-STAFF BUILDING (Civil)'!A17</f>
        <v>ii</v>
      </c>
      <c r="B15" s="690" t="str">
        <f>'BOQ-STAFF BUILDING (Civil)'!C17</f>
        <v>2"th</v>
      </c>
      <c r="C15" s="746">
        <f>'BOQ-STAFF BUILDING (Civil)'!D17</f>
        <v>544</v>
      </c>
      <c r="D15" s="689" t="str">
        <f>'BOQ-STAFF BUILDING (Civil)'!E17</f>
        <v>%Cft.</v>
      </c>
      <c r="E15" s="692">
        <f>ROUND(((C15*1.54)/10)/1.25,2)</f>
        <v>67.02</v>
      </c>
      <c r="F15" s="692"/>
      <c r="G15" s="692"/>
      <c r="H15" s="692">
        <f>ROUND(E15*1.25*3,2)</f>
        <v>251.33</v>
      </c>
      <c r="I15" s="692">
        <f>ROUND(E15*1.25*6,2)</f>
        <v>502.65</v>
      </c>
    </row>
    <row r="16" spans="1:9" ht="99.75" x14ac:dyDescent="0.2">
      <c r="A16" s="689">
        <f>'BOQ-STAFF BUILDING (Civil)'!A18</f>
        <v>10</v>
      </c>
      <c r="B16" s="690" t="str">
        <f>'BOQ-STAFF BUILDING (Civil)'!C18</f>
        <v>Reinforced Cement Concrete  (f'c 3.0 ksi, Cylindrical  Strength) (Refer Specs. Section # 3300)
Providing and laying reinforced cement concrete having 3000 PSI cylindrical strength (ready mixed concrete) including all kinds of fromwork, hoisting, placing, placing compacting, finishing, curing complete in all repect as shown on the Drawing</v>
      </c>
      <c r="C16" s="746"/>
      <c r="D16" s="689"/>
      <c r="E16" s="692"/>
      <c r="F16" s="692"/>
      <c r="G16" s="692"/>
      <c r="H16" s="692"/>
      <c r="I16" s="692"/>
    </row>
    <row r="17" spans="1:9" x14ac:dyDescent="0.2">
      <c r="A17" s="689" t="str">
        <f>'BOQ-STAFF BUILDING (Civil)'!A19</f>
        <v>i</v>
      </c>
      <c r="B17" s="690" t="str">
        <f>'BOQ-STAFF BUILDING (Civil)'!C19</f>
        <v>Footing</v>
      </c>
      <c r="C17" s="746">
        <f>'BOQ-STAFF BUILDING (Civil)'!D19</f>
        <v>1800</v>
      </c>
      <c r="D17" s="689" t="str">
        <f>'BOQ-STAFF BUILDING (Civil)'!E19</f>
        <v>%Cft.</v>
      </c>
      <c r="E17" s="692">
        <f>ROUND(((C17*1.54)/7)/1.25,2)</f>
        <v>316.8</v>
      </c>
      <c r="F17" s="692"/>
      <c r="G17" s="692"/>
      <c r="H17" s="692">
        <f>ROUND(E17*1.25*2,2)</f>
        <v>792</v>
      </c>
      <c r="I17" s="692">
        <f>ROUND(E17*1.25*4,2)</f>
        <v>1584</v>
      </c>
    </row>
    <row r="18" spans="1:9" ht="156.75" x14ac:dyDescent="0.2">
      <c r="A18" s="689">
        <f>'BOQ-STAFF BUILDING (Civil)'!A20</f>
        <v>11</v>
      </c>
      <c r="B18" s="690" t="str">
        <f>'BOQ-STAFF BUILDING (Civil)'!C20</f>
        <v>Reinforced cement concrete work including all labour and material except the cost of steel reinforcement and its labour for bending and binding which will be paid separately. This rate also includes all kinds of forms moulds: lifting shuttering curing rendering and finishing the-exposed surface (including screening  and washing of shingle.)
R.C work in roof slab, beams columns rafts, lintels and other structural members laid in situ or precast laid in position complete in all respects.
Ratio (1: 2: 4) 90 Lbs.cement 2 Cft. Sand 4 Cft. Shingle 1/8" to 1/4" gauge.</v>
      </c>
      <c r="C18" s="746"/>
      <c r="D18" s="689"/>
      <c r="E18" s="692"/>
      <c r="F18" s="692"/>
      <c r="G18" s="692"/>
      <c r="H18" s="692"/>
      <c r="I18" s="692"/>
    </row>
    <row r="19" spans="1:9" x14ac:dyDescent="0.2">
      <c r="A19" s="689" t="str">
        <f>'BOQ-STAFF BUILDING (Civil)'!A21</f>
        <v>i</v>
      </c>
      <c r="B19" s="690" t="str">
        <f>'BOQ-STAFF BUILDING (Civil)'!C21</f>
        <v>Plinth Beams</v>
      </c>
      <c r="C19" s="746">
        <f>'BOQ-STAFF BUILDING (Civil)'!D21</f>
        <v>1720</v>
      </c>
      <c r="D19" s="689" t="str">
        <f>'BOQ-STAFF BUILDING (Civil)'!E21</f>
        <v>%Cft.</v>
      </c>
      <c r="E19" s="692">
        <f>ROUND(((C19*1.54)/7)/1.25,2)</f>
        <v>302.72000000000003</v>
      </c>
      <c r="F19" s="692"/>
      <c r="G19" s="692"/>
      <c r="H19" s="692">
        <f>ROUND(E19*1.25*2,2)</f>
        <v>756.8</v>
      </c>
      <c r="I19" s="692">
        <f>ROUND(E19*1.25*4,2)</f>
        <v>1513.6</v>
      </c>
    </row>
    <row r="20" spans="1:9" x14ac:dyDescent="0.2">
      <c r="A20" s="689" t="str">
        <f>'BOQ-STAFF BUILDING (Civil)'!A22</f>
        <v>ii</v>
      </c>
      <c r="B20" s="690" t="str">
        <f>'BOQ-STAFF BUILDING (Civil)'!C22</f>
        <v>Column</v>
      </c>
      <c r="C20" s="746">
        <f>'BOQ-STAFF BUILDING (Civil)'!D22</f>
        <v>170</v>
      </c>
      <c r="D20" s="689" t="str">
        <f>'BOQ-STAFF BUILDING (Civil)'!E22</f>
        <v>%Cft.</v>
      </c>
      <c r="E20" s="692">
        <f>ROUND(((C20*1.54)/7)/1.25,2)</f>
        <v>29.92</v>
      </c>
      <c r="F20" s="692"/>
      <c r="G20" s="692"/>
      <c r="H20" s="692">
        <f>ROUND(E20*1.25*2,2)</f>
        <v>74.8</v>
      </c>
      <c r="I20" s="692">
        <f>ROUND(E20*1.25*4,2)</f>
        <v>149.6</v>
      </c>
    </row>
    <row r="21" spans="1:9" x14ac:dyDescent="0.2">
      <c r="A21" s="689" t="str">
        <f>'BOQ-STAFF BUILDING (Civil)'!A23</f>
        <v>iii</v>
      </c>
      <c r="B21" s="690" t="str">
        <f>'BOQ-STAFF BUILDING (Civil)'!C23</f>
        <v>SOG</v>
      </c>
      <c r="C21" s="746">
        <f>'BOQ-STAFF BUILDING (Civil)'!D23</f>
        <v>1600</v>
      </c>
      <c r="D21" s="689" t="str">
        <f>'BOQ-STAFF BUILDING (Civil)'!E23</f>
        <v>%Cft.</v>
      </c>
      <c r="E21" s="692">
        <f>ROUND(((C21*1.54)/7)/1.25,2)</f>
        <v>281.60000000000002</v>
      </c>
      <c r="F21" s="692"/>
      <c r="G21" s="692"/>
      <c r="H21" s="692">
        <f>ROUND(E21*1.25*2,2)</f>
        <v>704</v>
      </c>
      <c r="I21" s="692">
        <f>ROUND(E21*1.25*4,2)</f>
        <v>1408</v>
      </c>
    </row>
    <row r="22" spans="1:9" x14ac:dyDescent="0.2">
      <c r="A22" s="689">
        <f>'BOQ-STAFF BUILDING (Civil)'!A24</f>
        <v>0</v>
      </c>
      <c r="B22" s="690" t="str">
        <f>'BOQ-STAFF BUILDING (Civil)'!C24</f>
        <v>In Super Structure (Using O.P. Cement)</v>
      </c>
      <c r="C22" s="746"/>
      <c r="D22" s="689"/>
      <c r="E22" s="692"/>
      <c r="F22" s="692"/>
      <c r="G22" s="692"/>
      <c r="H22" s="692"/>
      <c r="I22" s="692"/>
    </row>
    <row r="23" spans="1:9" x14ac:dyDescent="0.2">
      <c r="A23" s="689" t="str">
        <f>'BOQ-STAFF BUILDING (Civil)'!A25</f>
        <v>i</v>
      </c>
      <c r="B23" s="690" t="str">
        <f>'BOQ-STAFF BUILDING (Civil)'!C25</f>
        <v>Columns</v>
      </c>
      <c r="C23" s="746">
        <f>'BOQ-STAFF BUILDING (Civil)'!D25</f>
        <v>305</v>
      </c>
      <c r="D23" s="689" t="str">
        <f>'BOQ-STAFF BUILDING (Civil)'!E25</f>
        <v>%Cft.</v>
      </c>
      <c r="E23" s="692">
        <f>ROUND(((C23*1.54)/7)/1.25,2)</f>
        <v>53.68</v>
      </c>
      <c r="F23" s="692"/>
      <c r="G23" s="692"/>
      <c r="H23" s="692">
        <f>ROUND(E23*1.25*2,2)</f>
        <v>134.19999999999999</v>
      </c>
      <c r="I23" s="692">
        <f>ROUND(E23*1.25*4,2)</f>
        <v>268.39999999999998</v>
      </c>
    </row>
    <row r="24" spans="1:9" x14ac:dyDescent="0.2">
      <c r="A24" s="689" t="str">
        <f>'BOQ-STAFF BUILDING (Civil)'!A26</f>
        <v>ii</v>
      </c>
      <c r="B24" s="690" t="str">
        <f>'BOQ-STAFF BUILDING (Civil)'!C26</f>
        <v>Beam</v>
      </c>
      <c r="C24" s="746">
        <f>'BOQ-STAFF BUILDING (Civil)'!D26</f>
        <v>785</v>
      </c>
      <c r="D24" s="689" t="str">
        <f>'BOQ-STAFF BUILDING (Civil)'!E26</f>
        <v>%Cft.</v>
      </c>
      <c r="E24" s="692">
        <f>ROUND(((C24*1.54)/7)/1.25,2)</f>
        <v>138.16</v>
      </c>
      <c r="F24" s="692"/>
      <c r="G24" s="692"/>
      <c r="H24" s="692">
        <f>ROUND(E24*1.25*2,2)</f>
        <v>345.4</v>
      </c>
      <c r="I24" s="692">
        <f>ROUND(E24*1.25*4,2)</f>
        <v>690.8</v>
      </c>
    </row>
    <row r="25" spans="1:9" x14ac:dyDescent="0.2">
      <c r="A25" s="689">
        <f>'BOQ-STAFF BUILDING (Civil)'!A27</f>
        <v>0</v>
      </c>
      <c r="B25" s="690" t="str">
        <f>'BOQ-STAFF BUILDING (Civil)'!C27</f>
        <v>Slab</v>
      </c>
      <c r="C25" s="746"/>
      <c r="D25" s="689"/>
      <c r="E25" s="692"/>
      <c r="F25" s="692"/>
      <c r="G25" s="692"/>
      <c r="H25" s="692"/>
      <c r="I25" s="692"/>
    </row>
    <row r="26" spans="1:9" x14ac:dyDescent="0.2">
      <c r="A26" s="689" t="str">
        <f>'BOQ-STAFF BUILDING (Civil)'!A28</f>
        <v>iii</v>
      </c>
      <c r="B26" s="690" t="str">
        <f>'BOQ-STAFF BUILDING (Civil)'!C28</f>
        <v>6"thick</v>
      </c>
      <c r="C26" s="746">
        <f>'BOQ-STAFF BUILDING (Civil)'!D28</f>
        <v>798</v>
      </c>
      <c r="D26" s="689" t="str">
        <f>'BOQ-STAFF BUILDING (Civil)'!E28</f>
        <v>%Cft.</v>
      </c>
      <c r="E26" s="692">
        <f>ROUND(((C26*1.54)/7)/1.25,2)</f>
        <v>140.44999999999999</v>
      </c>
      <c r="F26" s="692"/>
      <c r="G26" s="692"/>
      <c r="H26" s="692">
        <f>ROUND(E26*1.25*2,2)</f>
        <v>351.13</v>
      </c>
      <c r="I26" s="692">
        <f>ROUND(E26*1.25*4,2)</f>
        <v>702.25</v>
      </c>
    </row>
    <row r="27" spans="1:9" x14ac:dyDescent="0.2">
      <c r="A27" s="689" t="str">
        <f>'BOQ-STAFF BUILDING (Civil)'!A29</f>
        <v>iv</v>
      </c>
      <c r="B27" s="690" t="str">
        <f>'BOQ-STAFF BUILDING (Civil)'!C29</f>
        <v>4"thick</v>
      </c>
      <c r="C27" s="746">
        <f>'BOQ-STAFF BUILDING (Civil)'!D29</f>
        <v>50</v>
      </c>
      <c r="D27" s="689" t="str">
        <f>'BOQ-STAFF BUILDING (Civil)'!E29</f>
        <v>%Cft.</v>
      </c>
      <c r="E27" s="692">
        <f>ROUND(((C27*1.54)/7)/1.25,2)</f>
        <v>8.8000000000000007</v>
      </c>
      <c r="F27" s="692"/>
      <c r="G27" s="692"/>
      <c r="H27" s="692">
        <f>ROUND(E27*1.25*2,2)</f>
        <v>22</v>
      </c>
      <c r="I27" s="692">
        <f>ROUND(E27*1.25*4,2)</f>
        <v>44</v>
      </c>
    </row>
    <row r="28" spans="1:9" x14ac:dyDescent="0.2">
      <c r="A28" s="689" t="str">
        <f>'BOQ-STAFF BUILDING (Civil)'!A30</f>
        <v>v</v>
      </c>
      <c r="B28" s="690" t="str">
        <f>'BOQ-STAFF BUILDING (Civil)'!C30</f>
        <v>Staircase</v>
      </c>
      <c r="C28" s="746">
        <f>'BOQ-STAFF BUILDING (Civil)'!D30</f>
        <v>25</v>
      </c>
      <c r="D28" s="689" t="str">
        <f>'BOQ-STAFF BUILDING (Civil)'!E30</f>
        <v>%Cft.</v>
      </c>
      <c r="E28" s="692">
        <f>ROUND(((C28*1.54)/7)/1.25,2)</f>
        <v>4.4000000000000004</v>
      </c>
      <c r="F28" s="692"/>
      <c r="G28" s="692"/>
      <c r="H28" s="692">
        <f>ROUND(E28*1.25*2,2)</f>
        <v>11</v>
      </c>
      <c r="I28" s="692">
        <f>ROUND(E28*1.25*4,2)</f>
        <v>22</v>
      </c>
    </row>
    <row r="29" spans="1:9" x14ac:dyDescent="0.2">
      <c r="A29" s="689" t="str">
        <f>'BOQ-STAFF BUILDING (Civil)'!A31</f>
        <v>vi</v>
      </c>
      <c r="B29" s="690" t="str">
        <f>'BOQ-STAFF BUILDING (Civil)'!C31</f>
        <v>Lintle</v>
      </c>
      <c r="C29" s="746">
        <f>'BOQ-STAFF BUILDING (Civil)'!D31</f>
        <v>225</v>
      </c>
      <c r="D29" s="689" t="str">
        <f>'BOQ-STAFF BUILDING (Civil)'!E31</f>
        <v>%Cft.</v>
      </c>
      <c r="E29" s="692">
        <f>ROUND(((C29*1.54)/7)/1.25,2)</f>
        <v>39.6</v>
      </c>
      <c r="F29" s="692"/>
      <c r="G29" s="692"/>
      <c r="H29" s="692">
        <f>ROUND(E29*1.25*2,2)</f>
        <v>99</v>
      </c>
      <c r="I29" s="692">
        <f>ROUND(E29*1.25*4,2)</f>
        <v>198</v>
      </c>
    </row>
    <row r="30" spans="1:9" ht="85.5" x14ac:dyDescent="0.2">
      <c r="A30" s="689">
        <f>'BOQ-STAFF BUILDING (Civil)'!A32</f>
        <v>12</v>
      </c>
      <c r="B30" s="690" t="str">
        <f>'BOQ-STAFF BUILDING (Civil)'!C32</f>
        <v>Reinforcement Bars
(Refer Specs. Section # 3300)
Fabrication of mild steel reinforcement for cement concrete including cutting,bending,laying in position, making joints and fastenings including cost of binding wire (also includes removeal of rast of bars.</v>
      </c>
      <c r="C30" s="746">
        <f>'BOQ-STAFF BUILDING (Civil)'!D32</f>
        <v>9.5</v>
      </c>
      <c r="D30" s="689" t="str">
        <f>'BOQ-STAFF BUILDING (Civil)'!E32</f>
        <v>Ton.</v>
      </c>
      <c r="E30" s="692"/>
      <c r="F30" s="692">
        <f>C30</f>
        <v>9.5</v>
      </c>
      <c r="G30" s="692"/>
      <c r="H30" s="692"/>
      <c r="I30" s="692"/>
    </row>
    <row r="31" spans="1:9" ht="85.5" x14ac:dyDescent="0.2">
      <c r="A31" s="689">
        <f>'BOQ-STAFF BUILDING (Civil)'!A33</f>
        <v>13</v>
      </c>
      <c r="B31" s="690" t="str">
        <f>'BOQ-STAFF BUILDING (Civil)'!C33</f>
        <v>Block Masonry
(Refer Spec's Section # 4050 &amp; 4200)
Providing and laying solid concrete block wall (having strength  800  psi  minimum)  laid  in  1:4  cement  mortar including  curing,raking  out  of  joints  etc,  complete  as per drawings and as directed by the Consultants.</v>
      </c>
      <c r="C31" s="746"/>
      <c r="D31" s="689"/>
      <c r="E31" s="692"/>
      <c r="F31" s="692"/>
      <c r="G31" s="692"/>
      <c r="H31" s="692"/>
      <c r="I31" s="692"/>
    </row>
    <row r="32" spans="1:9" x14ac:dyDescent="0.2">
      <c r="A32" s="689" t="str">
        <f>'BOQ-STAFF BUILDING (Civil)'!A34</f>
        <v>i</v>
      </c>
      <c r="B32" s="690" t="str">
        <f>'BOQ-STAFF BUILDING (Civil)'!C34</f>
        <v>8" thick</v>
      </c>
      <c r="C32" s="746">
        <f>'BOQ-STAFF BUILDING (Civil)'!D34</f>
        <v>1307</v>
      </c>
      <c r="D32" s="689" t="str">
        <f>'BOQ-STAFF BUILDING (Civil)'!E34</f>
        <v>%Cft.</v>
      </c>
      <c r="E32" s="692">
        <f>ROUND(((C32*1.54)/10)/1.25,2)</f>
        <v>161.02000000000001</v>
      </c>
      <c r="F32" s="692"/>
      <c r="G32" s="692"/>
      <c r="H32" s="692">
        <f>ROUND(E32*1.25*3,2)</f>
        <v>603.83000000000004</v>
      </c>
      <c r="I32" s="692">
        <f>ROUND(E32*1.25*6,2)</f>
        <v>1207.6500000000001</v>
      </c>
    </row>
    <row r="33" spans="1:9" x14ac:dyDescent="0.2">
      <c r="A33" s="689" t="str">
        <f>'BOQ-STAFF BUILDING (Civil)'!A35</f>
        <v>ii</v>
      </c>
      <c r="B33" s="690" t="str">
        <f>'BOQ-STAFF BUILDING (Civil)'!C35</f>
        <v>4" thick</v>
      </c>
      <c r="C33" s="746">
        <f>'BOQ-STAFF BUILDING (Civil)'!D35</f>
        <v>741</v>
      </c>
      <c r="D33" s="689" t="str">
        <f>'BOQ-STAFF BUILDING (Civil)'!E35</f>
        <v>%Cft.</v>
      </c>
      <c r="E33" s="692">
        <f>ROUND(((C33*1.54)/10)/1.25,2)</f>
        <v>91.29</v>
      </c>
      <c r="F33" s="692"/>
      <c r="G33" s="692"/>
      <c r="H33" s="692">
        <f>ROUND(E33*1.25*3,2)</f>
        <v>342.34</v>
      </c>
      <c r="I33" s="692">
        <f>ROUND(E33*1.25*6,2)</f>
        <v>684.68</v>
      </c>
    </row>
    <row r="34" spans="1:9" ht="71.25" x14ac:dyDescent="0.2">
      <c r="A34" s="689">
        <f>'BOQ-STAFF BUILDING (Civil)'!A36</f>
        <v>14</v>
      </c>
      <c r="B34" s="690" t="str">
        <f>'BOQ-STAFF BUILDING (Civil)'!C36</f>
        <v>Cement Concrete Plateform (Refer Specs. Section # 3300)
Providing and laying 1 :3 : 6 Cement concrete solid Block masorany wall above 6" in thickness set. In 1 : 6 cement mortar in G.F ground floor superstructure including raking out joints &amp; curing etc,</v>
      </c>
      <c r="C34" s="746">
        <f>'BOQ-STAFF BUILDING (Civil)'!D36</f>
        <v>13</v>
      </c>
      <c r="D34" s="689" t="str">
        <f>'BOQ-STAFF BUILDING (Civil)'!E36</f>
        <v>%Cft.</v>
      </c>
      <c r="E34" s="692">
        <f>ROUND(((C34*1.54)/10)/1.25,2)</f>
        <v>1.6</v>
      </c>
      <c r="F34" s="692"/>
      <c r="G34" s="692"/>
      <c r="H34" s="692">
        <f>ROUND(E34*1.25*3,2)</f>
        <v>6</v>
      </c>
      <c r="I34" s="692">
        <f>ROUND(E34*1.25*6,2)</f>
        <v>12</v>
      </c>
    </row>
    <row r="35" spans="1:9" ht="85.5" x14ac:dyDescent="0.2">
      <c r="A35" s="689">
        <f>'BOQ-STAFF BUILDING (Civil)'!A37</f>
        <v>15</v>
      </c>
      <c r="B35" s="690" t="str">
        <f>'BOQ-STAFF BUILDING (Civil)'!C37</f>
        <v>Entrance Steps
(Refer Spec's Section # 4050 &amp; 4200)
Providing and laying  1:3:6 C.C solid blocks 6" x 8" x 12" for entrance steps laid in mortar  1:6 (1 - cement 6 - fine sand ) with levelling, curing etc. complete as per drawing and as directed by the Consultants.</v>
      </c>
      <c r="C35" s="746">
        <f>'BOQ-STAFF BUILDING (Civil)'!D37</f>
        <v>25</v>
      </c>
      <c r="D35" s="689" t="str">
        <f>'BOQ-STAFF BUILDING (Civil)'!E37</f>
        <v>%Cft.</v>
      </c>
      <c r="E35" s="692">
        <f>ROUND(((C35*1.54)/10)/1.25,2)</f>
        <v>3.08</v>
      </c>
      <c r="F35" s="692"/>
      <c r="G35" s="692"/>
      <c r="H35" s="692">
        <f>ROUND(E35*1.25*3,2)</f>
        <v>11.55</v>
      </c>
      <c r="I35" s="692">
        <f>ROUND(E35*1.25*6,2)</f>
        <v>23.1</v>
      </c>
    </row>
    <row r="36" spans="1:9" ht="156.75" x14ac:dyDescent="0.2">
      <c r="A36" s="689">
        <f>'BOQ-STAFF BUILDING (Civil)'!A38</f>
        <v>16</v>
      </c>
      <c r="B36" s="690" t="str">
        <f>'BOQ-STAFF BUILDING (Civil)'!C38</f>
        <v>M.S. Railing for staircase
(Refer Spec's Section # 5120 &amp; 5500)
Providing, fabricating and fixing Mild Steel railing using 3/4" square bar (vertical) at 6" c/c bolted with  6"  x  6"  x  1/2"  thick  M.S.  plate  at  alternate steps  including  3/4"  square  bar  top  &amp;  bottom bracing and 2" dia M.S. pipe top hand rail, (All
M.S.  members  shall  have  sprayed  on  Enamel paint finished over a base coat of Zinc chromate including   all   necessary   hardware   and   fixing arrangements  as  shown  on  drawings  and  as directed by the Consultants.</v>
      </c>
      <c r="C36" s="746">
        <f>'BOQ-STAFF BUILDING (Civil)'!D38</f>
        <v>675</v>
      </c>
      <c r="D36" s="689" t="str">
        <f>'BOQ-STAFF BUILDING (Civil)'!E38</f>
        <v>Kg.</v>
      </c>
      <c r="E36" s="692"/>
      <c r="F36" s="692">
        <f>ROUND(C36/1000,2)</f>
        <v>0.68</v>
      </c>
      <c r="G36" s="692"/>
      <c r="H36" s="692"/>
      <c r="I36" s="692"/>
    </row>
    <row r="37" spans="1:9" ht="85.5" x14ac:dyDescent="0.2">
      <c r="A37" s="689">
        <f>'BOQ-STAFF BUILDING (Civil)'!A39</f>
        <v>17</v>
      </c>
      <c r="B37" s="690" t="str">
        <f>'BOQ-STAFF BUILDING (Civil)'!C39</f>
        <v>Damp Proof Course (Bitumen Coating). (Refer Spec's Section # 7100)
Providing  and  applying  1/8"  thick  damp  proof  course using  AHS  hycarb  bitumen  (60  lbs/100  Sft)  on  top  of interior   and   exterior   Plinth   beams,   complete   as   per
drawing and as directed by the Consultants.</v>
      </c>
      <c r="C37" s="746">
        <f>'BOQ-STAFF BUILDING (Civil)'!D39</f>
        <v>550</v>
      </c>
      <c r="D37" s="689" t="str">
        <f>'BOQ-STAFF BUILDING (Civil)'!E39</f>
        <v>%Sft.</v>
      </c>
      <c r="E37" s="692"/>
      <c r="F37" s="692"/>
      <c r="G37" s="692"/>
      <c r="H37" s="692"/>
      <c r="I37" s="692"/>
    </row>
    <row r="38" spans="1:9" ht="42.75" x14ac:dyDescent="0.2">
      <c r="A38" s="689">
        <f>'BOQ-STAFF BUILDING (Civil)'!A40</f>
        <v>18</v>
      </c>
      <c r="B38" s="690" t="str">
        <f>'BOQ-STAFF BUILDING (Civil)'!C40</f>
        <v>Bitumen Coating
(Refer Spec's Section # 7100)
Bitumen coating to plastered or cement concrete surface.</v>
      </c>
      <c r="C38" s="746">
        <f>'BOQ-STAFF BUILDING (Civil)'!D40</f>
        <v>9900</v>
      </c>
      <c r="D38" s="689" t="str">
        <f>'BOQ-STAFF BUILDING (Civil)'!E40</f>
        <v>%Sft.</v>
      </c>
      <c r="E38" s="692"/>
      <c r="F38" s="692"/>
      <c r="G38" s="692"/>
      <c r="H38" s="692"/>
      <c r="I38" s="692"/>
    </row>
    <row r="39" spans="1:9" ht="57" x14ac:dyDescent="0.2">
      <c r="A39" s="689">
        <f>'BOQ-STAFF BUILDING (Civil)'!A41</f>
        <v>19</v>
      </c>
      <c r="B39" s="690" t="str">
        <f>'BOQ-STAFF BUILDING (Civil)'!C41</f>
        <v>Water Proofing Under SOG  (Refer Spec's Section # 7100)
Providing and laying single per layer of polythene sheet 0.13 mm thick for water proffing as per specification and instructions of Engineer incharge.</v>
      </c>
      <c r="C39" s="746">
        <f>'BOQ-STAFF BUILDING (Civil)'!D41</f>
        <v>3200</v>
      </c>
      <c r="D39" s="689" t="str">
        <f>'BOQ-STAFF BUILDING (Civil)'!E41</f>
        <v>Sft.</v>
      </c>
      <c r="E39" s="692"/>
      <c r="F39" s="692"/>
      <c r="G39" s="692"/>
      <c r="H39" s="692"/>
      <c r="I39" s="692"/>
    </row>
    <row r="40" spans="1:9" ht="142.5" x14ac:dyDescent="0.2">
      <c r="A40" s="689">
        <f>'BOQ-STAFF BUILDING (Civil)'!A42</f>
        <v>20</v>
      </c>
      <c r="B40" s="690" t="str">
        <f>'BOQ-STAFF BUILDING (Civil)'!C42</f>
        <v>Metal Door Frames 
(Refer Spec's Section # 8100)
Providing,  fabricating  and  fixing   hollow  metal frame  for  doors  using  16  gauge  pressed  sheet metal.  Frames  to  be  fabricated  by  continuous welding,   reinforcement   for   hinge,   lock   and closer,  frames  to  be  filled  with  cement  sand mortar  (1:6)  including  anchoring  as  per  details finish with zinc chromate at workshop and with approved    enamel    paint    after    installation. Provisions for installation of all hardware shall be made in the frame.</v>
      </c>
      <c r="C40" s="746"/>
      <c r="D40" s="689"/>
      <c r="E40" s="692"/>
      <c r="F40" s="692"/>
      <c r="G40" s="692"/>
      <c r="H40" s="692"/>
      <c r="I40" s="692"/>
    </row>
    <row r="41" spans="1:9" x14ac:dyDescent="0.2">
      <c r="A41" s="689" t="str">
        <f>'BOQ-STAFF BUILDING (Civil)'!A43</f>
        <v>i</v>
      </c>
      <c r="B41" s="690" t="str">
        <f>'BOQ-STAFF BUILDING (Civil)'!C43</f>
        <v>Size: 10" x 2"</v>
      </c>
      <c r="C41" s="746">
        <f>'BOQ-STAFF BUILDING (Civil)'!D43</f>
        <v>200</v>
      </c>
      <c r="D41" s="689" t="str">
        <f>'BOQ-STAFF BUILDING (Civil)'!E43</f>
        <v>Rft.</v>
      </c>
      <c r="E41" s="692"/>
      <c r="F41" s="692"/>
      <c r="G41" s="692"/>
      <c r="H41" s="692"/>
      <c r="I41" s="692"/>
    </row>
    <row r="42" spans="1:9" ht="128.25" x14ac:dyDescent="0.2">
      <c r="A42" s="689">
        <f>'BOQ-STAFF BUILDING (Civil)'!A44</f>
        <v>21</v>
      </c>
      <c r="B42" s="690" t="str">
        <f>'BOQ-STAFF BUILDING (Civil)'!C44</f>
        <v>Solid Core Door
(Refer Spec's Section # 8200)
Providing and fixing in position doors, windows and ventilators of 1st. Class deodar wood frames and 1-1/2" thick Teak wood ply shutters of 2nd class deodar wood skeleton (solid) styles and rails core of partal wood and Teak ply wood  (3-ply) on both sides i/c hold fasts, hinges, iron tower bolts, handles and cleats with cord etc. complete.</v>
      </c>
      <c r="C42" s="746"/>
      <c r="D42" s="689"/>
      <c r="E42" s="692"/>
      <c r="F42" s="692"/>
      <c r="G42" s="692"/>
      <c r="H42" s="692"/>
      <c r="I42" s="692"/>
    </row>
    <row r="43" spans="1:9" x14ac:dyDescent="0.2">
      <c r="A43" s="689" t="str">
        <f>'BOQ-STAFF BUILDING (Civil)'!A45</f>
        <v>i</v>
      </c>
      <c r="B43" s="690" t="str">
        <f>'BOQ-STAFF BUILDING (Civil)'!C45</f>
        <v>D1   = 3'-3" x 7'-0" (Bed Rooms and Lounge)</v>
      </c>
      <c r="C43" s="746">
        <f>'BOQ-STAFF BUILDING (Civil)'!D45</f>
        <v>182</v>
      </c>
      <c r="D43" s="689" t="str">
        <f>'BOQ-STAFF BUILDING (Civil)'!E45</f>
        <v>Sft.</v>
      </c>
      <c r="E43" s="692"/>
      <c r="F43" s="692"/>
      <c r="G43" s="692"/>
      <c r="H43" s="692"/>
      <c r="I43" s="692"/>
    </row>
    <row r="44" spans="1:9" x14ac:dyDescent="0.2">
      <c r="A44" s="689" t="str">
        <f>'BOQ-STAFF BUILDING (Civil)'!A46</f>
        <v>ii</v>
      </c>
      <c r="B44" s="690" t="str">
        <f>'BOQ-STAFF BUILDING (Civil)'!C46</f>
        <v>D2 = 2"-9" x 7'-0" (Kitchen and Toilet)</v>
      </c>
      <c r="C44" s="746">
        <f>'BOQ-STAFF BUILDING (Civil)'!D46</f>
        <v>58</v>
      </c>
      <c r="D44" s="689" t="str">
        <f>'BOQ-STAFF BUILDING (Civil)'!E46</f>
        <v>Sft.</v>
      </c>
      <c r="E44" s="692"/>
      <c r="F44" s="692"/>
      <c r="G44" s="692"/>
      <c r="H44" s="692"/>
      <c r="I44" s="692"/>
    </row>
    <row r="45" spans="1:9" ht="128.25" x14ac:dyDescent="0.2">
      <c r="A45" s="689">
        <f>'BOQ-STAFF BUILDING (Civil)'!A47</f>
        <v>22</v>
      </c>
      <c r="B45" s="690" t="str">
        <f>'BOQ-STAFF BUILDING (Civil)'!C47</f>
        <v>Aluminum Windows / Ventilators (Refer Spec's Section # 8520)
Providing  and  fixing  aluminum  glazed  windows and ventilators using natural anodized aluminum (openable/fixed)  with  fly  proof  shutters  section as  approved  by  the  Architects  including  6mm thick   clear   glass   with   all   necessary   fixing arrangents      including      approved      quality hardwares,  handles,  latches  etc.  Complete  as per drawing and as directed by Consultants.</v>
      </c>
      <c r="C45" s="746">
        <f>'BOQ-STAFF BUILDING (Civil)'!D47</f>
        <v>800</v>
      </c>
      <c r="D45" s="689" t="str">
        <f>'BOQ-STAFF BUILDING (Civil)'!E47</f>
        <v>Sft.</v>
      </c>
      <c r="E45" s="692"/>
      <c r="F45" s="692"/>
      <c r="G45" s="692"/>
      <c r="H45" s="692"/>
      <c r="I45" s="692"/>
    </row>
    <row r="46" spans="1:9" ht="42.75" x14ac:dyDescent="0.2">
      <c r="A46" s="689">
        <f>'BOQ-STAFF BUILDING (Civil)'!A48</f>
        <v>23</v>
      </c>
      <c r="B46" s="690" t="str">
        <f>'BOQ-STAFF BUILDING (Civil)'!C48</f>
        <v>Internal Plaster
(Refer Specs. Section #. 9200)
Cement Plaster 1:5 upto 12' height.</v>
      </c>
      <c r="C46" s="746"/>
      <c r="D46" s="689"/>
      <c r="E46" s="692"/>
      <c r="F46" s="692"/>
      <c r="G46" s="692"/>
      <c r="H46" s="692"/>
      <c r="I46" s="692"/>
    </row>
    <row r="47" spans="1:9" x14ac:dyDescent="0.2">
      <c r="A47" s="689" t="str">
        <f>'BOQ-STAFF BUILDING (Civil)'!A49</f>
        <v>i</v>
      </c>
      <c r="B47" s="690" t="str">
        <f>'BOQ-STAFF BUILDING (Civil)'!C49</f>
        <v>1/2" thick.</v>
      </c>
      <c r="C47" s="746">
        <f>'BOQ-STAFF BUILDING (Civil)'!D49</f>
        <v>7500</v>
      </c>
      <c r="D47" s="689" t="str">
        <f>'BOQ-STAFF BUILDING (Civil)'!E49</f>
        <v>%Sft.</v>
      </c>
      <c r="E47" s="692">
        <f>ROUND(C47*(1/2/12)*1.54/6/1.25,2)</f>
        <v>64.17</v>
      </c>
      <c r="F47" s="692"/>
      <c r="G47" s="692"/>
      <c r="H47" s="692">
        <f>ROUND(E47*1.25*5,2)</f>
        <v>401.06</v>
      </c>
      <c r="I47" s="692"/>
    </row>
    <row r="48" spans="1:9" ht="28.5" x14ac:dyDescent="0.2">
      <c r="A48" s="689">
        <f>'BOQ-STAFF BUILDING (Civil)'!A50</f>
        <v>24</v>
      </c>
      <c r="B48" s="690" t="str">
        <f>'BOQ-STAFF BUILDING (Civil)'!C50</f>
        <v>Aluminum wire guage 144 mesh P.Square fixed to chowkats</v>
      </c>
      <c r="C48" s="746">
        <f>'BOQ-STAFF BUILDING (Civil)'!D50</f>
        <v>750</v>
      </c>
      <c r="D48" s="689" t="str">
        <f>'BOQ-STAFF BUILDING (Civil)'!E50</f>
        <v>Sft.</v>
      </c>
      <c r="E48" s="692"/>
      <c r="F48" s="692"/>
      <c r="G48" s="692"/>
      <c r="H48" s="692"/>
      <c r="I48" s="692"/>
    </row>
    <row r="49" spans="1:9" ht="42.75" x14ac:dyDescent="0.2">
      <c r="A49" s="689">
        <f>'BOQ-STAFF BUILDING (Civil)'!A51</f>
        <v>25</v>
      </c>
      <c r="B49" s="690" t="str">
        <f>'BOQ-STAFF BUILDING (Civil)'!C51</f>
        <v>External Plaster 
(Refer Specs. Section #. 9200)
Cement plaster 1:4 upto 12' height.</v>
      </c>
      <c r="C49" s="746"/>
      <c r="D49" s="689"/>
      <c r="E49" s="692"/>
      <c r="F49" s="692"/>
      <c r="G49" s="692"/>
      <c r="H49" s="692"/>
      <c r="I49" s="692"/>
    </row>
    <row r="50" spans="1:9" x14ac:dyDescent="0.2">
      <c r="A50" s="689" t="str">
        <f>'BOQ-STAFF BUILDING (Civil)'!A52</f>
        <v>i</v>
      </c>
      <c r="B50" s="690" t="str">
        <f>'BOQ-STAFF BUILDING (Civil)'!C52</f>
        <v>3/4" thick.</v>
      </c>
      <c r="C50" s="746">
        <f>'BOQ-STAFF BUILDING (Civil)'!D52</f>
        <v>1480</v>
      </c>
      <c r="D50" s="689" t="str">
        <f>'BOQ-STAFF BUILDING (Civil)'!E52</f>
        <v>%Sft.</v>
      </c>
      <c r="E50" s="692">
        <f>ROUND(C50*(3/4/12)*1.54/5/1.25,2)</f>
        <v>22.79</v>
      </c>
      <c r="F50" s="692"/>
      <c r="G50" s="692"/>
      <c r="H50" s="692">
        <f>ROUND(E50*1.25*4,2)</f>
        <v>113.95</v>
      </c>
      <c r="I50" s="692"/>
    </row>
    <row r="51" spans="1:9" ht="99.75" x14ac:dyDescent="0.2">
      <c r="A51" s="689">
        <f>'BOQ-STAFF BUILDING (Civil)'!A53</f>
        <v>26</v>
      </c>
      <c r="B51" s="690" t="str">
        <f>'BOQ-STAFF BUILDING (Civil)'!C53</f>
        <v>Matt Enamel Paint on Walls (Refer Specs. Section # 9900)
Preparing the surface and painting with matt finish I/c rubbing the surface with Bathy (silicon carbide rubbing brick) filling the voids with zink/chalk/ plaster of paris mixture, applying first coat premix, making the surface smooth and then painting 3 coats  with matt finish of approved make etc: complete .(new surface). Three Coats</v>
      </c>
      <c r="C51" s="746">
        <f>'BOQ-STAFF BUILDING (Civil)'!D53</f>
        <v>4750</v>
      </c>
      <c r="D51" s="689" t="str">
        <f>'BOQ-STAFF BUILDING (Civil)'!E53</f>
        <v>%Sft.</v>
      </c>
      <c r="E51" s="692"/>
      <c r="F51" s="692"/>
      <c r="G51" s="692"/>
      <c r="H51" s="692"/>
      <c r="I51" s="692"/>
    </row>
    <row r="52" spans="1:9" ht="85.5" x14ac:dyDescent="0.2">
      <c r="A52" s="689">
        <f>'BOQ-STAFF BUILDING (Civil)'!A54</f>
        <v>27</v>
      </c>
      <c r="B52" s="690" t="str">
        <f>'BOQ-STAFF BUILDING (Civil)'!C54</f>
        <v>Plastic Emulsion Paint on Ceiling (Refer Specs. Section # 9900)
Preparing the surface and painting with plastic emulsion paint of approved make  I/c rubbing the surface with sand Paper,filling the voids with chalk/ plaster of paris and then painting etc complete.Three Coats</v>
      </c>
      <c r="C52" s="746">
        <f>'BOQ-STAFF BUILDING (Civil)'!D54</f>
        <v>2750</v>
      </c>
      <c r="D52" s="689" t="str">
        <f>'BOQ-STAFF BUILDING (Civil)'!E54</f>
        <v>%Sft.</v>
      </c>
      <c r="E52" s="692"/>
      <c r="F52" s="692"/>
      <c r="G52" s="692"/>
      <c r="H52" s="692"/>
      <c r="I52" s="692"/>
    </row>
    <row r="53" spans="1:9" ht="85.5" x14ac:dyDescent="0.2">
      <c r="A53" s="689">
        <f>'BOQ-STAFF BUILDING (Civil)'!A55</f>
        <v>28</v>
      </c>
      <c r="B53" s="690" t="str">
        <f>'BOQ-STAFF BUILDING (Civil)'!C55</f>
        <v>External Painting / Weather Shield  (Refer Specs. Section # 9900)
Preparing the surface and painting with weather coat I/c rubbing the surface with rubbing brick /sand Paper,filling the voids with chalk/ plaster of Paris and then painting with weather coat of approved make. Three Coats</v>
      </c>
      <c r="C53" s="746">
        <f>'BOQ-STAFF BUILDING (Civil)'!D55</f>
        <v>1480</v>
      </c>
      <c r="D53" s="689" t="str">
        <f>'BOQ-STAFF BUILDING (Civil)'!E55</f>
        <v>%Sft</v>
      </c>
      <c r="E53" s="692"/>
      <c r="F53" s="692"/>
      <c r="G53" s="692"/>
      <c r="H53" s="692"/>
      <c r="I53" s="692"/>
    </row>
    <row r="54" spans="1:9" ht="57" x14ac:dyDescent="0.2">
      <c r="A54" s="689">
        <f>'BOQ-STAFF BUILDING (Civil)'!A56</f>
        <v>29</v>
      </c>
      <c r="B54" s="690" t="str">
        <f>'BOQ-STAFF BUILDING (Civil)'!C56</f>
        <v>Matt Porcelain Tile Flooring. (Refer Specs. Section #. 9300)
laying floors of approved coloured glazed tiles 1/4" thick laid in white cement and pigment on a bed of 3/4" thick cement mortar 1:2.</v>
      </c>
      <c r="C54" s="746"/>
      <c r="D54" s="689"/>
      <c r="E54" s="692"/>
      <c r="F54" s="692"/>
      <c r="G54" s="692"/>
      <c r="H54" s="692"/>
      <c r="I54" s="692"/>
    </row>
    <row r="55" spans="1:9" x14ac:dyDescent="0.2">
      <c r="A55" s="689" t="str">
        <f>'BOQ-STAFF BUILDING (Civil)'!A57</f>
        <v>i</v>
      </c>
      <c r="B55" s="690" t="str">
        <f>'BOQ-STAFF BUILDING (Civil)'!C57</f>
        <v>12" x 12" Kitchen</v>
      </c>
      <c r="C55" s="746">
        <f>'BOQ-STAFF BUILDING (Civil)'!D57</f>
        <v>55</v>
      </c>
      <c r="D55" s="689" t="str">
        <f>'BOQ-STAFF BUILDING (Civil)'!E57</f>
        <v>%Sft</v>
      </c>
      <c r="E55" s="692">
        <f>ROUND(C55*(3/4/12)*1.54/3/1.25,2)</f>
        <v>1.41</v>
      </c>
      <c r="F55" s="692"/>
      <c r="G55" s="692"/>
      <c r="H55" s="692">
        <f>ROUND(E55*1.25*2,2)</f>
        <v>3.53</v>
      </c>
      <c r="I55" s="692"/>
    </row>
    <row r="56" spans="1:9" x14ac:dyDescent="0.2">
      <c r="A56" s="689" t="str">
        <f>'BOQ-STAFF BUILDING (Civil)'!A58</f>
        <v>ii</v>
      </c>
      <c r="B56" s="690" t="str">
        <f>'BOQ-STAFF BUILDING (Civil)'!C58</f>
        <v>24" x 12" Toilet / Powder</v>
      </c>
      <c r="C56" s="746">
        <f>'BOQ-STAFF BUILDING (Civil)'!D58</f>
        <v>105</v>
      </c>
      <c r="D56" s="689" t="str">
        <f>'BOQ-STAFF BUILDING (Civil)'!E58</f>
        <v>%Sft</v>
      </c>
      <c r="E56" s="692">
        <f>ROUND(C56*(3/4/12)*1.54/3/1.25,2)</f>
        <v>2.7</v>
      </c>
      <c r="F56" s="692"/>
      <c r="G56" s="692"/>
      <c r="H56" s="692">
        <f>ROUND(E56*1.25*2,2)</f>
        <v>6.75</v>
      </c>
      <c r="I56" s="692"/>
    </row>
    <row r="57" spans="1:9" ht="42.75" x14ac:dyDescent="0.2">
      <c r="A57" s="689">
        <f>'BOQ-STAFF BUILDING (Civil)'!A59</f>
        <v>30</v>
      </c>
      <c r="B57" s="690" t="str">
        <f>'BOQ-STAFF BUILDING (Civil)'!C59</f>
        <v>Glazed Porcelain Tiles Dado (Refer Specs. Section # 9300)
Glazed tile dado 1/4" thick laid in pigment over 1:2 cement sand mortar 3/4" thick including finishing.</v>
      </c>
      <c r="C57" s="746"/>
      <c r="D57" s="689"/>
      <c r="E57" s="692"/>
      <c r="F57" s="692"/>
      <c r="G57" s="692"/>
      <c r="H57" s="692"/>
      <c r="I57" s="692"/>
    </row>
    <row r="58" spans="1:9" x14ac:dyDescent="0.2">
      <c r="A58" s="689" t="str">
        <f>'BOQ-STAFF BUILDING (Civil)'!A60</f>
        <v>i</v>
      </c>
      <c r="B58" s="690" t="str">
        <f>'BOQ-STAFF BUILDING (Civil)'!C60</f>
        <v>24"x 12" Toilet  (Matt Finish)</v>
      </c>
      <c r="C58" s="746">
        <f>'BOQ-STAFF BUILDING (Civil)'!D60</f>
        <v>450</v>
      </c>
      <c r="D58" s="689" t="str">
        <f>'BOQ-STAFF BUILDING (Civil)'!E60</f>
        <v>%Sft</v>
      </c>
      <c r="E58" s="692">
        <f>ROUND(C58*(3/4/12)*1.54/3/1.25,2)</f>
        <v>11.55</v>
      </c>
      <c r="F58" s="692"/>
      <c r="G58" s="692"/>
      <c r="H58" s="692">
        <f>ROUND(E58*1.25*2,2)</f>
        <v>28.88</v>
      </c>
      <c r="I58" s="692"/>
    </row>
    <row r="59" spans="1:9" x14ac:dyDescent="0.2">
      <c r="A59" s="689" t="str">
        <f>'BOQ-STAFF BUILDING (Civil)'!A61</f>
        <v>ii</v>
      </c>
      <c r="B59" s="690" t="str">
        <f>'BOQ-STAFF BUILDING (Civil)'!C61</f>
        <v>4"x 4" Kitchen (Polished Finish)</v>
      </c>
      <c r="C59" s="746">
        <f>'BOQ-STAFF BUILDING (Civil)'!D61</f>
        <v>65</v>
      </c>
      <c r="D59" s="689" t="str">
        <f>'BOQ-STAFF BUILDING (Civil)'!E61</f>
        <v>%Sft</v>
      </c>
      <c r="E59" s="692">
        <f>ROUND(C59*(3/4/12)*1.54/3/1.25,2)</f>
        <v>1.67</v>
      </c>
      <c r="F59" s="692"/>
      <c r="G59" s="692"/>
      <c r="H59" s="692">
        <f>ROUND(E59*1.25*2,2)</f>
        <v>4.18</v>
      </c>
      <c r="I59" s="692"/>
    </row>
    <row r="60" spans="1:9" ht="128.25" x14ac:dyDescent="0.2">
      <c r="A60" s="689">
        <f>'BOQ-STAFF BUILDING (Civil)'!A62</f>
        <v>31</v>
      </c>
      <c r="B60" s="690" t="str">
        <f>'BOQ-STAFF BUILDING (Civil)'!C62</f>
        <v>Porcelain Tiles Skirting
(Refer Specs. Section # 9300)
Providing  and  laying  Porcelain  tiles  Skirting  4"  High  over 1/2" thick cement sand scretched plaster 1:4   (1- cement, 4-fine sand) including setting the tiles with white  cement slurry  and  jointing/washing  the  tiles  with  white  cement slurry   in   required   shade,   curing   and   cleaning   etc. Complete in all respect as per drawings and as directed by the Consultants.</v>
      </c>
      <c r="C60" s="746">
        <f>'BOQ-STAFF BUILDING (Civil)'!D62</f>
        <v>30</v>
      </c>
      <c r="D60" s="689" t="str">
        <f>'BOQ-STAFF BUILDING (Civil)'!E62</f>
        <v>%Sft</v>
      </c>
      <c r="E60" s="692">
        <f>ROUND(C60*(1/2/12)*1.54/5/1.25,2)</f>
        <v>0.31</v>
      </c>
      <c r="F60" s="692"/>
      <c r="G60" s="692"/>
      <c r="H60" s="692">
        <f>ROUND(E60*1.25*4,2)</f>
        <v>1.55</v>
      </c>
      <c r="I60" s="692"/>
    </row>
    <row r="61" spans="1:9" ht="71.25" x14ac:dyDescent="0.2">
      <c r="A61" s="689">
        <f>'BOQ-STAFF BUILDING (Civil)'!A63</f>
        <v>32</v>
      </c>
      <c r="B61" s="690" t="str">
        <f>'BOQ-STAFF BUILDING (Civil)'!C63</f>
        <v>Cement Concrete Floor (Refer Specs. Section # 9740)
Cement concrete plain including placing compacting, finishing and curing, complete (including screening and washing at stone aggregate without shuttering.
Ratio. 1:3 :6</v>
      </c>
      <c r="C61" s="746">
        <f>'BOQ-STAFF BUILDING (Civil)'!D63</f>
        <v>517</v>
      </c>
      <c r="D61" s="689" t="str">
        <f>'BOQ-STAFF BUILDING (Civil)'!E63</f>
        <v>%Cft.</v>
      </c>
      <c r="E61" s="692">
        <f>ROUND(C61*1.54/10/1.25,2)</f>
        <v>63.69</v>
      </c>
      <c r="F61" s="692"/>
      <c r="G61" s="692"/>
      <c r="H61" s="692">
        <f>ROUND(E61*1.25*3,2)</f>
        <v>238.84</v>
      </c>
      <c r="I61" s="692">
        <f>ROUND(H61*2,2)</f>
        <v>477.68</v>
      </c>
    </row>
    <row r="62" spans="1:9" ht="99.75" x14ac:dyDescent="0.2">
      <c r="A62" s="689">
        <f>'BOQ-STAFF BUILDING (Civil)'!A64</f>
        <v>33</v>
      </c>
      <c r="B62" s="690" t="str">
        <f>'BOQ-STAFF BUILDING (Civil)'!C64</f>
        <v>Cement Concrete finish for Staircase (Refer Specs. Section # 9740)
Providing and laying cement concrete 1:6 ( 1 - cement, 6 graded screened bajri 3/8" and down gauge) for cement concrete finish of staircase laid in level/slope as required including  consolidating,  curing   etc.  complete   as  per drawing and as directed by the Consultants.</v>
      </c>
      <c r="C62" s="746">
        <f>'BOQ-STAFF BUILDING (Civil)'!D64</f>
        <v>220</v>
      </c>
      <c r="D62" s="689" t="str">
        <f>'BOQ-STAFF BUILDING (Civil)'!E64</f>
        <v>Cft.</v>
      </c>
      <c r="E62" s="692">
        <f>ROUND(C62*1.54/7/1.25,2)</f>
        <v>38.72</v>
      </c>
      <c r="F62" s="692"/>
      <c r="G62" s="692"/>
      <c r="H62" s="692">
        <f>ROUND(E62*1.25*6,2)</f>
        <v>290.39999999999998</v>
      </c>
      <c r="I62" s="692"/>
    </row>
    <row r="63" spans="1:9" ht="71.25" x14ac:dyDescent="0.2">
      <c r="A63" s="689">
        <f>'BOQ-STAFF BUILDING (Civil)'!A65</f>
        <v>34</v>
      </c>
      <c r="B63" s="690" t="str">
        <f>'BOQ-STAFF BUILDING (Civil)'!C65</f>
        <v>Vanity Mirror 
Providing and fixing imported Mirror 6mm thick having 1" Dia.  Stainless  Steel  Studd  to  be  screwed  on  Toilet  wall complete in all respects as per drawings and as directed by the Consultants.</v>
      </c>
      <c r="C63" s="746">
        <f>'BOQ-STAFF BUILDING (Civil)'!D65</f>
        <v>30</v>
      </c>
      <c r="D63" s="689" t="str">
        <f>'BOQ-STAFF BUILDING (Civil)'!E65</f>
        <v>Sft.</v>
      </c>
      <c r="E63" s="692"/>
      <c r="F63" s="692"/>
      <c r="G63" s="692"/>
      <c r="H63" s="692"/>
      <c r="I63" s="692"/>
    </row>
    <row r="64" spans="1:9" ht="185.25" x14ac:dyDescent="0.2">
      <c r="A64" s="689">
        <f>'BOQ-STAFF BUILDING (Civil)'!A66</f>
        <v>35</v>
      </c>
      <c r="B64" s="690" t="str">
        <f>'BOQ-STAFF BUILDING (Civil)'!C66</f>
        <v>R.C.C. Vanity Slab
(Refer Specs. Section # 3300)
Reinforced cement concrete work including all labour and material except the cost of steel reinforcement and its labour for bending and binding which will be paid separately. This rate also includes all kinds of forms moulds: lifting shuttering curing rendering and finishing the-exposed surface (including screening and washing of shingle.)
Precast reinforced cement concrete in columns, beams lintels stair cases, shelves, etc.
Erecting and fixing in position precast cement concrete or stone slab in roofs or Lintels, etc, lift upto 20 feet including all charges. Ratio 1 : 2: 4</v>
      </c>
      <c r="C64" s="746">
        <f>'BOQ-STAFF BUILDING (Civil)'!D66</f>
        <v>16</v>
      </c>
      <c r="D64" s="689" t="str">
        <f>'BOQ-STAFF BUILDING (Civil)'!E66</f>
        <v>Sft.</v>
      </c>
      <c r="E64" s="692">
        <f>ROUND(C64*0.5*1.54/7/1.25,2)</f>
        <v>1.41</v>
      </c>
      <c r="F64" s="692"/>
      <c r="G64" s="692"/>
      <c r="H64" s="692">
        <f>ROUND(E64*1.25*2,2)</f>
        <v>3.53</v>
      </c>
      <c r="I64" s="692">
        <f>ROUND(H64*2,2)</f>
        <v>7.06</v>
      </c>
    </row>
    <row r="65" spans="1:9" ht="185.25" x14ac:dyDescent="0.2">
      <c r="A65" s="689">
        <f>'BOQ-STAFF BUILDING (Civil)'!A67</f>
        <v>36</v>
      </c>
      <c r="B65" s="690" t="str">
        <f>'BOQ-STAFF BUILDING (Civil)'!C67</f>
        <v>Concrete Window Sill
(Refer Specs. Section # 3400) 
Reinforced cement concrete work including all labour and material except the cost of steel reinforcement and its labour for bending and binding which will be paid separately. This rate also includes all kinds of forms moulds: lifting shuttering curing rendering and finishing the-exposed surface (including screening and washing of shingle.)
Precast reinforced cement concrete in columns, beams lintels stair cases, shelves, etc.
Erecting and fixing in position precast cement concrete or stone slab in roofs or Lintels, etc, lift upto 20 feet including all charges. Ratio 1 : 2: 4</v>
      </c>
      <c r="C65" s="746">
        <f>'BOQ-STAFF BUILDING (Civil)'!D67</f>
        <v>22.5</v>
      </c>
      <c r="D65" s="689" t="str">
        <f>'BOQ-STAFF BUILDING (Civil)'!E67</f>
        <v>Cft.</v>
      </c>
      <c r="E65" s="692">
        <f>ROUND(C65*0.5*1.54/7/1.25,2)</f>
        <v>1.98</v>
      </c>
      <c r="F65" s="692"/>
      <c r="G65" s="692"/>
      <c r="H65" s="692">
        <f>ROUND(E65*1.25*2,2)</f>
        <v>4.95</v>
      </c>
      <c r="I65" s="692">
        <f>ROUND(H65*2,2)</f>
        <v>9.9</v>
      </c>
    </row>
    <row r="66" spans="1:9" x14ac:dyDescent="0.2">
      <c r="A66" s="689" t="str">
        <f>'BOQ-STAFF BUILDING (Civil)'!A68</f>
        <v>NON-SCHEDULE ITEMS</v>
      </c>
      <c r="B66" s="690"/>
      <c r="C66" s="746"/>
      <c r="D66" s="689"/>
      <c r="E66" s="692"/>
      <c r="F66" s="692"/>
      <c r="G66" s="692"/>
      <c r="H66" s="692"/>
      <c r="I66" s="692"/>
    </row>
    <row r="67" spans="1:9" ht="228" x14ac:dyDescent="0.2">
      <c r="A67" s="689">
        <f>'BOQ-STAFF BUILDING (Civil)'!A69</f>
        <v>37</v>
      </c>
      <c r="B67" s="690" t="str">
        <f>'BOQ-STAFF BUILDING (Civil)'!C69</f>
        <v>Ramed Earth Reinforced Wall / Column (Refer Spec's Section # 3330)
Providing and laying 12" thick Solid Rammed Earth Reinforced Wall to be made-up of a damp mixture of   approved  soil,  cement,  pigment  (Bayer)  and admixtures blend to be consistant for all work and to be poured into an external supported Torsion box that moulds the shape of a wall section creating a solid wall of earth. Wall to be reinforced horizontally and vertically with steel bars as shown on drawings. The wall to be built verticaly in layers not excceding 12"    in    height    well    rammed    /    compressed (mechanically)    including    consolidation,    curing, removal   of   form   work   etc.   Complete   as   per Drawings,  Specifications  and  as  directed  by  the Consultants.
(Including Steel bars)</v>
      </c>
      <c r="C67" s="746"/>
      <c r="D67" s="689"/>
      <c r="E67" s="692"/>
      <c r="F67" s="692"/>
      <c r="G67" s="692"/>
      <c r="H67" s="692"/>
      <c r="I67" s="692"/>
    </row>
    <row r="68" spans="1:9" x14ac:dyDescent="0.2">
      <c r="A68" s="689" t="str">
        <f>'BOQ-STAFF BUILDING (Civil)'!A70</f>
        <v>i</v>
      </c>
      <c r="B68" s="690" t="str">
        <f>'BOQ-STAFF BUILDING (Civil)'!C70</f>
        <v>Above Grade</v>
      </c>
      <c r="C68" s="746">
        <f>'BOQ-STAFF BUILDING (Civil)'!D70</f>
        <v>2500</v>
      </c>
      <c r="D68" s="689" t="str">
        <f>'BOQ-STAFF BUILDING (Civil)'!E70</f>
        <v>Cft.</v>
      </c>
      <c r="E68" s="692"/>
      <c r="F68" s="692"/>
      <c r="G68" s="692"/>
      <c r="H68" s="692"/>
      <c r="I68" s="692"/>
    </row>
    <row r="69" spans="1:9" ht="228" x14ac:dyDescent="0.2">
      <c r="A69" s="689">
        <f>'BOQ-STAFF BUILDING (Civil)'!A71</f>
        <v>38</v>
      </c>
      <c r="B69" s="690" t="str">
        <f>'BOQ-STAFF BUILDING (Civil)'!C71</f>
        <v>Ramed Earth Wall Cladding
(Refer Specs. Section # 3330, 4050 &amp; 4200)
Providing  and  laying  5"  thick  Solid  Rammed  Earth Wall cladding on already laid block walls insulated with  2  1/2"  thick  insulation  board  factory  applied facing of Aluminum or Kraft paper including metal lathing to board to be made-up of a damp mixture of   approved  soil,  cement,  pigment  (Bayer)  and admixtures blend to be consistant for all work and to be poured into an external supported Torsion box that moulds the shape of a wall section creating a solid wall of earth. The wall to be built verticaly in layers  not  excceding  12"  in  height  well  rammed  / compressed (mechanically) including consolidation,  curing,  removal  of  form  work  etc. complete  as  per  Drawings,  Specifications  and  as directed by the Consultants. (Including Steel bars)</v>
      </c>
      <c r="C69" s="746">
        <f>'BOQ-STAFF BUILDING (Civil)'!D71</f>
        <v>900</v>
      </c>
      <c r="D69" s="689" t="str">
        <f>'BOQ-STAFF BUILDING (Civil)'!E71</f>
        <v>Sft.</v>
      </c>
      <c r="E69" s="692"/>
      <c r="F69" s="692"/>
      <c r="G69" s="692"/>
      <c r="H69" s="692"/>
      <c r="I69" s="692"/>
    </row>
    <row r="70" spans="1:9" ht="142.5" x14ac:dyDescent="0.2">
      <c r="A70" s="689">
        <f>'BOQ-STAFF BUILDING (Civil)'!A72</f>
        <v>39</v>
      </c>
      <c r="B70" s="690" t="str">
        <f>'BOQ-STAFF BUILDING (Civil)'!C72</f>
        <v>Base Cabinet with Marble Top for Kitchen (Refer Spec's Section # 6400)
Providing, making and fixing wooden base cabinet using 3/4"  thick  Partex  board  top,   adjustable  shelves,  drawer and shutter with white  textured formica topping and 3/4" x  3/8"  thick  Ash   wood  lipping  on  edges,  including   pre- polished   half   round   edge   marble   top.   All   Ash   wood surface to be finished with clear lacquer polish, including approved hardware, hinges, handles etc. complete as per drawings and as directed by the Consultants.</v>
      </c>
      <c r="C70" s="746">
        <f>'BOQ-STAFF BUILDING (Civil)'!D72</f>
        <v>75</v>
      </c>
      <c r="D70" s="689" t="str">
        <f>'BOQ-STAFF BUILDING (Civil)'!E72</f>
        <v>Sft.</v>
      </c>
      <c r="E70" s="692"/>
      <c r="F70" s="692"/>
      <c r="G70" s="692"/>
      <c r="H70" s="692"/>
      <c r="I70" s="692"/>
    </row>
    <row r="71" spans="1:9" ht="114" x14ac:dyDescent="0.2">
      <c r="A71" s="689">
        <f>'BOQ-STAFF BUILDING (Civil)'!A73</f>
        <v>40</v>
      </c>
      <c r="B71" s="690" t="str">
        <f>'BOQ-STAFF BUILDING (Civil)'!C73</f>
        <v>Upper Cabinet for Kitchen (Refer Spec's Section # 6400)
Providing, making and fixing wooden upper cabinet using 3/4"   thick   Partex   board   with   white   textured   formica topping and Ash wood lipping to exposed edges including adjustable  shelving.  All  Ash  wood  surface  to  be  finished with  clear  lacquer  polish,  including  approved  hardware, hinges,  handles  etc.  complete  as  per  drawings  and  as directed by the Consultants.</v>
      </c>
      <c r="C71" s="746">
        <f>'BOQ-STAFF BUILDING (Civil)'!D73</f>
        <v>60</v>
      </c>
      <c r="D71" s="689" t="str">
        <f>'BOQ-STAFF BUILDING (Civil)'!E73</f>
        <v>Sft.</v>
      </c>
      <c r="E71" s="692"/>
      <c r="F71" s="692"/>
      <c r="G71" s="692"/>
      <c r="H71" s="692"/>
      <c r="I71" s="692"/>
    </row>
    <row r="72" spans="1:9" ht="85.5" x14ac:dyDescent="0.2">
      <c r="A72" s="689">
        <f>'BOQ-STAFF BUILDING (Civil)'!A74</f>
        <v>41</v>
      </c>
      <c r="B72" s="690" t="str">
        <f>'BOQ-STAFF BUILDING (Civil)'!C74</f>
        <v>Water Proofing for Wet Areas (Refer Spec's Section # 7100)
Providing  and  applying  Acrylic  based  water  Proofing, Brush bond of FOSROC or Brushcrete of FEB or approved equivalent in two coats including primer coat. Complete as per drawing and as directed by the Consultants.</v>
      </c>
      <c r="C72" s="746">
        <f>'BOQ-STAFF BUILDING (Civil)'!D74</f>
        <v>125</v>
      </c>
      <c r="D72" s="689" t="str">
        <f>'BOQ-STAFF BUILDING (Civil)'!E74</f>
        <v>Sft.</v>
      </c>
      <c r="E72" s="692"/>
      <c r="F72" s="692"/>
      <c r="G72" s="692"/>
      <c r="H72" s="692"/>
      <c r="I72" s="692"/>
    </row>
    <row r="73" spans="1:9" ht="156.75" x14ac:dyDescent="0.2">
      <c r="A73" s="689">
        <f>'BOQ-STAFF BUILDING (Civil)'!A75</f>
        <v>42</v>
      </c>
      <c r="B73" s="690" t="str">
        <f>'BOQ-STAFF BUILDING (Civil)'!C75</f>
        <v>Roofing Treatment
(Refer Spec's Section # 7560)
Providing  and  laying  roofing  treatment  over  flat  roof consisting of laying 2" thick (average) C.C. 1:2:4 screed laid in required slope, applying hot bitumen of grade 80- 100 having coverage of 60lbs/100 Sft over screed icluding 2"  thick  heavy  density  polystyrene  board  (  32  kg/cum) insulation  over  bitumen,  having  6  mill  thick  polythene sheet  over  polystyrene  board,  and  finally  laying  12"x12" Clay  Tile  finished,  complete  as  per  drawing  and  as directed by the Consultant.</v>
      </c>
      <c r="C73" s="746">
        <f>'BOQ-STAFF BUILDING (Civil)'!D75</f>
        <v>2220</v>
      </c>
      <c r="D73" s="689" t="str">
        <f>'BOQ-STAFF BUILDING (Civil)'!E75</f>
        <v>Sft.</v>
      </c>
      <c r="E73" s="692">
        <f>ROUND(C73*0.17*1.54/7/1.25,2)</f>
        <v>66.42</v>
      </c>
      <c r="F73" s="692"/>
      <c r="G73" s="692"/>
      <c r="H73" s="692">
        <f>ROUND(E73*1.25*2,2)</f>
        <v>166.05</v>
      </c>
      <c r="I73" s="692">
        <f>ROUND(H73*2,2)</f>
        <v>332.1</v>
      </c>
    </row>
    <row r="74" spans="1:9" ht="85.5" x14ac:dyDescent="0.2">
      <c r="A74" s="689">
        <f>'BOQ-STAFF BUILDING (Civil)'!A76</f>
        <v>43</v>
      </c>
      <c r="B74" s="690" t="str">
        <f>'BOQ-STAFF BUILDING (Civil)'!C76</f>
        <v>Sealant (Pointing Mastics) (Refer Spec's Section # 7900)
Providing     and     applying     sealant     of     approved manufacturer   to   provide   a   positive   barrier   against penetration   of   air   and   moisture   at   periphery   of Aluminum/Wooden Doors, Windows and Ventilators and wherever required as directed by the Consultant.</v>
      </c>
      <c r="C74" s="746">
        <f>'BOQ-STAFF BUILDING (Civil)'!D76</f>
        <v>925</v>
      </c>
      <c r="D74" s="689" t="str">
        <f>'BOQ-STAFF BUILDING (Civil)'!E76</f>
        <v>Rft.</v>
      </c>
      <c r="E74" s="692"/>
      <c r="F74" s="692"/>
      <c r="G74" s="692"/>
      <c r="H74" s="692"/>
      <c r="I74" s="692"/>
    </row>
    <row r="75" spans="1:9" ht="85.5" x14ac:dyDescent="0.2">
      <c r="A75" s="689">
        <f>'BOQ-STAFF BUILDING (Civil)'!A77</f>
        <v>44</v>
      </c>
      <c r="B75" s="690" t="str">
        <f>'BOQ-STAFF BUILDING (Civil)'!C77</f>
        <v>Precast Water Spout
(Refer Specs. Section # 3400)
Providing  and  fixing  rain  water  spout  on  top  roof  and making    channel    from    roof    to    Ground    Floor    on wall.Complete  as  per  drawings  and  as  directed  by  the Consultants.</v>
      </c>
      <c r="C75" s="746">
        <f>'BOQ-STAFF BUILDING (Civil)'!D77</f>
        <v>4</v>
      </c>
      <c r="D75" s="689" t="str">
        <f>'BOQ-STAFF BUILDING (Civil)'!E77</f>
        <v>Each</v>
      </c>
      <c r="E75" s="692"/>
      <c r="F75" s="692"/>
      <c r="G75" s="692"/>
      <c r="H75" s="692"/>
      <c r="I75" s="692"/>
    </row>
    <row r="76" spans="1:9" ht="128.25" x14ac:dyDescent="0.2">
      <c r="A76" s="689">
        <f>'BOQ-STAFF BUILDING (Civil)'!A78</f>
        <v>45</v>
      </c>
      <c r="B76" s="690" t="str">
        <f>'BOQ-STAFF BUILDING (Civil)'!C78</f>
        <v>Marble Vanity Top with Apron
.
Providing  and  laying  Pre-polished  (Chemical  polished) 3/4" thick  Verona Marble vanity top (Colour and shade as approved  by  the  Architect)  having  bull  nose  to  be  laid over 3/4" thick C.C. bed on R.C.C. vanity  slab including 1/2"  thick  plaster  on  vanity  R.C.C.  slab  bottom  side, complete   as   per   drawing   and   as   directed   by   the Consultants.</v>
      </c>
      <c r="C76" s="746">
        <f>'BOQ-STAFF BUILDING (Civil)'!D78</f>
        <v>19</v>
      </c>
      <c r="D76" s="689" t="str">
        <f>'BOQ-STAFF BUILDING (Civil)'!E78</f>
        <v>Sft.</v>
      </c>
      <c r="E76" s="692"/>
      <c r="F76" s="692"/>
      <c r="G76" s="692"/>
      <c r="H76" s="692"/>
      <c r="I76" s="692"/>
    </row>
    <row r="77" spans="1:9" ht="99.75" x14ac:dyDescent="0.2">
      <c r="A77" s="689">
        <f>'BOQ-STAFF BUILDING (Civil)'!A79</f>
        <v>46</v>
      </c>
      <c r="B77" s="690" t="str">
        <f>'BOQ-STAFF BUILDING (Civil)'!C79</f>
        <v>Stone Coping
(Refer Specs. Section # 9630)
Providing and fixing 18" x 3" thick Stone coping on parapet top  to be laid on cement sand mortar including setting with  maching  cement  slurry  and  jointing/washing  the ledges,   curing   and   cleaning   etc.   Complete   as   per Drawings, and as directed by the Consultants.</v>
      </c>
      <c r="C77" s="746">
        <f>'BOQ-STAFF BUILDING (Civil)'!D79</f>
        <v>250</v>
      </c>
      <c r="D77" s="689" t="str">
        <f>'BOQ-STAFF BUILDING (Civil)'!E79</f>
        <v>Rft.</v>
      </c>
      <c r="E77" s="692"/>
      <c r="F77" s="692"/>
      <c r="G77" s="692"/>
      <c r="H77" s="692"/>
      <c r="I77" s="692"/>
    </row>
    <row r="78" spans="1:9" s="695" customFormat="1" ht="20.100000000000001" customHeight="1" x14ac:dyDescent="0.25">
      <c r="A78" s="765" t="s">
        <v>804</v>
      </c>
      <c r="B78" s="770"/>
      <c r="C78" s="770"/>
      <c r="D78" s="771"/>
      <c r="E78" s="694">
        <f>SUM(E9:E77)</f>
        <v>2560.2099999999996</v>
      </c>
      <c r="F78" s="694">
        <f>SUM(F9:F77)</f>
        <v>10.18</v>
      </c>
      <c r="G78" s="694">
        <f>SUM(G9:G77)</f>
        <v>3840</v>
      </c>
      <c r="H78" s="694">
        <f>SUM(H9:H77)</f>
        <v>8280.75</v>
      </c>
      <c r="I78" s="694">
        <f>SUM(I9:I77)</f>
        <v>14860.869999999999</v>
      </c>
    </row>
    <row r="79" spans="1:9" s="686" customFormat="1" ht="20.100000000000001" customHeight="1" x14ac:dyDescent="0.25">
      <c r="A79" s="765" t="s">
        <v>2</v>
      </c>
      <c r="B79" s="766"/>
      <c r="C79" s="766"/>
      <c r="D79" s="767"/>
      <c r="E79" s="694" t="s">
        <v>805</v>
      </c>
      <c r="F79" s="694" t="s">
        <v>806</v>
      </c>
      <c r="G79" s="694" t="s">
        <v>807</v>
      </c>
      <c r="H79" s="694" t="s">
        <v>807</v>
      </c>
      <c r="I79" s="694" t="s">
        <v>807</v>
      </c>
    </row>
    <row r="80" spans="1:9" s="686" customFormat="1" ht="20.100000000000001" customHeight="1" x14ac:dyDescent="0.25">
      <c r="A80" s="765" t="s">
        <v>808</v>
      </c>
      <c r="B80" s="766"/>
      <c r="C80" s="766"/>
      <c r="D80" s="767"/>
      <c r="E80" s="694">
        <v>325</v>
      </c>
      <c r="F80" s="694">
        <v>112000</v>
      </c>
      <c r="G80" s="694">
        <v>1273</v>
      </c>
      <c r="H80" s="694">
        <v>475</v>
      </c>
      <c r="I80" s="694">
        <v>1066</v>
      </c>
    </row>
    <row r="81" spans="1:9" s="695" customFormat="1" ht="20.100000000000001" customHeight="1" x14ac:dyDescent="0.25">
      <c r="A81" s="765" t="s">
        <v>809</v>
      </c>
      <c r="B81" s="766"/>
      <c r="C81" s="766"/>
      <c r="D81" s="767"/>
      <c r="E81" s="696">
        <f>ROUND(E80*E78,2)</f>
        <v>832068.25</v>
      </c>
      <c r="F81" s="696">
        <f>ROUND(F80*F78,2)</f>
        <v>1140160</v>
      </c>
      <c r="G81" s="696">
        <f>ROUND(G80*G78/100,2)</f>
        <v>48883.199999999997</v>
      </c>
      <c r="H81" s="696">
        <f>ROUND(H80*H78/100,2)</f>
        <v>39333.56</v>
      </c>
      <c r="I81" s="696">
        <f>ROUND(I80*I78/100,2)</f>
        <v>158416.87</v>
      </c>
    </row>
    <row r="82" spans="1:9" s="695" customFormat="1" ht="20.100000000000001" customHeight="1" x14ac:dyDescent="0.25">
      <c r="A82" s="765" t="s">
        <v>810</v>
      </c>
      <c r="B82" s="766"/>
      <c r="C82" s="766"/>
      <c r="D82" s="767"/>
      <c r="E82" s="696">
        <f>SUM(E81:I81)</f>
        <v>2218861.88</v>
      </c>
      <c r="F82" s="697"/>
      <c r="G82" s="697"/>
      <c r="H82" s="697"/>
      <c r="I82" s="697"/>
    </row>
  </sheetData>
  <mergeCells count="7">
    <mergeCell ref="A82:D82"/>
    <mergeCell ref="A1:I1"/>
    <mergeCell ref="A2:I2"/>
    <mergeCell ref="A78:D78"/>
    <mergeCell ref="A79:D79"/>
    <mergeCell ref="A80:D80"/>
    <mergeCell ref="A81:D81"/>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G82"/>
  <sheetViews>
    <sheetView view="pageBreakPreview" zoomScale="70" zoomScaleNormal="100" zoomScaleSheetLayoutView="70" workbookViewId="0">
      <selection activeCell="C8" sqref="C8"/>
    </sheetView>
  </sheetViews>
  <sheetFormatPr defaultColWidth="11" defaultRowHeight="15" x14ac:dyDescent="0.25"/>
  <cols>
    <col min="1" max="1" width="6.42578125" style="739" customWidth="1"/>
    <col min="2" max="2" width="12.140625" style="740" customWidth="1"/>
    <col min="3" max="3" width="51" style="741" customWidth="1"/>
    <col min="4" max="4" width="12.140625" style="740" customWidth="1"/>
    <col min="5" max="5" width="6.42578125" style="742" customWidth="1"/>
    <col min="6" max="6" width="14.42578125" style="743" customWidth="1"/>
    <col min="7" max="7" width="16.140625" style="744" customWidth="1"/>
    <col min="8" max="8" width="13.7109375" style="745" bestFit="1" customWidth="1"/>
    <col min="9" max="256" width="11" style="745"/>
    <col min="257" max="257" width="6.42578125" style="745" customWidth="1"/>
    <col min="258" max="258" width="12.140625" style="745" customWidth="1"/>
    <col min="259" max="259" width="51" style="745" customWidth="1"/>
    <col min="260" max="260" width="12.140625" style="745" customWidth="1"/>
    <col min="261" max="261" width="6.42578125" style="745" customWidth="1"/>
    <col min="262" max="262" width="14.42578125" style="745" customWidth="1"/>
    <col min="263" max="263" width="16.140625" style="745" customWidth="1"/>
    <col min="264" max="264" width="13.7109375" style="745" bestFit="1" customWidth="1"/>
    <col min="265" max="512" width="11" style="745"/>
    <col min="513" max="513" width="6.42578125" style="745" customWidth="1"/>
    <col min="514" max="514" width="12.140625" style="745" customWidth="1"/>
    <col min="515" max="515" width="51" style="745" customWidth="1"/>
    <col min="516" max="516" width="12.140625" style="745" customWidth="1"/>
    <col min="517" max="517" width="6.42578125" style="745" customWidth="1"/>
    <col min="518" max="518" width="14.42578125" style="745" customWidth="1"/>
    <col min="519" max="519" width="16.140625" style="745" customWidth="1"/>
    <col min="520" max="520" width="13.7109375" style="745" bestFit="1" customWidth="1"/>
    <col min="521" max="768" width="11" style="745"/>
    <col min="769" max="769" width="6.42578125" style="745" customWidth="1"/>
    <col min="770" max="770" width="12.140625" style="745" customWidth="1"/>
    <col min="771" max="771" width="51" style="745" customWidth="1"/>
    <col min="772" max="772" width="12.140625" style="745" customWidth="1"/>
    <col min="773" max="773" width="6.42578125" style="745" customWidth="1"/>
    <col min="774" max="774" width="14.42578125" style="745" customWidth="1"/>
    <col min="775" max="775" width="16.140625" style="745" customWidth="1"/>
    <col min="776" max="776" width="13.7109375" style="745" bestFit="1" customWidth="1"/>
    <col min="777" max="1024" width="11" style="745"/>
    <col min="1025" max="1025" width="6.42578125" style="745" customWidth="1"/>
    <col min="1026" max="1026" width="12.140625" style="745" customWidth="1"/>
    <col min="1027" max="1027" width="51" style="745" customWidth="1"/>
    <col min="1028" max="1028" width="12.140625" style="745" customWidth="1"/>
    <col min="1029" max="1029" width="6.42578125" style="745" customWidth="1"/>
    <col min="1030" max="1030" width="14.42578125" style="745" customWidth="1"/>
    <col min="1031" max="1031" width="16.140625" style="745" customWidth="1"/>
    <col min="1032" max="1032" width="13.7109375" style="745" bestFit="1" customWidth="1"/>
    <col min="1033" max="1280" width="11" style="745"/>
    <col min="1281" max="1281" width="6.42578125" style="745" customWidth="1"/>
    <col min="1282" max="1282" width="12.140625" style="745" customWidth="1"/>
    <col min="1283" max="1283" width="51" style="745" customWidth="1"/>
    <col min="1284" max="1284" width="12.140625" style="745" customWidth="1"/>
    <col min="1285" max="1285" width="6.42578125" style="745" customWidth="1"/>
    <col min="1286" max="1286" width="14.42578125" style="745" customWidth="1"/>
    <col min="1287" max="1287" width="16.140625" style="745" customWidth="1"/>
    <col min="1288" max="1288" width="13.7109375" style="745" bestFit="1" customWidth="1"/>
    <col min="1289" max="1536" width="11" style="745"/>
    <col min="1537" max="1537" width="6.42578125" style="745" customWidth="1"/>
    <col min="1538" max="1538" width="12.140625" style="745" customWidth="1"/>
    <col min="1539" max="1539" width="51" style="745" customWidth="1"/>
    <col min="1540" max="1540" width="12.140625" style="745" customWidth="1"/>
    <col min="1541" max="1541" width="6.42578125" style="745" customWidth="1"/>
    <col min="1542" max="1542" width="14.42578125" style="745" customWidth="1"/>
    <col min="1543" max="1543" width="16.140625" style="745" customWidth="1"/>
    <col min="1544" max="1544" width="13.7109375" style="745" bestFit="1" customWidth="1"/>
    <col min="1545" max="1792" width="11" style="745"/>
    <col min="1793" max="1793" width="6.42578125" style="745" customWidth="1"/>
    <col min="1794" max="1794" width="12.140625" style="745" customWidth="1"/>
    <col min="1795" max="1795" width="51" style="745" customWidth="1"/>
    <col min="1796" max="1796" width="12.140625" style="745" customWidth="1"/>
    <col min="1797" max="1797" width="6.42578125" style="745" customWidth="1"/>
    <col min="1798" max="1798" width="14.42578125" style="745" customWidth="1"/>
    <col min="1799" max="1799" width="16.140625" style="745" customWidth="1"/>
    <col min="1800" max="1800" width="13.7109375" style="745" bestFit="1" customWidth="1"/>
    <col min="1801" max="2048" width="11" style="745"/>
    <col min="2049" max="2049" width="6.42578125" style="745" customWidth="1"/>
    <col min="2050" max="2050" width="12.140625" style="745" customWidth="1"/>
    <col min="2051" max="2051" width="51" style="745" customWidth="1"/>
    <col min="2052" max="2052" width="12.140625" style="745" customWidth="1"/>
    <col min="2053" max="2053" width="6.42578125" style="745" customWidth="1"/>
    <col min="2054" max="2054" width="14.42578125" style="745" customWidth="1"/>
    <col min="2055" max="2055" width="16.140625" style="745" customWidth="1"/>
    <col min="2056" max="2056" width="13.7109375" style="745" bestFit="1" customWidth="1"/>
    <col min="2057" max="2304" width="11" style="745"/>
    <col min="2305" max="2305" width="6.42578125" style="745" customWidth="1"/>
    <col min="2306" max="2306" width="12.140625" style="745" customWidth="1"/>
    <col min="2307" max="2307" width="51" style="745" customWidth="1"/>
    <col min="2308" max="2308" width="12.140625" style="745" customWidth="1"/>
    <col min="2309" max="2309" width="6.42578125" style="745" customWidth="1"/>
    <col min="2310" max="2310" width="14.42578125" style="745" customWidth="1"/>
    <col min="2311" max="2311" width="16.140625" style="745" customWidth="1"/>
    <col min="2312" max="2312" width="13.7109375" style="745" bestFit="1" customWidth="1"/>
    <col min="2313" max="2560" width="11" style="745"/>
    <col min="2561" max="2561" width="6.42578125" style="745" customWidth="1"/>
    <col min="2562" max="2562" width="12.140625" style="745" customWidth="1"/>
    <col min="2563" max="2563" width="51" style="745" customWidth="1"/>
    <col min="2564" max="2564" width="12.140625" style="745" customWidth="1"/>
    <col min="2565" max="2565" width="6.42578125" style="745" customWidth="1"/>
    <col min="2566" max="2566" width="14.42578125" style="745" customWidth="1"/>
    <col min="2567" max="2567" width="16.140625" style="745" customWidth="1"/>
    <col min="2568" max="2568" width="13.7109375" style="745" bestFit="1" customWidth="1"/>
    <col min="2569" max="2816" width="11" style="745"/>
    <col min="2817" max="2817" width="6.42578125" style="745" customWidth="1"/>
    <col min="2818" max="2818" width="12.140625" style="745" customWidth="1"/>
    <col min="2819" max="2819" width="51" style="745" customWidth="1"/>
    <col min="2820" max="2820" width="12.140625" style="745" customWidth="1"/>
    <col min="2821" max="2821" width="6.42578125" style="745" customWidth="1"/>
    <col min="2822" max="2822" width="14.42578125" style="745" customWidth="1"/>
    <col min="2823" max="2823" width="16.140625" style="745" customWidth="1"/>
    <col min="2824" max="2824" width="13.7109375" style="745" bestFit="1" customWidth="1"/>
    <col min="2825" max="3072" width="11" style="745"/>
    <col min="3073" max="3073" width="6.42578125" style="745" customWidth="1"/>
    <col min="3074" max="3074" width="12.140625" style="745" customWidth="1"/>
    <col min="3075" max="3075" width="51" style="745" customWidth="1"/>
    <col min="3076" max="3076" width="12.140625" style="745" customWidth="1"/>
    <col min="3077" max="3077" width="6.42578125" style="745" customWidth="1"/>
    <col min="3078" max="3078" width="14.42578125" style="745" customWidth="1"/>
    <col min="3079" max="3079" width="16.140625" style="745" customWidth="1"/>
    <col min="3080" max="3080" width="13.7109375" style="745" bestFit="1" customWidth="1"/>
    <col min="3081" max="3328" width="11" style="745"/>
    <col min="3329" max="3329" width="6.42578125" style="745" customWidth="1"/>
    <col min="3330" max="3330" width="12.140625" style="745" customWidth="1"/>
    <col min="3331" max="3331" width="51" style="745" customWidth="1"/>
    <col min="3332" max="3332" width="12.140625" style="745" customWidth="1"/>
    <col min="3333" max="3333" width="6.42578125" style="745" customWidth="1"/>
    <col min="3334" max="3334" width="14.42578125" style="745" customWidth="1"/>
    <col min="3335" max="3335" width="16.140625" style="745" customWidth="1"/>
    <col min="3336" max="3336" width="13.7109375" style="745" bestFit="1" customWidth="1"/>
    <col min="3337" max="3584" width="11" style="745"/>
    <col min="3585" max="3585" width="6.42578125" style="745" customWidth="1"/>
    <col min="3586" max="3586" width="12.140625" style="745" customWidth="1"/>
    <col min="3587" max="3587" width="51" style="745" customWidth="1"/>
    <col min="3588" max="3588" width="12.140625" style="745" customWidth="1"/>
    <col min="3589" max="3589" width="6.42578125" style="745" customWidth="1"/>
    <col min="3590" max="3590" width="14.42578125" style="745" customWidth="1"/>
    <col min="3591" max="3591" width="16.140625" style="745" customWidth="1"/>
    <col min="3592" max="3592" width="13.7109375" style="745" bestFit="1" customWidth="1"/>
    <col min="3593" max="3840" width="11" style="745"/>
    <col min="3841" max="3841" width="6.42578125" style="745" customWidth="1"/>
    <col min="3842" max="3842" width="12.140625" style="745" customWidth="1"/>
    <col min="3843" max="3843" width="51" style="745" customWidth="1"/>
    <col min="3844" max="3844" width="12.140625" style="745" customWidth="1"/>
    <col min="3845" max="3845" width="6.42578125" style="745" customWidth="1"/>
    <col min="3846" max="3846" width="14.42578125" style="745" customWidth="1"/>
    <col min="3847" max="3847" width="16.140625" style="745" customWidth="1"/>
    <col min="3848" max="3848" width="13.7109375" style="745" bestFit="1" customWidth="1"/>
    <col min="3849" max="4096" width="11" style="745"/>
    <col min="4097" max="4097" width="6.42578125" style="745" customWidth="1"/>
    <col min="4098" max="4098" width="12.140625" style="745" customWidth="1"/>
    <col min="4099" max="4099" width="51" style="745" customWidth="1"/>
    <col min="4100" max="4100" width="12.140625" style="745" customWidth="1"/>
    <col min="4101" max="4101" width="6.42578125" style="745" customWidth="1"/>
    <col min="4102" max="4102" width="14.42578125" style="745" customWidth="1"/>
    <col min="4103" max="4103" width="16.140625" style="745" customWidth="1"/>
    <col min="4104" max="4104" width="13.7109375" style="745" bestFit="1" customWidth="1"/>
    <col min="4105" max="4352" width="11" style="745"/>
    <col min="4353" max="4353" width="6.42578125" style="745" customWidth="1"/>
    <col min="4354" max="4354" width="12.140625" style="745" customWidth="1"/>
    <col min="4355" max="4355" width="51" style="745" customWidth="1"/>
    <col min="4356" max="4356" width="12.140625" style="745" customWidth="1"/>
    <col min="4357" max="4357" width="6.42578125" style="745" customWidth="1"/>
    <col min="4358" max="4358" width="14.42578125" style="745" customWidth="1"/>
    <col min="4359" max="4359" width="16.140625" style="745" customWidth="1"/>
    <col min="4360" max="4360" width="13.7109375" style="745" bestFit="1" customWidth="1"/>
    <col min="4361" max="4608" width="11" style="745"/>
    <col min="4609" max="4609" width="6.42578125" style="745" customWidth="1"/>
    <col min="4610" max="4610" width="12.140625" style="745" customWidth="1"/>
    <col min="4611" max="4611" width="51" style="745" customWidth="1"/>
    <col min="4612" max="4612" width="12.140625" style="745" customWidth="1"/>
    <col min="4613" max="4613" width="6.42578125" style="745" customWidth="1"/>
    <col min="4614" max="4614" width="14.42578125" style="745" customWidth="1"/>
    <col min="4615" max="4615" width="16.140625" style="745" customWidth="1"/>
    <col min="4616" max="4616" width="13.7109375" style="745" bestFit="1" customWidth="1"/>
    <col min="4617" max="4864" width="11" style="745"/>
    <col min="4865" max="4865" width="6.42578125" style="745" customWidth="1"/>
    <col min="4866" max="4866" width="12.140625" style="745" customWidth="1"/>
    <col min="4867" max="4867" width="51" style="745" customWidth="1"/>
    <col min="4868" max="4868" width="12.140625" style="745" customWidth="1"/>
    <col min="4869" max="4869" width="6.42578125" style="745" customWidth="1"/>
    <col min="4870" max="4870" width="14.42578125" style="745" customWidth="1"/>
    <col min="4871" max="4871" width="16.140625" style="745" customWidth="1"/>
    <col min="4872" max="4872" width="13.7109375" style="745" bestFit="1" customWidth="1"/>
    <col min="4873" max="5120" width="11" style="745"/>
    <col min="5121" max="5121" width="6.42578125" style="745" customWidth="1"/>
    <col min="5122" max="5122" width="12.140625" style="745" customWidth="1"/>
    <col min="5123" max="5123" width="51" style="745" customWidth="1"/>
    <col min="5124" max="5124" width="12.140625" style="745" customWidth="1"/>
    <col min="5125" max="5125" width="6.42578125" style="745" customWidth="1"/>
    <col min="5126" max="5126" width="14.42578125" style="745" customWidth="1"/>
    <col min="5127" max="5127" width="16.140625" style="745" customWidth="1"/>
    <col min="5128" max="5128" width="13.7109375" style="745" bestFit="1" customWidth="1"/>
    <col min="5129" max="5376" width="11" style="745"/>
    <col min="5377" max="5377" width="6.42578125" style="745" customWidth="1"/>
    <col min="5378" max="5378" width="12.140625" style="745" customWidth="1"/>
    <col min="5379" max="5379" width="51" style="745" customWidth="1"/>
    <col min="5380" max="5380" width="12.140625" style="745" customWidth="1"/>
    <col min="5381" max="5381" width="6.42578125" style="745" customWidth="1"/>
    <col min="5382" max="5382" width="14.42578125" style="745" customWidth="1"/>
    <col min="5383" max="5383" width="16.140625" style="745" customWidth="1"/>
    <col min="5384" max="5384" width="13.7109375" style="745" bestFit="1" customWidth="1"/>
    <col min="5385" max="5632" width="11" style="745"/>
    <col min="5633" max="5633" width="6.42578125" style="745" customWidth="1"/>
    <col min="5634" max="5634" width="12.140625" style="745" customWidth="1"/>
    <col min="5635" max="5635" width="51" style="745" customWidth="1"/>
    <col min="5636" max="5636" width="12.140625" style="745" customWidth="1"/>
    <col min="5637" max="5637" width="6.42578125" style="745" customWidth="1"/>
    <col min="5638" max="5638" width="14.42578125" style="745" customWidth="1"/>
    <col min="5639" max="5639" width="16.140625" style="745" customWidth="1"/>
    <col min="5640" max="5640" width="13.7109375" style="745" bestFit="1" customWidth="1"/>
    <col min="5641" max="5888" width="11" style="745"/>
    <col min="5889" max="5889" width="6.42578125" style="745" customWidth="1"/>
    <col min="5890" max="5890" width="12.140625" style="745" customWidth="1"/>
    <col min="5891" max="5891" width="51" style="745" customWidth="1"/>
    <col min="5892" max="5892" width="12.140625" style="745" customWidth="1"/>
    <col min="5893" max="5893" width="6.42578125" style="745" customWidth="1"/>
    <col min="5894" max="5894" width="14.42578125" style="745" customWidth="1"/>
    <col min="5895" max="5895" width="16.140625" style="745" customWidth="1"/>
    <col min="5896" max="5896" width="13.7109375" style="745" bestFit="1" customWidth="1"/>
    <col min="5897" max="6144" width="11" style="745"/>
    <col min="6145" max="6145" width="6.42578125" style="745" customWidth="1"/>
    <col min="6146" max="6146" width="12.140625" style="745" customWidth="1"/>
    <col min="6147" max="6147" width="51" style="745" customWidth="1"/>
    <col min="6148" max="6148" width="12.140625" style="745" customWidth="1"/>
    <col min="6149" max="6149" width="6.42578125" style="745" customWidth="1"/>
    <col min="6150" max="6150" width="14.42578125" style="745" customWidth="1"/>
    <col min="6151" max="6151" width="16.140625" style="745" customWidth="1"/>
    <col min="6152" max="6152" width="13.7109375" style="745" bestFit="1" customWidth="1"/>
    <col min="6153" max="6400" width="11" style="745"/>
    <col min="6401" max="6401" width="6.42578125" style="745" customWidth="1"/>
    <col min="6402" max="6402" width="12.140625" style="745" customWidth="1"/>
    <col min="6403" max="6403" width="51" style="745" customWidth="1"/>
    <col min="6404" max="6404" width="12.140625" style="745" customWidth="1"/>
    <col min="6405" max="6405" width="6.42578125" style="745" customWidth="1"/>
    <col min="6406" max="6406" width="14.42578125" style="745" customWidth="1"/>
    <col min="6407" max="6407" width="16.140625" style="745" customWidth="1"/>
    <col min="6408" max="6408" width="13.7109375" style="745" bestFit="1" customWidth="1"/>
    <col min="6409" max="6656" width="11" style="745"/>
    <col min="6657" max="6657" width="6.42578125" style="745" customWidth="1"/>
    <col min="6658" max="6658" width="12.140625" style="745" customWidth="1"/>
    <col min="6659" max="6659" width="51" style="745" customWidth="1"/>
    <col min="6660" max="6660" width="12.140625" style="745" customWidth="1"/>
    <col min="6661" max="6661" width="6.42578125" style="745" customWidth="1"/>
    <col min="6662" max="6662" width="14.42578125" style="745" customWidth="1"/>
    <col min="6663" max="6663" width="16.140625" style="745" customWidth="1"/>
    <col min="6664" max="6664" width="13.7109375" style="745" bestFit="1" customWidth="1"/>
    <col min="6665" max="6912" width="11" style="745"/>
    <col min="6913" max="6913" width="6.42578125" style="745" customWidth="1"/>
    <col min="6914" max="6914" width="12.140625" style="745" customWidth="1"/>
    <col min="6915" max="6915" width="51" style="745" customWidth="1"/>
    <col min="6916" max="6916" width="12.140625" style="745" customWidth="1"/>
    <col min="6917" max="6917" width="6.42578125" style="745" customWidth="1"/>
    <col min="6918" max="6918" width="14.42578125" style="745" customWidth="1"/>
    <col min="6919" max="6919" width="16.140625" style="745" customWidth="1"/>
    <col min="6920" max="6920" width="13.7109375" style="745" bestFit="1" customWidth="1"/>
    <col min="6921" max="7168" width="11" style="745"/>
    <col min="7169" max="7169" width="6.42578125" style="745" customWidth="1"/>
    <col min="7170" max="7170" width="12.140625" style="745" customWidth="1"/>
    <col min="7171" max="7171" width="51" style="745" customWidth="1"/>
    <col min="7172" max="7172" width="12.140625" style="745" customWidth="1"/>
    <col min="7173" max="7173" width="6.42578125" style="745" customWidth="1"/>
    <col min="7174" max="7174" width="14.42578125" style="745" customWidth="1"/>
    <col min="7175" max="7175" width="16.140625" style="745" customWidth="1"/>
    <col min="7176" max="7176" width="13.7109375" style="745" bestFit="1" customWidth="1"/>
    <col min="7177" max="7424" width="11" style="745"/>
    <col min="7425" max="7425" width="6.42578125" style="745" customWidth="1"/>
    <col min="7426" max="7426" width="12.140625" style="745" customWidth="1"/>
    <col min="7427" max="7427" width="51" style="745" customWidth="1"/>
    <col min="7428" max="7428" width="12.140625" style="745" customWidth="1"/>
    <col min="7429" max="7429" width="6.42578125" style="745" customWidth="1"/>
    <col min="7430" max="7430" width="14.42578125" style="745" customWidth="1"/>
    <col min="7431" max="7431" width="16.140625" style="745" customWidth="1"/>
    <col min="7432" max="7432" width="13.7109375" style="745" bestFit="1" customWidth="1"/>
    <col min="7433" max="7680" width="11" style="745"/>
    <col min="7681" max="7681" width="6.42578125" style="745" customWidth="1"/>
    <col min="7682" max="7682" width="12.140625" style="745" customWidth="1"/>
    <col min="7683" max="7683" width="51" style="745" customWidth="1"/>
    <col min="7684" max="7684" width="12.140625" style="745" customWidth="1"/>
    <col min="7685" max="7685" width="6.42578125" style="745" customWidth="1"/>
    <col min="7686" max="7686" width="14.42578125" style="745" customWidth="1"/>
    <col min="7687" max="7687" width="16.140625" style="745" customWidth="1"/>
    <col min="7688" max="7688" width="13.7109375" style="745" bestFit="1" customWidth="1"/>
    <col min="7689" max="7936" width="11" style="745"/>
    <col min="7937" max="7937" width="6.42578125" style="745" customWidth="1"/>
    <col min="7938" max="7938" width="12.140625" style="745" customWidth="1"/>
    <col min="7939" max="7939" width="51" style="745" customWidth="1"/>
    <col min="7940" max="7940" width="12.140625" style="745" customWidth="1"/>
    <col min="7941" max="7941" width="6.42578125" style="745" customWidth="1"/>
    <col min="7942" max="7942" width="14.42578125" style="745" customWidth="1"/>
    <col min="7943" max="7943" width="16.140625" style="745" customWidth="1"/>
    <col min="7944" max="7944" width="13.7109375" style="745" bestFit="1" customWidth="1"/>
    <col min="7945" max="8192" width="11" style="745"/>
    <col min="8193" max="8193" width="6.42578125" style="745" customWidth="1"/>
    <col min="8194" max="8194" width="12.140625" style="745" customWidth="1"/>
    <col min="8195" max="8195" width="51" style="745" customWidth="1"/>
    <col min="8196" max="8196" width="12.140625" style="745" customWidth="1"/>
    <col min="8197" max="8197" width="6.42578125" style="745" customWidth="1"/>
    <col min="8198" max="8198" width="14.42578125" style="745" customWidth="1"/>
    <col min="8199" max="8199" width="16.140625" style="745" customWidth="1"/>
    <col min="8200" max="8200" width="13.7109375" style="745" bestFit="1" customWidth="1"/>
    <col min="8201" max="8448" width="11" style="745"/>
    <col min="8449" max="8449" width="6.42578125" style="745" customWidth="1"/>
    <col min="8450" max="8450" width="12.140625" style="745" customWidth="1"/>
    <col min="8451" max="8451" width="51" style="745" customWidth="1"/>
    <col min="8452" max="8452" width="12.140625" style="745" customWidth="1"/>
    <col min="8453" max="8453" width="6.42578125" style="745" customWidth="1"/>
    <col min="8454" max="8454" width="14.42578125" style="745" customWidth="1"/>
    <col min="8455" max="8455" width="16.140625" style="745" customWidth="1"/>
    <col min="8456" max="8456" width="13.7109375" style="745" bestFit="1" customWidth="1"/>
    <col min="8457" max="8704" width="11" style="745"/>
    <col min="8705" max="8705" width="6.42578125" style="745" customWidth="1"/>
    <col min="8706" max="8706" width="12.140625" style="745" customWidth="1"/>
    <col min="8707" max="8707" width="51" style="745" customWidth="1"/>
    <col min="8708" max="8708" width="12.140625" style="745" customWidth="1"/>
    <col min="8709" max="8709" width="6.42578125" style="745" customWidth="1"/>
    <col min="8710" max="8710" width="14.42578125" style="745" customWidth="1"/>
    <col min="8711" max="8711" width="16.140625" style="745" customWidth="1"/>
    <col min="8712" max="8712" width="13.7109375" style="745" bestFit="1" customWidth="1"/>
    <col min="8713" max="8960" width="11" style="745"/>
    <col min="8961" max="8961" width="6.42578125" style="745" customWidth="1"/>
    <col min="8962" max="8962" width="12.140625" style="745" customWidth="1"/>
    <col min="8963" max="8963" width="51" style="745" customWidth="1"/>
    <col min="8964" max="8964" width="12.140625" style="745" customWidth="1"/>
    <col min="8965" max="8965" width="6.42578125" style="745" customWidth="1"/>
    <col min="8966" max="8966" width="14.42578125" style="745" customWidth="1"/>
    <col min="8967" max="8967" width="16.140625" style="745" customWidth="1"/>
    <col min="8968" max="8968" width="13.7109375" style="745" bestFit="1" customWidth="1"/>
    <col min="8969" max="9216" width="11" style="745"/>
    <col min="9217" max="9217" width="6.42578125" style="745" customWidth="1"/>
    <col min="9218" max="9218" width="12.140625" style="745" customWidth="1"/>
    <col min="9219" max="9219" width="51" style="745" customWidth="1"/>
    <col min="9220" max="9220" width="12.140625" style="745" customWidth="1"/>
    <col min="9221" max="9221" width="6.42578125" style="745" customWidth="1"/>
    <col min="9222" max="9222" width="14.42578125" style="745" customWidth="1"/>
    <col min="9223" max="9223" width="16.140625" style="745" customWidth="1"/>
    <col min="9224" max="9224" width="13.7109375" style="745" bestFit="1" customWidth="1"/>
    <col min="9225" max="9472" width="11" style="745"/>
    <col min="9473" max="9473" width="6.42578125" style="745" customWidth="1"/>
    <col min="9474" max="9474" width="12.140625" style="745" customWidth="1"/>
    <col min="9475" max="9475" width="51" style="745" customWidth="1"/>
    <col min="9476" max="9476" width="12.140625" style="745" customWidth="1"/>
    <col min="9477" max="9477" width="6.42578125" style="745" customWidth="1"/>
    <col min="9478" max="9478" width="14.42578125" style="745" customWidth="1"/>
    <col min="9479" max="9479" width="16.140625" style="745" customWidth="1"/>
    <col min="9480" max="9480" width="13.7109375" style="745" bestFit="1" customWidth="1"/>
    <col min="9481" max="9728" width="11" style="745"/>
    <col min="9729" max="9729" width="6.42578125" style="745" customWidth="1"/>
    <col min="9730" max="9730" width="12.140625" style="745" customWidth="1"/>
    <col min="9731" max="9731" width="51" style="745" customWidth="1"/>
    <col min="9732" max="9732" width="12.140625" style="745" customWidth="1"/>
    <col min="9733" max="9733" width="6.42578125" style="745" customWidth="1"/>
    <col min="9734" max="9734" width="14.42578125" style="745" customWidth="1"/>
    <col min="9735" max="9735" width="16.140625" style="745" customWidth="1"/>
    <col min="9736" max="9736" width="13.7109375" style="745" bestFit="1" customWidth="1"/>
    <col min="9737" max="9984" width="11" style="745"/>
    <col min="9985" max="9985" width="6.42578125" style="745" customWidth="1"/>
    <col min="9986" max="9986" width="12.140625" style="745" customWidth="1"/>
    <col min="9987" max="9987" width="51" style="745" customWidth="1"/>
    <col min="9988" max="9988" width="12.140625" style="745" customWidth="1"/>
    <col min="9989" max="9989" width="6.42578125" style="745" customWidth="1"/>
    <col min="9990" max="9990" width="14.42578125" style="745" customWidth="1"/>
    <col min="9991" max="9991" width="16.140625" style="745" customWidth="1"/>
    <col min="9992" max="9992" width="13.7109375" style="745" bestFit="1" customWidth="1"/>
    <col min="9993" max="10240" width="11" style="745"/>
    <col min="10241" max="10241" width="6.42578125" style="745" customWidth="1"/>
    <col min="10242" max="10242" width="12.140625" style="745" customWidth="1"/>
    <col min="10243" max="10243" width="51" style="745" customWidth="1"/>
    <col min="10244" max="10244" width="12.140625" style="745" customWidth="1"/>
    <col min="10245" max="10245" width="6.42578125" style="745" customWidth="1"/>
    <col min="10246" max="10246" width="14.42578125" style="745" customWidth="1"/>
    <col min="10247" max="10247" width="16.140625" style="745" customWidth="1"/>
    <col min="10248" max="10248" width="13.7109375" style="745" bestFit="1" customWidth="1"/>
    <col min="10249" max="10496" width="11" style="745"/>
    <col min="10497" max="10497" width="6.42578125" style="745" customWidth="1"/>
    <col min="10498" max="10498" width="12.140625" style="745" customWidth="1"/>
    <col min="10499" max="10499" width="51" style="745" customWidth="1"/>
    <col min="10500" max="10500" width="12.140625" style="745" customWidth="1"/>
    <col min="10501" max="10501" width="6.42578125" style="745" customWidth="1"/>
    <col min="10502" max="10502" width="14.42578125" style="745" customWidth="1"/>
    <col min="10503" max="10503" width="16.140625" style="745" customWidth="1"/>
    <col min="10504" max="10504" width="13.7109375" style="745" bestFit="1" customWidth="1"/>
    <col min="10505" max="10752" width="11" style="745"/>
    <col min="10753" max="10753" width="6.42578125" style="745" customWidth="1"/>
    <col min="10754" max="10754" width="12.140625" style="745" customWidth="1"/>
    <col min="10755" max="10755" width="51" style="745" customWidth="1"/>
    <col min="10756" max="10756" width="12.140625" style="745" customWidth="1"/>
    <col min="10757" max="10757" width="6.42578125" style="745" customWidth="1"/>
    <col min="10758" max="10758" width="14.42578125" style="745" customWidth="1"/>
    <col min="10759" max="10759" width="16.140625" style="745" customWidth="1"/>
    <col min="10760" max="10760" width="13.7109375" style="745" bestFit="1" customWidth="1"/>
    <col min="10761" max="11008" width="11" style="745"/>
    <col min="11009" max="11009" width="6.42578125" style="745" customWidth="1"/>
    <col min="11010" max="11010" width="12.140625" style="745" customWidth="1"/>
    <col min="11011" max="11011" width="51" style="745" customWidth="1"/>
    <col min="11012" max="11012" width="12.140625" style="745" customWidth="1"/>
    <col min="11013" max="11013" width="6.42578125" style="745" customWidth="1"/>
    <col min="11014" max="11014" width="14.42578125" style="745" customWidth="1"/>
    <col min="11015" max="11015" width="16.140625" style="745" customWidth="1"/>
    <col min="11016" max="11016" width="13.7109375" style="745" bestFit="1" customWidth="1"/>
    <col min="11017" max="11264" width="11" style="745"/>
    <col min="11265" max="11265" width="6.42578125" style="745" customWidth="1"/>
    <col min="11266" max="11266" width="12.140625" style="745" customWidth="1"/>
    <col min="11267" max="11267" width="51" style="745" customWidth="1"/>
    <col min="11268" max="11268" width="12.140625" style="745" customWidth="1"/>
    <col min="11269" max="11269" width="6.42578125" style="745" customWidth="1"/>
    <col min="11270" max="11270" width="14.42578125" style="745" customWidth="1"/>
    <col min="11271" max="11271" width="16.140625" style="745" customWidth="1"/>
    <col min="11272" max="11272" width="13.7109375" style="745" bestFit="1" customWidth="1"/>
    <col min="11273" max="11520" width="11" style="745"/>
    <col min="11521" max="11521" width="6.42578125" style="745" customWidth="1"/>
    <col min="11522" max="11522" width="12.140625" style="745" customWidth="1"/>
    <col min="11523" max="11523" width="51" style="745" customWidth="1"/>
    <col min="11524" max="11524" width="12.140625" style="745" customWidth="1"/>
    <col min="11525" max="11525" width="6.42578125" style="745" customWidth="1"/>
    <col min="11526" max="11526" width="14.42578125" style="745" customWidth="1"/>
    <col min="11527" max="11527" width="16.140625" style="745" customWidth="1"/>
    <col min="11528" max="11528" width="13.7109375" style="745" bestFit="1" customWidth="1"/>
    <col min="11529" max="11776" width="11" style="745"/>
    <col min="11777" max="11777" width="6.42578125" style="745" customWidth="1"/>
    <col min="11778" max="11778" width="12.140625" style="745" customWidth="1"/>
    <col min="11779" max="11779" width="51" style="745" customWidth="1"/>
    <col min="11780" max="11780" width="12.140625" style="745" customWidth="1"/>
    <col min="11781" max="11781" width="6.42578125" style="745" customWidth="1"/>
    <col min="11782" max="11782" width="14.42578125" style="745" customWidth="1"/>
    <col min="11783" max="11783" width="16.140625" style="745" customWidth="1"/>
    <col min="11784" max="11784" width="13.7109375" style="745" bestFit="1" customWidth="1"/>
    <col min="11785" max="12032" width="11" style="745"/>
    <col min="12033" max="12033" width="6.42578125" style="745" customWidth="1"/>
    <col min="12034" max="12034" width="12.140625" style="745" customWidth="1"/>
    <col min="12035" max="12035" width="51" style="745" customWidth="1"/>
    <col min="12036" max="12036" width="12.140625" style="745" customWidth="1"/>
    <col min="12037" max="12037" width="6.42578125" style="745" customWidth="1"/>
    <col min="12038" max="12038" width="14.42578125" style="745" customWidth="1"/>
    <col min="12039" max="12039" width="16.140625" style="745" customWidth="1"/>
    <col min="12040" max="12040" width="13.7109375" style="745" bestFit="1" customWidth="1"/>
    <col min="12041" max="12288" width="11" style="745"/>
    <col min="12289" max="12289" width="6.42578125" style="745" customWidth="1"/>
    <col min="12290" max="12290" width="12.140625" style="745" customWidth="1"/>
    <col min="12291" max="12291" width="51" style="745" customWidth="1"/>
    <col min="12292" max="12292" width="12.140625" style="745" customWidth="1"/>
    <col min="12293" max="12293" width="6.42578125" style="745" customWidth="1"/>
    <col min="12294" max="12294" width="14.42578125" style="745" customWidth="1"/>
    <col min="12295" max="12295" width="16.140625" style="745" customWidth="1"/>
    <col min="12296" max="12296" width="13.7109375" style="745" bestFit="1" customWidth="1"/>
    <col min="12297" max="12544" width="11" style="745"/>
    <col min="12545" max="12545" width="6.42578125" style="745" customWidth="1"/>
    <col min="12546" max="12546" width="12.140625" style="745" customWidth="1"/>
    <col min="12547" max="12547" width="51" style="745" customWidth="1"/>
    <col min="12548" max="12548" width="12.140625" style="745" customWidth="1"/>
    <col min="12549" max="12549" width="6.42578125" style="745" customWidth="1"/>
    <col min="12550" max="12550" width="14.42578125" style="745" customWidth="1"/>
    <col min="12551" max="12551" width="16.140625" style="745" customWidth="1"/>
    <col min="12552" max="12552" width="13.7109375" style="745" bestFit="1" customWidth="1"/>
    <col min="12553" max="12800" width="11" style="745"/>
    <col min="12801" max="12801" width="6.42578125" style="745" customWidth="1"/>
    <col min="12802" max="12802" width="12.140625" style="745" customWidth="1"/>
    <col min="12803" max="12803" width="51" style="745" customWidth="1"/>
    <col min="12804" max="12804" width="12.140625" style="745" customWidth="1"/>
    <col min="12805" max="12805" width="6.42578125" style="745" customWidth="1"/>
    <col min="12806" max="12806" width="14.42578125" style="745" customWidth="1"/>
    <col min="12807" max="12807" width="16.140625" style="745" customWidth="1"/>
    <col min="12808" max="12808" width="13.7109375" style="745" bestFit="1" customWidth="1"/>
    <col min="12809" max="13056" width="11" style="745"/>
    <col min="13057" max="13057" width="6.42578125" style="745" customWidth="1"/>
    <col min="13058" max="13058" width="12.140625" style="745" customWidth="1"/>
    <col min="13059" max="13059" width="51" style="745" customWidth="1"/>
    <col min="13060" max="13060" width="12.140625" style="745" customWidth="1"/>
    <col min="13061" max="13061" width="6.42578125" style="745" customWidth="1"/>
    <col min="13062" max="13062" width="14.42578125" style="745" customWidth="1"/>
    <col min="13063" max="13063" width="16.140625" style="745" customWidth="1"/>
    <col min="13064" max="13064" width="13.7109375" style="745" bestFit="1" customWidth="1"/>
    <col min="13065" max="13312" width="11" style="745"/>
    <col min="13313" max="13313" width="6.42578125" style="745" customWidth="1"/>
    <col min="13314" max="13314" width="12.140625" style="745" customWidth="1"/>
    <col min="13315" max="13315" width="51" style="745" customWidth="1"/>
    <col min="13316" max="13316" width="12.140625" style="745" customWidth="1"/>
    <col min="13317" max="13317" width="6.42578125" style="745" customWidth="1"/>
    <col min="13318" max="13318" width="14.42578125" style="745" customWidth="1"/>
    <col min="13319" max="13319" width="16.140625" style="745" customWidth="1"/>
    <col min="13320" max="13320" width="13.7109375" style="745" bestFit="1" customWidth="1"/>
    <col min="13321" max="13568" width="11" style="745"/>
    <col min="13569" max="13569" width="6.42578125" style="745" customWidth="1"/>
    <col min="13570" max="13570" width="12.140625" style="745" customWidth="1"/>
    <col min="13571" max="13571" width="51" style="745" customWidth="1"/>
    <col min="13572" max="13572" width="12.140625" style="745" customWidth="1"/>
    <col min="13573" max="13573" width="6.42578125" style="745" customWidth="1"/>
    <col min="13574" max="13574" width="14.42578125" style="745" customWidth="1"/>
    <col min="13575" max="13575" width="16.140625" style="745" customWidth="1"/>
    <col min="13576" max="13576" width="13.7109375" style="745" bestFit="1" customWidth="1"/>
    <col min="13577" max="13824" width="11" style="745"/>
    <col min="13825" max="13825" width="6.42578125" style="745" customWidth="1"/>
    <col min="13826" max="13826" width="12.140625" style="745" customWidth="1"/>
    <col min="13827" max="13827" width="51" style="745" customWidth="1"/>
    <col min="13828" max="13828" width="12.140625" style="745" customWidth="1"/>
    <col min="13829" max="13829" width="6.42578125" style="745" customWidth="1"/>
    <col min="13830" max="13830" width="14.42578125" style="745" customWidth="1"/>
    <col min="13831" max="13831" width="16.140625" style="745" customWidth="1"/>
    <col min="13832" max="13832" width="13.7109375" style="745" bestFit="1" customWidth="1"/>
    <col min="13833" max="14080" width="11" style="745"/>
    <col min="14081" max="14081" width="6.42578125" style="745" customWidth="1"/>
    <col min="14082" max="14082" width="12.140625" style="745" customWidth="1"/>
    <col min="14083" max="14083" width="51" style="745" customWidth="1"/>
    <col min="14084" max="14084" width="12.140625" style="745" customWidth="1"/>
    <col min="14085" max="14085" width="6.42578125" style="745" customWidth="1"/>
    <col min="14086" max="14086" width="14.42578125" style="745" customWidth="1"/>
    <col min="14087" max="14087" width="16.140625" style="745" customWidth="1"/>
    <col min="14088" max="14088" width="13.7109375" style="745" bestFit="1" customWidth="1"/>
    <col min="14089" max="14336" width="11" style="745"/>
    <col min="14337" max="14337" width="6.42578125" style="745" customWidth="1"/>
    <col min="14338" max="14338" width="12.140625" style="745" customWidth="1"/>
    <col min="14339" max="14339" width="51" style="745" customWidth="1"/>
    <col min="14340" max="14340" width="12.140625" style="745" customWidth="1"/>
    <col min="14341" max="14341" width="6.42578125" style="745" customWidth="1"/>
    <col min="14342" max="14342" width="14.42578125" style="745" customWidth="1"/>
    <col min="14343" max="14343" width="16.140625" style="745" customWidth="1"/>
    <col min="14344" max="14344" width="13.7109375" style="745" bestFit="1" customWidth="1"/>
    <col min="14345" max="14592" width="11" style="745"/>
    <col min="14593" max="14593" width="6.42578125" style="745" customWidth="1"/>
    <col min="14594" max="14594" width="12.140625" style="745" customWidth="1"/>
    <col min="14595" max="14595" width="51" style="745" customWidth="1"/>
    <col min="14596" max="14596" width="12.140625" style="745" customWidth="1"/>
    <col min="14597" max="14597" width="6.42578125" style="745" customWidth="1"/>
    <col min="14598" max="14598" width="14.42578125" style="745" customWidth="1"/>
    <col min="14599" max="14599" width="16.140625" style="745" customWidth="1"/>
    <col min="14600" max="14600" width="13.7109375" style="745" bestFit="1" customWidth="1"/>
    <col min="14601" max="14848" width="11" style="745"/>
    <col min="14849" max="14849" width="6.42578125" style="745" customWidth="1"/>
    <col min="14850" max="14850" width="12.140625" style="745" customWidth="1"/>
    <col min="14851" max="14851" width="51" style="745" customWidth="1"/>
    <col min="14852" max="14852" width="12.140625" style="745" customWidth="1"/>
    <col min="14853" max="14853" width="6.42578125" style="745" customWidth="1"/>
    <col min="14854" max="14854" width="14.42578125" style="745" customWidth="1"/>
    <col min="14855" max="14855" width="16.140625" style="745" customWidth="1"/>
    <col min="14856" max="14856" width="13.7109375" style="745" bestFit="1" customWidth="1"/>
    <col min="14857" max="15104" width="11" style="745"/>
    <col min="15105" max="15105" width="6.42578125" style="745" customWidth="1"/>
    <col min="15106" max="15106" width="12.140625" style="745" customWidth="1"/>
    <col min="15107" max="15107" width="51" style="745" customWidth="1"/>
    <col min="15108" max="15108" width="12.140625" style="745" customWidth="1"/>
    <col min="15109" max="15109" width="6.42578125" style="745" customWidth="1"/>
    <col min="15110" max="15110" width="14.42578125" style="745" customWidth="1"/>
    <col min="15111" max="15111" width="16.140625" style="745" customWidth="1"/>
    <col min="15112" max="15112" width="13.7109375" style="745" bestFit="1" customWidth="1"/>
    <col min="15113" max="15360" width="11" style="745"/>
    <col min="15361" max="15361" width="6.42578125" style="745" customWidth="1"/>
    <col min="15362" max="15362" width="12.140625" style="745" customWidth="1"/>
    <col min="15363" max="15363" width="51" style="745" customWidth="1"/>
    <col min="15364" max="15364" width="12.140625" style="745" customWidth="1"/>
    <col min="15365" max="15365" width="6.42578125" style="745" customWidth="1"/>
    <col min="15366" max="15366" width="14.42578125" style="745" customWidth="1"/>
    <col min="15367" max="15367" width="16.140625" style="745" customWidth="1"/>
    <col min="15368" max="15368" width="13.7109375" style="745" bestFit="1" customWidth="1"/>
    <col min="15369" max="15616" width="11" style="745"/>
    <col min="15617" max="15617" width="6.42578125" style="745" customWidth="1"/>
    <col min="15618" max="15618" width="12.140625" style="745" customWidth="1"/>
    <col min="15619" max="15619" width="51" style="745" customWidth="1"/>
    <col min="15620" max="15620" width="12.140625" style="745" customWidth="1"/>
    <col min="15621" max="15621" width="6.42578125" style="745" customWidth="1"/>
    <col min="15622" max="15622" width="14.42578125" style="745" customWidth="1"/>
    <col min="15623" max="15623" width="16.140625" style="745" customWidth="1"/>
    <col min="15624" max="15624" width="13.7109375" style="745" bestFit="1" customWidth="1"/>
    <col min="15625" max="15872" width="11" style="745"/>
    <col min="15873" max="15873" width="6.42578125" style="745" customWidth="1"/>
    <col min="15874" max="15874" width="12.140625" style="745" customWidth="1"/>
    <col min="15875" max="15875" width="51" style="745" customWidth="1"/>
    <col min="15876" max="15876" width="12.140625" style="745" customWidth="1"/>
    <col min="15877" max="15877" width="6.42578125" style="745" customWidth="1"/>
    <col min="15878" max="15878" width="14.42578125" style="745" customWidth="1"/>
    <col min="15879" max="15879" width="16.140625" style="745" customWidth="1"/>
    <col min="15880" max="15880" width="13.7109375" style="745" bestFit="1" customWidth="1"/>
    <col min="15881" max="16128" width="11" style="745"/>
    <col min="16129" max="16129" width="6.42578125" style="745" customWidth="1"/>
    <col min="16130" max="16130" width="12.140625" style="745" customWidth="1"/>
    <col min="16131" max="16131" width="51" style="745" customWidth="1"/>
    <col min="16132" max="16132" width="12.140625" style="745" customWidth="1"/>
    <col min="16133" max="16133" width="6.42578125" style="745" customWidth="1"/>
    <col min="16134" max="16134" width="14.42578125" style="745" customWidth="1"/>
    <col min="16135" max="16135" width="16.140625" style="745" customWidth="1"/>
    <col min="16136" max="16136" width="13.7109375" style="745" bestFit="1" customWidth="1"/>
    <col min="16137" max="16384" width="11" style="745"/>
  </cols>
  <sheetData>
    <row r="1" spans="1:7" s="699" customFormat="1" ht="24.95" customHeight="1" x14ac:dyDescent="0.25">
      <c r="A1" s="773" t="s">
        <v>811</v>
      </c>
      <c r="B1" s="773"/>
      <c r="C1" s="773"/>
      <c r="D1" s="773"/>
      <c r="E1" s="773"/>
      <c r="F1" s="773"/>
      <c r="G1" s="773"/>
    </row>
    <row r="2" spans="1:7" s="703" customFormat="1" ht="8.1" customHeight="1" thickBot="1" x14ac:dyDescent="0.3">
      <c r="A2" s="700"/>
      <c r="B2" s="701"/>
      <c r="C2" s="701"/>
      <c r="D2" s="701"/>
      <c r="E2" s="701"/>
      <c r="F2" s="702"/>
      <c r="G2" s="701"/>
    </row>
    <row r="3" spans="1:7" s="704" customFormat="1" thickBot="1" x14ac:dyDescent="0.3">
      <c r="A3" s="774" t="s">
        <v>812</v>
      </c>
      <c r="B3" s="775" t="s">
        <v>813</v>
      </c>
      <c r="C3" s="776" t="s">
        <v>814</v>
      </c>
      <c r="D3" s="775" t="s">
        <v>799</v>
      </c>
      <c r="E3" s="774" t="s">
        <v>2</v>
      </c>
      <c r="F3" s="777" t="s">
        <v>815</v>
      </c>
      <c r="G3" s="777" t="s">
        <v>816</v>
      </c>
    </row>
    <row r="4" spans="1:7" s="704" customFormat="1" ht="15" customHeight="1" thickBot="1" x14ac:dyDescent="0.3">
      <c r="A4" s="774"/>
      <c r="B4" s="775"/>
      <c r="C4" s="776"/>
      <c r="D4" s="775"/>
      <c r="E4" s="774"/>
      <c r="F4" s="777"/>
      <c r="G4" s="777"/>
    </row>
    <row r="5" spans="1:7" s="704" customFormat="1" ht="15" customHeight="1" x14ac:dyDescent="0.25">
      <c r="A5" s="705" t="s">
        <v>946</v>
      </c>
      <c r="B5" s="706"/>
      <c r="C5" s="707"/>
      <c r="D5" s="706"/>
      <c r="E5" s="708"/>
      <c r="F5" s="709"/>
      <c r="G5" s="710"/>
    </row>
    <row r="6" spans="1:7" s="704" customFormat="1" ht="15" customHeight="1" x14ac:dyDescent="0.25">
      <c r="A6" s="711" t="s">
        <v>818</v>
      </c>
      <c r="B6" s="712"/>
      <c r="C6" s="713"/>
      <c r="D6" s="712"/>
      <c r="E6" s="714"/>
      <c r="F6" s="715"/>
      <c r="G6" s="716"/>
    </row>
    <row r="7" spans="1:7" s="704" customFormat="1" ht="90" x14ac:dyDescent="0.25">
      <c r="A7" s="717">
        <v>1</v>
      </c>
      <c r="B7" s="718" t="s">
        <v>819</v>
      </c>
      <c r="C7" s="719" t="s">
        <v>820</v>
      </c>
      <c r="D7" s="718">
        <v>11425</v>
      </c>
      <c r="E7" s="718" t="s">
        <v>821</v>
      </c>
      <c r="F7" s="720">
        <v>3176.25</v>
      </c>
      <c r="G7" s="721">
        <f>ROUND(F7*D7/1000,0)</f>
        <v>36289</v>
      </c>
    </row>
    <row r="8" spans="1:7" s="704" customFormat="1" ht="105" x14ac:dyDescent="0.25">
      <c r="A8" s="717">
        <f t="shared" ref="A8:A15" si="0">+A7+1</f>
        <v>2</v>
      </c>
      <c r="B8" s="718" t="s">
        <v>822</v>
      </c>
      <c r="C8" s="719" t="s">
        <v>947</v>
      </c>
      <c r="D8" s="718">
        <v>3600</v>
      </c>
      <c r="E8" s="718" t="s">
        <v>10</v>
      </c>
      <c r="F8" s="720">
        <v>9.74</v>
      </c>
      <c r="G8" s="721">
        <f>ROUND(F8*D8,0)</f>
        <v>35064</v>
      </c>
    </row>
    <row r="9" spans="1:7" s="704" customFormat="1" ht="75" x14ac:dyDescent="0.25">
      <c r="A9" s="717">
        <f t="shared" si="0"/>
        <v>3</v>
      </c>
      <c r="B9" s="718" t="s">
        <v>824</v>
      </c>
      <c r="C9" s="719" t="s">
        <v>948</v>
      </c>
      <c r="D9" s="718">
        <v>8650</v>
      </c>
      <c r="E9" s="718" t="s">
        <v>821</v>
      </c>
      <c r="F9" s="720">
        <v>354</v>
      </c>
      <c r="G9" s="721">
        <f>ROUND(F9*D9/1000,0)</f>
        <v>3062</v>
      </c>
    </row>
    <row r="10" spans="1:7" s="704" customFormat="1" ht="75" x14ac:dyDescent="0.25">
      <c r="A10" s="717">
        <f t="shared" si="0"/>
        <v>4</v>
      </c>
      <c r="B10" s="718" t="s">
        <v>826</v>
      </c>
      <c r="C10" s="719" t="s">
        <v>949</v>
      </c>
      <c r="D10" s="718">
        <v>8650</v>
      </c>
      <c r="E10" s="718" t="s">
        <v>821</v>
      </c>
      <c r="F10" s="720">
        <v>3630</v>
      </c>
      <c r="G10" s="721">
        <f>ROUND(F10*D10/1000,0)</f>
        <v>31400</v>
      </c>
    </row>
    <row r="11" spans="1:7" s="704" customFormat="1" ht="60" x14ac:dyDescent="0.25">
      <c r="A11" s="717">
        <f t="shared" si="0"/>
        <v>5</v>
      </c>
      <c r="B11" s="718" t="s">
        <v>828</v>
      </c>
      <c r="C11" s="719" t="s">
        <v>829</v>
      </c>
      <c r="D11" s="718">
        <v>3200</v>
      </c>
      <c r="E11" s="718" t="s">
        <v>807</v>
      </c>
      <c r="F11" s="720">
        <v>2684</v>
      </c>
      <c r="G11" s="721">
        <f>ROUND(F11*D11/100,0)</f>
        <v>85888</v>
      </c>
    </row>
    <row r="12" spans="1:7" s="704" customFormat="1" ht="120" x14ac:dyDescent="0.25">
      <c r="A12" s="717">
        <f t="shared" si="0"/>
        <v>6</v>
      </c>
      <c r="B12" s="718" t="s">
        <v>830</v>
      </c>
      <c r="C12" s="719" t="s">
        <v>831</v>
      </c>
      <c r="D12" s="718">
        <v>840</v>
      </c>
      <c r="E12" s="718" t="s">
        <v>807</v>
      </c>
      <c r="F12" s="720">
        <v>17197.02</v>
      </c>
      <c r="G12" s="721">
        <f>ROUND(F12*D12/100,0)</f>
        <v>144455</v>
      </c>
    </row>
    <row r="13" spans="1:7" s="704" customFormat="1" ht="120" x14ac:dyDescent="0.25">
      <c r="A13" s="717">
        <f t="shared" si="0"/>
        <v>7</v>
      </c>
      <c r="B13" s="718" t="s">
        <v>832</v>
      </c>
      <c r="C13" s="719" t="s">
        <v>833</v>
      </c>
      <c r="D13" s="718">
        <v>3775</v>
      </c>
      <c r="E13" s="718" t="s">
        <v>807</v>
      </c>
      <c r="F13" s="720">
        <v>25509.06</v>
      </c>
      <c r="G13" s="721">
        <f>ROUND(F13*D13/100,0)</f>
        <v>962967</v>
      </c>
    </row>
    <row r="14" spans="1:7" s="704" customFormat="1" ht="30" x14ac:dyDescent="0.25">
      <c r="A14" s="717">
        <f t="shared" si="0"/>
        <v>8</v>
      </c>
      <c r="B14" s="718" t="s">
        <v>834</v>
      </c>
      <c r="C14" s="719" t="s">
        <v>835</v>
      </c>
      <c r="D14" s="718">
        <v>11269</v>
      </c>
      <c r="E14" s="718" t="s">
        <v>807</v>
      </c>
      <c r="F14" s="720">
        <v>3127.41</v>
      </c>
      <c r="G14" s="721">
        <f>ROUND(F14*D14/100,0)</f>
        <v>352428</v>
      </c>
    </row>
    <row r="15" spans="1:7" s="704" customFormat="1" ht="90" x14ac:dyDescent="0.25">
      <c r="A15" s="717">
        <f t="shared" si="0"/>
        <v>9</v>
      </c>
      <c r="B15" s="718" t="s">
        <v>837</v>
      </c>
      <c r="C15" s="719" t="s">
        <v>950</v>
      </c>
      <c r="D15" s="718"/>
      <c r="E15" s="718"/>
      <c r="F15" s="720"/>
      <c r="G15" s="721"/>
    </row>
    <row r="16" spans="1:7" s="704" customFormat="1" x14ac:dyDescent="0.25">
      <c r="A16" s="717" t="s">
        <v>415</v>
      </c>
      <c r="B16" s="718"/>
      <c r="C16" s="719" t="s">
        <v>839</v>
      </c>
      <c r="D16" s="718">
        <v>800</v>
      </c>
      <c r="E16" s="718" t="s">
        <v>807</v>
      </c>
      <c r="F16" s="720">
        <v>12595</v>
      </c>
      <c r="G16" s="721">
        <f>ROUND(F16*D16/100,0)</f>
        <v>100760</v>
      </c>
    </row>
    <row r="17" spans="1:7" s="704" customFormat="1" x14ac:dyDescent="0.25">
      <c r="A17" s="717" t="s">
        <v>438</v>
      </c>
      <c r="B17" s="718"/>
      <c r="C17" s="719" t="s">
        <v>840</v>
      </c>
      <c r="D17" s="718">
        <v>544</v>
      </c>
      <c r="E17" s="718" t="s">
        <v>807</v>
      </c>
      <c r="F17" s="720">
        <v>12595</v>
      </c>
      <c r="G17" s="721">
        <f>ROUND(F17*D17/100,0)</f>
        <v>68517</v>
      </c>
    </row>
    <row r="18" spans="1:7" s="704" customFormat="1" ht="105" x14ac:dyDescent="0.25">
      <c r="A18" s="717">
        <f>+A15+1</f>
        <v>10</v>
      </c>
      <c r="B18" s="718" t="s">
        <v>841</v>
      </c>
      <c r="C18" s="719" t="s">
        <v>951</v>
      </c>
      <c r="D18" s="718"/>
      <c r="E18" s="718"/>
      <c r="F18" s="720"/>
      <c r="G18" s="721"/>
    </row>
    <row r="19" spans="1:7" s="704" customFormat="1" x14ac:dyDescent="0.25">
      <c r="A19" s="717" t="s">
        <v>415</v>
      </c>
      <c r="B19" s="718" t="s">
        <v>845</v>
      </c>
      <c r="C19" s="719" t="s">
        <v>843</v>
      </c>
      <c r="D19" s="718">
        <v>1800</v>
      </c>
      <c r="E19" s="718" t="s">
        <v>807</v>
      </c>
      <c r="F19" s="720">
        <v>27160.11</v>
      </c>
      <c r="G19" s="721">
        <f>ROUND(F19*D19/100,0)</f>
        <v>488882</v>
      </c>
    </row>
    <row r="20" spans="1:7" s="704" customFormat="1" ht="180" x14ac:dyDescent="0.25">
      <c r="A20" s="717">
        <f>+A18+1</f>
        <v>11</v>
      </c>
      <c r="B20" s="718"/>
      <c r="C20" s="719" t="s">
        <v>952</v>
      </c>
      <c r="D20" s="718"/>
      <c r="E20" s="718"/>
      <c r="F20" s="720"/>
      <c r="G20" s="721"/>
    </row>
    <row r="21" spans="1:7" s="704" customFormat="1" x14ac:dyDescent="0.25">
      <c r="A21" s="717" t="s">
        <v>415</v>
      </c>
      <c r="B21" s="718" t="s">
        <v>845</v>
      </c>
      <c r="C21" s="719" t="s">
        <v>248</v>
      </c>
      <c r="D21" s="718">
        <v>1720</v>
      </c>
      <c r="E21" s="718" t="s">
        <v>807</v>
      </c>
      <c r="F21" s="720">
        <v>27160.11</v>
      </c>
      <c r="G21" s="721">
        <f>ROUND(F21*D21/100,0)</f>
        <v>467154</v>
      </c>
    </row>
    <row r="22" spans="1:7" s="704" customFormat="1" x14ac:dyDescent="0.25">
      <c r="A22" s="717" t="s">
        <v>438</v>
      </c>
      <c r="B22" s="718" t="s">
        <v>845</v>
      </c>
      <c r="C22" s="719" t="s">
        <v>129</v>
      </c>
      <c r="D22" s="718">
        <v>170</v>
      </c>
      <c r="E22" s="718" t="s">
        <v>807</v>
      </c>
      <c r="F22" s="720">
        <v>27160.11</v>
      </c>
      <c r="G22" s="721">
        <f>ROUND(F22*D22/100,0)</f>
        <v>46172</v>
      </c>
    </row>
    <row r="23" spans="1:7" s="704" customFormat="1" x14ac:dyDescent="0.25">
      <c r="A23" s="717" t="s">
        <v>440</v>
      </c>
      <c r="B23" s="718" t="s">
        <v>845</v>
      </c>
      <c r="C23" s="719" t="s">
        <v>953</v>
      </c>
      <c r="D23" s="718">
        <v>1600</v>
      </c>
      <c r="E23" s="718" t="s">
        <v>807</v>
      </c>
      <c r="F23" s="720">
        <v>27160.11</v>
      </c>
      <c r="G23" s="721">
        <f>ROUND(F23*D23/100,0)</f>
        <v>434562</v>
      </c>
    </row>
    <row r="24" spans="1:7" s="704" customFormat="1" x14ac:dyDescent="0.25">
      <c r="A24" s="717"/>
      <c r="B24" s="718"/>
      <c r="C24" s="719" t="s">
        <v>848</v>
      </c>
      <c r="D24" s="718"/>
      <c r="E24" s="718"/>
      <c r="F24" s="720"/>
      <c r="G24" s="721"/>
    </row>
    <row r="25" spans="1:7" s="704" customFormat="1" x14ac:dyDescent="0.25">
      <c r="A25" s="717" t="s">
        <v>415</v>
      </c>
      <c r="B25" s="718" t="s">
        <v>845</v>
      </c>
      <c r="C25" s="719" t="s">
        <v>8</v>
      </c>
      <c r="D25" s="718">
        <v>305</v>
      </c>
      <c r="E25" s="718" t="s">
        <v>807</v>
      </c>
      <c r="F25" s="720">
        <v>27160.11</v>
      </c>
      <c r="G25" s="721">
        <f>ROUND(F25*D25/100,0)</f>
        <v>82838</v>
      </c>
    </row>
    <row r="26" spans="1:7" s="704" customFormat="1" x14ac:dyDescent="0.25">
      <c r="A26" s="717" t="s">
        <v>438</v>
      </c>
      <c r="B26" s="718" t="s">
        <v>845</v>
      </c>
      <c r="C26" s="719" t="s">
        <v>954</v>
      </c>
      <c r="D26" s="718">
        <v>785</v>
      </c>
      <c r="E26" s="718" t="s">
        <v>807</v>
      </c>
      <c r="F26" s="720">
        <v>27160.11</v>
      </c>
      <c r="G26" s="721">
        <f>ROUND(F26*D26/100,0)</f>
        <v>213207</v>
      </c>
    </row>
    <row r="27" spans="1:7" s="704" customFormat="1" x14ac:dyDescent="0.25">
      <c r="A27" s="717"/>
      <c r="B27" s="718" t="s">
        <v>845</v>
      </c>
      <c r="C27" s="719" t="s">
        <v>62</v>
      </c>
      <c r="D27" s="718"/>
      <c r="E27" s="718"/>
      <c r="F27" s="720"/>
      <c r="G27" s="721"/>
    </row>
    <row r="28" spans="1:7" s="704" customFormat="1" x14ac:dyDescent="0.25">
      <c r="A28" s="717" t="s">
        <v>440</v>
      </c>
      <c r="B28" s="718" t="s">
        <v>845</v>
      </c>
      <c r="C28" s="719" t="s">
        <v>955</v>
      </c>
      <c r="D28" s="718">
        <v>798</v>
      </c>
      <c r="E28" s="718" t="s">
        <v>807</v>
      </c>
      <c r="F28" s="720">
        <v>27160.11</v>
      </c>
      <c r="G28" s="721">
        <f>ROUND(F28*D28/100,0)</f>
        <v>216738</v>
      </c>
    </row>
    <row r="29" spans="1:7" s="704" customFormat="1" x14ac:dyDescent="0.25">
      <c r="A29" s="717" t="s">
        <v>442</v>
      </c>
      <c r="B29" s="718" t="s">
        <v>845</v>
      </c>
      <c r="C29" s="719" t="s">
        <v>956</v>
      </c>
      <c r="D29" s="718">
        <v>50</v>
      </c>
      <c r="E29" s="718" t="s">
        <v>807</v>
      </c>
      <c r="F29" s="720">
        <v>27160.11</v>
      </c>
      <c r="G29" s="721">
        <f>ROUND(F29*D29/100,0)</f>
        <v>13580</v>
      </c>
    </row>
    <row r="30" spans="1:7" s="704" customFormat="1" x14ac:dyDescent="0.25">
      <c r="A30" s="717" t="s">
        <v>444</v>
      </c>
      <c r="B30" s="718" t="s">
        <v>845</v>
      </c>
      <c r="C30" s="719" t="s">
        <v>851</v>
      </c>
      <c r="D30" s="718">
        <v>25</v>
      </c>
      <c r="E30" s="718" t="s">
        <v>807</v>
      </c>
      <c r="F30" s="720">
        <v>27160.11</v>
      </c>
      <c r="G30" s="721">
        <f>ROUND(F30*D30/100,0)</f>
        <v>6790</v>
      </c>
    </row>
    <row r="31" spans="1:7" s="704" customFormat="1" x14ac:dyDescent="0.25">
      <c r="A31" s="717" t="s">
        <v>446</v>
      </c>
      <c r="B31" s="718" t="s">
        <v>845</v>
      </c>
      <c r="C31" s="719" t="s">
        <v>852</v>
      </c>
      <c r="D31" s="718">
        <v>225</v>
      </c>
      <c r="E31" s="718" t="s">
        <v>807</v>
      </c>
      <c r="F31" s="720">
        <v>2716.11</v>
      </c>
      <c r="G31" s="721">
        <f>ROUND(F31*D31/100,0)</f>
        <v>6111</v>
      </c>
    </row>
    <row r="32" spans="1:7" s="704" customFormat="1" ht="90" x14ac:dyDescent="0.25">
      <c r="A32" s="717">
        <f>+A20+1</f>
        <v>12</v>
      </c>
      <c r="B32" s="718" t="s">
        <v>853</v>
      </c>
      <c r="C32" s="719" t="s">
        <v>957</v>
      </c>
      <c r="D32" s="718">
        <v>9.5</v>
      </c>
      <c r="E32" s="718" t="s">
        <v>855</v>
      </c>
      <c r="F32" s="720">
        <v>94850.71</v>
      </c>
      <c r="G32" s="721">
        <f>ROUND(F32*D32,0)</f>
        <v>901082</v>
      </c>
    </row>
    <row r="33" spans="1:7" s="704" customFormat="1" ht="90" x14ac:dyDescent="0.25">
      <c r="A33" s="717">
        <f>+A32+1</f>
        <v>13</v>
      </c>
      <c r="B33" s="718" t="s">
        <v>856</v>
      </c>
      <c r="C33" s="719" t="s">
        <v>958</v>
      </c>
      <c r="D33" s="718"/>
      <c r="E33" s="718"/>
      <c r="F33" s="720"/>
      <c r="G33" s="721"/>
    </row>
    <row r="34" spans="1:7" s="704" customFormat="1" x14ac:dyDescent="0.25">
      <c r="A34" s="717" t="s">
        <v>415</v>
      </c>
      <c r="B34" s="718"/>
      <c r="C34" s="719" t="s">
        <v>959</v>
      </c>
      <c r="D34" s="718">
        <v>1307</v>
      </c>
      <c r="E34" s="718" t="s">
        <v>807</v>
      </c>
      <c r="F34" s="720">
        <v>14621.44</v>
      </c>
      <c r="G34" s="721">
        <f>ROUND(F34*D34/100,0)</f>
        <v>191102</v>
      </c>
    </row>
    <row r="35" spans="1:7" s="704" customFormat="1" x14ac:dyDescent="0.25">
      <c r="A35" s="717" t="s">
        <v>438</v>
      </c>
      <c r="B35" s="718"/>
      <c r="C35" s="719" t="s">
        <v>859</v>
      </c>
      <c r="D35" s="718">
        <v>741</v>
      </c>
      <c r="E35" s="718" t="s">
        <v>807</v>
      </c>
      <c r="F35" s="720">
        <v>14621.44</v>
      </c>
      <c r="G35" s="721">
        <f>ROUND(F35*D35/100,0)</f>
        <v>108345</v>
      </c>
    </row>
    <row r="36" spans="1:7" s="704" customFormat="1" ht="90" x14ac:dyDescent="0.25">
      <c r="A36" s="717">
        <f>+A33+1</f>
        <v>14</v>
      </c>
      <c r="B36" s="718" t="s">
        <v>837</v>
      </c>
      <c r="C36" s="719" t="s">
        <v>860</v>
      </c>
      <c r="D36" s="718">
        <v>13</v>
      </c>
      <c r="E36" s="718" t="s">
        <v>807</v>
      </c>
      <c r="F36" s="720">
        <v>12595</v>
      </c>
      <c r="G36" s="721">
        <f>ROUND(F36*D36/100,0)</f>
        <v>1637</v>
      </c>
    </row>
    <row r="37" spans="1:7" s="704" customFormat="1" ht="90" x14ac:dyDescent="0.25">
      <c r="A37" s="717">
        <f t="shared" ref="A37:A42" si="1">+A36+1</f>
        <v>15</v>
      </c>
      <c r="B37" s="718" t="s">
        <v>837</v>
      </c>
      <c r="C37" s="719" t="s">
        <v>960</v>
      </c>
      <c r="D37" s="718">
        <v>25</v>
      </c>
      <c r="E37" s="718" t="s">
        <v>807</v>
      </c>
      <c r="F37" s="720">
        <v>14621.44</v>
      </c>
      <c r="G37" s="721">
        <f>ROUND(F37*D37/100,0)</f>
        <v>3655</v>
      </c>
    </row>
    <row r="38" spans="1:7" s="704" customFormat="1" ht="165" x14ac:dyDescent="0.25">
      <c r="A38" s="717">
        <f t="shared" si="1"/>
        <v>16</v>
      </c>
      <c r="B38" s="718" t="s">
        <v>867</v>
      </c>
      <c r="C38" s="719" t="s">
        <v>868</v>
      </c>
      <c r="D38" s="718">
        <v>675</v>
      </c>
      <c r="E38" s="718" t="s">
        <v>279</v>
      </c>
      <c r="F38" s="720">
        <v>102.31932</v>
      </c>
      <c r="G38" s="721">
        <f>ROUND(F38*D38,0)</f>
        <v>69066</v>
      </c>
    </row>
    <row r="39" spans="1:7" s="704" customFormat="1" ht="105" x14ac:dyDescent="0.25">
      <c r="A39" s="717">
        <f t="shared" si="1"/>
        <v>17</v>
      </c>
      <c r="B39" s="718" t="s">
        <v>869</v>
      </c>
      <c r="C39" s="719" t="s">
        <v>961</v>
      </c>
      <c r="D39" s="718">
        <v>550</v>
      </c>
      <c r="E39" s="718" t="s">
        <v>836</v>
      </c>
      <c r="F39" s="720">
        <v>3912.85</v>
      </c>
      <c r="G39" s="721">
        <f>ROUND(F39*D39/100,0)</f>
        <v>21521</v>
      </c>
    </row>
    <row r="40" spans="1:7" s="704" customFormat="1" ht="45" x14ac:dyDescent="0.25">
      <c r="A40" s="717">
        <f t="shared" si="1"/>
        <v>18</v>
      </c>
      <c r="B40" s="718" t="s">
        <v>871</v>
      </c>
      <c r="C40" s="719" t="s">
        <v>962</v>
      </c>
      <c r="D40" s="718">
        <v>9900</v>
      </c>
      <c r="E40" s="718" t="s">
        <v>836</v>
      </c>
      <c r="F40" s="720">
        <v>778.02</v>
      </c>
      <c r="G40" s="721">
        <f>ROUND(F40*D40/100,0)</f>
        <v>77024</v>
      </c>
    </row>
    <row r="41" spans="1:7" s="704" customFormat="1" ht="75" x14ac:dyDescent="0.25">
      <c r="A41" s="717">
        <f t="shared" si="1"/>
        <v>19</v>
      </c>
      <c r="B41" s="718" t="s">
        <v>873</v>
      </c>
      <c r="C41" s="719" t="s">
        <v>963</v>
      </c>
      <c r="D41" s="718">
        <v>3200</v>
      </c>
      <c r="E41" s="718" t="s">
        <v>10</v>
      </c>
      <c r="F41" s="720">
        <v>10.7</v>
      </c>
      <c r="G41" s="721">
        <f>ROUND(F41*D41,0)</f>
        <v>34240</v>
      </c>
    </row>
    <row r="42" spans="1:7" s="704" customFormat="1" ht="165" x14ac:dyDescent="0.25">
      <c r="A42" s="717">
        <f t="shared" si="1"/>
        <v>20</v>
      </c>
      <c r="B42" s="718" t="s">
        <v>880</v>
      </c>
      <c r="C42" s="719" t="s">
        <v>964</v>
      </c>
      <c r="D42" s="718"/>
      <c r="E42" s="718"/>
      <c r="F42" s="720"/>
      <c r="G42" s="721"/>
    </row>
    <row r="43" spans="1:7" s="704" customFormat="1" x14ac:dyDescent="0.25">
      <c r="A43" s="717" t="s">
        <v>415</v>
      </c>
      <c r="B43" s="718"/>
      <c r="C43" s="719" t="s">
        <v>965</v>
      </c>
      <c r="D43" s="718">
        <v>200</v>
      </c>
      <c r="E43" s="718" t="s">
        <v>287</v>
      </c>
      <c r="F43" s="720">
        <v>343.57142857142856</v>
      </c>
      <c r="G43" s="721">
        <f>ROUND(F43*D43,0)</f>
        <v>68714</v>
      </c>
    </row>
    <row r="44" spans="1:7" s="704" customFormat="1" ht="135" x14ac:dyDescent="0.25">
      <c r="A44" s="717">
        <f>+A42+1</f>
        <v>21</v>
      </c>
      <c r="B44" s="718" t="s">
        <v>883</v>
      </c>
      <c r="C44" s="719" t="s">
        <v>884</v>
      </c>
      <c r="D44" s="718"/>
      <c r="E44" s="718"/>
      <c r="F44" s="720"/>
      <c r="G44" s="721"/>
    </row>
    <row r="45" spans="1:7" s="704" customFormat="1" x14ac:dyDescent="0.25">
      <c r="A45" s="717" t="s">
        <v>415</v>
      </c>
      <c r="B45" s="718"/>
      <c r="C45" s="719" t="s">
        <v>966</v>
      </c>
      <c r="D45" s="718">
        <v>182</v>
      </c>
      <c r="E45" s="718" t="s">
        <v>10</v>
      </c>
      <c r="F45" s="720">
        <v>1182.56</v>
      </c>
      <c r="G45" s="721">
        <f>ROUND(F45*D45,0)</f>
        <v>215226</v>
      </c>
    </row>
    <row r="46" spans="1:7" s="704" customFormat="1" x14ac:dyDescent="0.25">
      <c r="A46" s="717" t="s">
        <v>438</v>
      </c>
      <c r="B46" s="718"/>
      <c r="C46" s="719" t="s">
        <v>967</v>
      </c>
      <c r="D46" s="718">
        <v>58</v>
      </c>
      <c r="E46" s="718" t="s">
        <v>10</v>
      </c>
      <c r="F46" s="720">
        <v>1182.56</v>
      </c>
      <c r="G46" s="721">
        <f>ROUND(F46*D46,0)</f>
        <v>68588</v>
      </c>
    </row>
    <row r="47" spans="1:7" s="704" customFormat="1" ht="150" x14ac:dyDescent="0.25">
      <c r="A47" s="717">
        <f>+A44+1</f>
        <v>22</v>
      </c>
      <c r="B47" s="718" t="s">
        <v>968</v>
      </c>
      <c r="C47" s="719" t="s">
        <v>890</v>
      </c>
      <c r="D47" s="718">
        <v>800</v>
      </c>
      <c r="E47" s="718" t="s">
        <v>10</v>
      </c>
      <c r="F47" s="720">
        <v>1647.69</v>
      </c>
      <c r="G47" s="721">
        <f>ROUND(F47*D47,0)</f>
        <v>1318152</v>
      </c>
    </row>
    <row r="48" spans="1:7" s="704" customFormat="1" ht="45" x14ac:dyDescent="0.25">
      <c r="A48" s="717">
        <f>+A47+1</f>
        <v>23</v>
      </c>
      <c r="B48" s="718" t="s">
        <v>891</v>
      </c>
      <c r="C48" s="719" t="s">
        <v>892</v>
      </c>
      <c r="D48" s="718"/>
      <c r="E48" s="718"/>
      <c r="F48" s="720"/>
      <c r="G48" s="721"/>
    </row>
    <row r="49" spans="1:7" s="704" customFormat="1" x14ac:dyDescent="0.25">
      <c r="A49" s="717" t="s">
        <v>415</v>
      </c>
      <c r="B49" s="718"/>
      <c r="C49" s="719" t="s">
        <v>893</v>
      </c>
      <c r="D49" s="718">
        <v>7500</v>
      </c>
      <c r="E49" s="718" t="s">
        <v>836</v>
      </c>
      <c r="F49" s="720">
        <v>2241.8000000000002</v>
      </c>
      <c r="G49" s="721">
        <f>ROUND(F49*D49/100,0)</f>
        <v>168135</v>
      </c>
    </row>
    <row r="50" spans="1:7" s="704" customFormat="1" ht="30" x14ac:dyDescent="0.25">
      <c r="A50" s="717">
        <f>+A48+1</f>
        <v>24</v>
      </c>
      <c r="B50" s="718" t="s">
        <v>894</v>
      </c>
      <c r="C50" s="719" t="s">
        <v>895</v>
      </c>
      <c r="D50" s="718">
        <v>750</v>
      </c>
      <c r="E50" s="718" t="s">
        <v>10</v>
      </c>
      <c r="F50" s="720">
        <v>104.15</v>
      </c>
      <c r="G50" s="721">
        <f>ROUND(F50*D50,0)</f>
        <v>78113</v>
      </c>
    </row>
    <row r="51" spans="1:7" s="704" customFormat="1" ht="45" x14ac:dyDescent="0.25">
      <c r="A51" s="717">
        <f>+A50+1</f>
        <v>25</v>
      </c>
      <c r="B51" s="718" t="s">
        <v>896</v>
      </c>
      <c r="C51" s="719" t="s">
        <v>897</v>
      </c>
      <c r="D51" s="718"/>
      <c r="E51" s="718"/>
      <c r="F51" s="720"/>
      <c r="G51" s="721"/>
    </row>
    <row r="52" spans="1:7" s="704" customFormat="1" x14ac:dyDescent="0.25">
      <c r="A52" s="717" t="s">
        <v>415</v>
      </c>
      <c r="B52" s="718"/>
      <c r="C52" s="719" t="s">
        <v>898</v>
      </c>
      <c r="D52" s="718">
        <v>1480</v>
      </c>
      <c r="E52" s="718" t="s">
        <v>836</v>
      </c>
      <c r="F52" s="720">
        <v>3191.76</v>
      </c>
      <c r="G52" s="721">
        <f>ROUND(F52*D52/100,0)</f>
        <v>47238</v>
      </c>
    </row>
    <row r="53" spans="1:7" s="704" customFormat="1" ht="135" x14ac:dyDescent="0.25">
      <c r="A53" s="717">
        <f>+A51+1</f>
        <v>26</v>
      </c>
      <c r="B53" s="718" t="s">
        <v>899</v>
      </c>
      <c r="C53" s="719" t="s">
        <v>900</v>
      </c>
      <c r="D53" s="718">
        <v>4750</v>
      </c>
      <c r="E53" s="718" t="s">
        <v>836</v>
      </c>
      <c r="F53" s="720">
        <v>3444.38</v>
      </c>
      <c r="G53" s="721">
        <f>ROUND(F53*D53/100,0)</f>
        <v>163608</v>
      </c>
    </row>
    <row r="54" spans="1:7" s="704" customFormat="1" ht="90" x14ac:dyDescent="0.25">
      <c r="A54" s="717">
        <f>+A53+1</f>
        <v>27</v>
      </c>
      <c r="B54" s="718" t="s">
        <v>901</v>
      </c>
      <c r="C54" s="719" t="s">
        <v>902</v>
      </c>
      <c r="D54" s="718">
        <v>2750</v>
      </c>
      <c r="E54" s="718" t="s">
        <v>836</v>
      </c>
      <c r="F54" s="720">
        <v>2237.9499999999998</v>
      </c>
      <c r="G54" s="721">
        <f>ROUND(F54*D54/100,0)</f>
        <v>61544</v>
      </c>
    </row>
    <row r="55" spans="1:7" s="704" customFormat="1" ht="90" x14ac:dyDescent="0.25">
      <c r="A55" s="717">
        <f>+A54+1</f>
        <v>28</v>
      </c>
      <c r="B55" s="718" t="s">
        <v>910</v>
      </c>
      <c r="C55" s="719" t="s">
        <v>911</v>
      </c>
      <c r="D55" s="718">
        <v>1480</v>
      </c>
      <c r="E55" s="718" t="s">
        <v>906</v>
      </c>
      <c r="F55" s="720">
        <v>2567.9499999999998</v>
      </c>
      <c r="G55" s="721">
        <f>ROUND(F55*D55/100,0)</f>
        <v>38006</v>
      </c>
    </row>
    <row r="56" spans="1:7" s="704" customFormat="1" ht="75" x14ac:dyDescent="0.25">
      <c r="A56" s="717">
        <f>+A55+1</f>
        <v>29</v>
      </c>
      <c r="B56" s="718" t="s">
        <v>915</v>
      </c>
      <c r="C56" s="719" t="s">
        <v>969</v>
      </c>
      <c r="D56" s="718"/>
      <c r="E56" s="718"/>
      <c r="F56" s="720"/>
      <c r="G56" s="721"/>
    </row>
    <row r="57" spans="1:7" s="704" customFormat="1" x14ac:dyDescent="0.25">
      <c r="A57" s="717" t="s">
        <v>415</v>
      </c>
      <c r="B57" s="718"/>
      <c r="C57" s="719" t="s">
        <v>970</v>
      </c>
      <c r="D57" s="718">
        <v>55</v>
      </c>
      <c r="E57" s="718" t="s">
        <v>906</v>
      </c>
      <c r="F57" s="720">
        <v>27747.06</v>
      </c>
      <c r="G57" s="721">
        <f>ROUND(F57*D57/100,0)</f>
        <v>15261</v>
      </c>
    </row>
    <row r="58" spans="1:7" s="704" customFormat="1" x14ac:dyDescent="0.25">
      <c r="A58" s="717" t="s">
        <v>438</v>
      </c>
      <c r="B58" s="718"/>
      <c r="C58" s="719" t="s">
        <v>971</v>
      </c>
      <c r="D58" s="718">
        <v>105</v>
      </c>
      <c r="E58" s="718" t="s">
        <v>906</v>
      </c>
      <c r="F58" s="720">
        <v>27747.06</v>
      </c>
      <c r="G58" s="721">
        <f>ROUND(F58*D58/100,0)</f>
        <v>29134</v>
      </c>
    </row>
    <row r="59" spans="1:7" s="704" customFormat="1" ht="60" x14ac:dyDescent="0.25">
      <c r="A59" s="717">
        <f>+A56+1</f>
        <v>30</v>
      </c>
      <c r="B59" s="718" t="s">
        <v>903</v>
      </c>
      <c r="C59" s="719" t="s">
        <v>904</v>
      </c>
      <c r="D59" s="718"/>
      <c r="E59" s="718"/>
      <c r="F59" s="720"/>
      <c r="G59" s="721"/>
    </row>
    <row r="60" spans="1:7" s="704" customFormat="1" x14ac:dyDescent="0.25">
      <c r="A60" s="717" t="s">
        <v>415</v>
      </c>
      <c r="B60" s="718"/>
      <c r="C60" s="719" t="s">
        <v>972</v>
      </c>
      <c r="D60" s="718">
        <v>450</v>
      </c>
      <c r="E60" s="718" t="s">
        <v>906</v>
      </c>
      <c r="F60" s="720">
        <v>28299.3</v>
      </c>
      <c r="G60" s="721">
        <f>ROUND(F60*D60/100,0)</f>
        <v>127347</v>
      </c>
    </row>
    <row r="61" spans="1:7" s="704" customFormat="1" x14ac:dyDescent="0.25">
      <c r="A61" s="717" t="s">
        <v>438</v>
      </c>
      <c r="B61" s="718"/>
      <c r="C61" s="719" t="s">
        <v>973</v>
      </c>
      <c r="D61" s="718">
        <v>65</v>
      </c>
      <c r="E61" s="718" t="s">
        <v>906</v>
      </c>
      <c r="F61" s="720">
        <v>28299.3</v>
      </c>
      <c r="G61" s="721">
        <f>ROUND(F61*D61/100,0)</f>
        <v>18395</v>
      </c>
    </row>
    <row r="62" spans="1:7" s="704" customFormat="1" ht="135" x14ac:dyDescent="0.25">
      <c r="A62" s="717">
        <f>+A59+1</f>
        <v>31</v>
      </c>
      <c r="B62" s="718" t="s">
        <v>903</v>
      </c>
      <c r="C62" s="719" t="s">
        <v>974</v>
      </c>
      <c r="D62" s="718">
        <v>30</v>
      </c>
      <c r="E62" s="718" t="s">
        <v>906</v>
      </c>
      <c r="F62" s="720">
        <v>28299.3</v>
      </c>
      <c r="G62" s="721">
        <f>ROUND(F62*D62/100,0)</f>
        <v>8490</v>
      </c>
    </row>
    <row r="63" spans="1:7" s="704" customFormat="1" ht="75" x14ac:dyDescent="0.25">
      <c r="A63" s="717">
        <f>+A62+1</f>
        <v>32</v>
      </c>
      <c r="B63" s="718" t="s">
        <v>837</v>
      </c>
      <c r="C63" s="719" t="s">
        <v>975</v>
      </c>
      <c r="D63" s="718">
        <v>517</v>
      </c>
      <c r="E63" s="718" t="s">
        <v>807</v>
      </c>
      <c r="F63" s="720">
        <v>12595</v>
      </c>
      <c r="G63" s="721">
        <f>ROUND(F63*D63/100,0)</f>
        <v>65116</v>
      </c>
    </row>
    <row r="64" spans="1:7" s="704" customFormat="1" ht="105" x14ac:dyDescent="0.25">
      <c r="A64" s="717">
        <f>+A63+1</f>
        <v>33</v>
      </c>
      <c r="B64" s="718" t="s">
        <v>976</v>
      </c>
      <c r="C64" s="719" t="s">
        <v>977</v>
      </c>
      <c r="D64" s="718">
        <v>220</v>
      </c>
      <c r="E64" s="718" t="s">
        <v>11</v>
      </c>
      <c r="F64" s="720">
        <v>176.47279999999998</v>
      </c>
      <c r="G64" s="721">
        <f>ROUND(F64*D64,0)</f>
        <v>38824</v>
      </c>
    </row>
    <row r="65" spans="1:7" s="704" customFormat="1" ht="75" x14ac:dyDescent="0.25">
      <c r="A65" s="717">
        <f>+A64+1</f>
        <v>34</v>
      </c>
      <c r="B65" s="718" t="s">
        <v>912</v>
      </c>
      <c r="C65" s="719" t="s">
        <v>978</v>
      </c>
      <c r="D65" s="718">
        <v>30</v>
      </c>
      <c r="E65" s="718" t="s">
        <v>10</v>
      </c>
      <c r="F65" s="720">
        <v>535.70000000000005</v>
      </c>
      <c r="G65" s="721">
        <f>ROUND(F65*D65,0)</f>
        <v>16071</v>
      </c>
    </row>
    <row r="66" spans="1:7" s="704" customFormat="1" ht="210" x14ac:dyDescent="0.25">
      <c r="A66" s="717">
        <f>+A65+1</f>
        <v>35</v>
      </c>
      <c r="B66" s="718" t="s">
        <v>923</v>
      </c>
      <c r="C66" s="719" t="s">
        <v>925</v>
      </c>
      <c r="D66" s="718">
        <v>16</v>
      </c>
      <c r="E66" s="718" t="s">
        <v>10</v>
      </c>
      <c r="F66" s="720">
        <v>351.54999999999995</v>
      </c>
      <c r="G66" s="721">
        <f>ROUND(F66*D66,0)</f>
        <v>5625</v>
      </c>
    </row>
    <row r="67" spans="1:7" s="704" customFormat="1" ht="210" x14ac:dyDescent="0.25">
      <c r="A67" s="717">
        <f>+A66+1</f>
        <v>36</v>
      </c>
      <c r="B67" s="718" t="s">
        <v>923</v>
      </c>
      <c r="C67" s="719" t="s">
        <v>979</v>
      </c>
      <c r="D67" s="718">
        <v>22.5</v>
      </c>
      <c r="E67" s="718" t="s">
        <v>11</v>
      </c>
      <c r="F67" s="720">
        <v>351.54999999999995</v>
      </c>
      <c r="G67" s="721">
        <f>ROUND(F67*D67,0)</f>
        <v>7910</v>
      </c>
    </row>
    <row r="68" spans="1:7" s="704" customFormat="1" ht="15" customHeight="1" x14ac:dyDescent="0.25">
      <c r="A68" s="722" t="s">
        <v>926</v>
      </c>
      <c r="B68" s="723"/>
      <c r="C68" s="724"/>
      <c r="D68" s="723"/>
      <c r="E68" s="725"/>
      <c r="F68" s="726"/>
      <c r="G68" s="727"/>
    </row>
    <row r="69" spans="1:7" s="704" customFormat="1" ht="240" x14ac:dyDescent="0.25">
      <c r="A69" s="717">
        <f>+A67+1</f>
        <v>37</v>
      </c>
      <c r="B69" s="718" t="s">
        <v>927</v>
      </c>
      <c r="C69" s="719" t="s">
        <v>980</v>
      </c>
      <c r="D69" s="718"/>
      <c r="E69" s="718"/>
      <c r="F69" s="720"/>
      <c r="G69" s="721"/>
    </row>
    <row r="70" spans="1:7" s="704" customFormat="1" x14ac:dyDescent="0.25">
      <c r="A70" s="717" t="s">
        <v>415</v>
      </c>
      <c r="B70" s="718"/>
      <c r="C70" s="719" t="s">
        <v>930</v>
      </c>
      <c r="D70" s="718">
        <v>2500</v>
      </c>
      <c r="E70" s="718" t="s">
        <v>11</v>
      </c>
      <c r="F70" s="720">
        <v>650</v>
      </c>
      <c r="G70" s="721">
        <f t="shared" ref="G70:G79" si="2">ROUND(F70*D70,0)</f>
        <v>1625000</v>
      </c>
    </row>
    <row r="71" spans="1:7" s="704" customFormat="1" ht="240" x14ac:dyDescent="0.25">
      <c r="A71" s="717">
        <f>+A69+1</f>
        <v>38</v>
      </c>
      <c r="B71" s="718" t="s">
        <v>927</v>
      </c>
      <c r="C71" s="719" t="s">
        <v>981</v>
      </c>
      <c r="D71" s="718">
        <v>900</v>
      </c>
      <c r="E71" s="718" t="s">
        <v>10</v>
      </c>
      <c r="F71" s="720">
        <v>700</v>
      </c>
      <c r="G71" s="721">
        <f t="shared" si="2"/>
        <v>630000</v>
      </c>
    </row>
    <row r="72" spans="1:7" s="704" customFormat="1" ht="165" x14ac:dyDescent="0.25">
      <c r="A72" s="717">
        <f t="shared" ref="A72:A79" si="3">+A71+1</f>
        <v>39</v>
      </c>
      <c r="B72" s="718" t="s">
        <v>927</v>
      </c>
      <c r="C72" s="719" t="s">
        <v>982</v>
      </c>
      <c r="D72" s="718">
        <v>75</v>
      </c>
      <c r="E72" s="718" t="s">
        <v>10</v>
      </c>
      <c r="F72" s="720">
        <v>1600</v>
      </c>
      <c r="G72" s="721">
        <f t="shared" si="2"/>
        <v>120000</v>
      </c>
    </row>
    <row r="73" spans="1:7" s="704" customFormat="1" ht="120" x14ac:dyDescent="0.25">
      <c r="A73" s="717">
        <f t="shared" si="3"/>
        <v>40</v>
      </c>
      <c r="B73" s="718" t="s">
        <v>927</v>
      </c>
      <c r="C73" s="719" t="s">
        <v>983</v>
      </c>
      <c r="D73" s="718">
        <v>60</v>
      </c>
      <c r="E73" s="718" t="s">
        <v>10</v>
      </c>
      <c r="F73" s="720">
        <v>1300</v>
      </c>
      <c r="G73" s="721">
        <f t="shared" si="2"/>
        <v>78000</v>
      </c>
    </row>
    <row r="74" spans="1:7" s="704" customFormat="1" ht="105" x14ac:dyDescent="0.25">
      <c r="A74" s="717">
        <f t="shared" si="3"/>
        <v>41</v>
      </c>
      <c r="B74" s="718" t="s">
        <v>927</v>
      </c>
      <c r="C74" s="719" t="s">
        <v>984</v>
      </c>
      <c r="D74" s="718">
        <v>125</v>
      </c>
      <c r="E74" s="718" t="s">
        <v>10</v>
      </c>
      <c r="F74" s="720">
        <v>110</v>
      </c>
      <c r="G74" s="721">
        <f t="shared" si="2"/>
        <v>13750</v>
      </c>
    </row>
    <row r="75" spans="1:7" s="704" customFormat="1" ht="165" x14ac:dyDescent="0.25">
      <c r="A75" s="717">
        <f t="shared" si="3"/>
        <v>42</v>
      </c>
      <c r="B75" s="718" t="s">
        <v>927</v>
      </c>
      <c r="C75" s="719" t="s">
        <v>985</v>
      </c>
      <c r="D75" s="718">
        <v>2220</v>
      </c>
      <c r="E75" s="718" t="s">
        <v>10</v>
      </c>
      <c r="F75" s="720">
        <v>260</v>
      </c>
      <c r="G75" s="721">
        <f t="shared" si="2"/>
        <v>577200</v>
      </c>
    </row>
    <row r="76" spans="1:7" s="704" customFormat="1" ht="90" x14ac:dyDescent="0.25">
      <c r="A76" s="717">
        <f t="shared" si="3"/>
        <v>43</v>
      </c>
      <c r="B76" s="718" t="s">
        <v>927</v>
      </c>
      <c r="C76" s="719" t="s">
        <v>986</v>
      </c>
      <c r="D76" s="718">
        <v>925</v>
      </c>
      <c r="E76" s="718" t="s">
        <v>287</v>
      </c>
      <c r="F76" s="720">
        <v>50</v>
      </c>
      <c r="G76" s="721">
        <f t="shared" si="2"/>
        <v>46250</v>
      </c>
    </row>
    <row r="77" spans="1:7" s="704" customFormat="1" ht="90" x14ac:dyDescent="0.25">
      <c r="A77" s="717">
        <f t="shared" si="3"/>
        <v>44</v>
      </c>
      <c r="B77" s="718" t="s">
        <v>927</v>
      </c>
      <c r="C77" s="719" t="s">
        <v>987</v>
      </c>
      <c r="D77" s="718">
        <v>4</v>
      </c>
      <c r="E77" s="718" t="s">
        <v>678</v>
      </c>
      <c r="F77" s="720">
        <v>2000</v>
      </c>
      <c r="G77" s="721">
        <f t="shared" si="2"/>
        <v>8000</v>
      </c>
    </row>
    <row r="78" spans="1:7" s="704" customFormat="1" ht="135" x14ac:dyDescent="0.25">
      <c r="A78" s="717">
        <f t="shared" si="3"/>
        <v>45</v>
      </c>
      <c r="B78" s="718" t="s">
        <v>927</v>
      </c>
      <c r="C78" s="719" t="s">
        <v>988</v>
      </c>
      <c r="D78" s="718">
        <v>19</v>
      </c>
      <c r="E78" s="718" t="s">
        <v>10</v>
      </c>
      <c r="F78" s="720">
        <v>1200</v>
      </c>
      <c r="G78" s="721">
        <f t="shared" si="2"/>
        <v>22800</v>
      </c>
    </row>
    <row r="79" spans="1:7" s="704" customFormat="1" ht="120" x14ac:dyDescent="0.25">
      <c r="A79" s="717">
        <f t="shared" si="3"/>
        <v>46</v>
      </c>
      <c r="B79" s="718" t="s">
        <v>927</v>
      </c>
      <c r="C79" s="719" t="s">
        <v>989</v>
      </c>
      <c r="D79" s="718">
        <v>250</v>
      </c>
      <c r="E79" s="718" t="s">
        <v>287</v>
      </c>
      <c r="F79" s="720">
        <v>150</v>
      </c>
      <c r="G79" s="721">
        <f t="shared" si="2"/>
        <v>37500</v>
      </c>
    </row>
    <row r="80" spans="1:7" s="704" customFormat="1" x14ac:dyDescent="0.25">
      <c r="A80" s="728"/>
      <c r="B80" s="729"/>
      <c r="C80" s="730"/>
      <c r="D80" s="729"/>
      <c r="E80" s="729"/>
      <c r="F80" s="731"/>
      <c r="G80" s="732"/>
    </row>
    <row r="81" spans="1:7" s="667" customFormat="1" ht="30" customHeight="1" x14ac:dyDescent="0.25">
      <c r="A81" s="772" t="s">
        <v>809</v>
      </c>
      <c r="B81" s="772"/>
      <c r="C81" s="772"/>
      <c r="D81" s="772"/>
      <c r="E81" s="772"/>
      <c r="F81" s="772"/>
      <c r="G81" s="733">
        <f>SUM(G7:G80)</f>
        <v>10922533</v>
      </c>
    </row>
    <row r="82" spans="1:7" s="738" customFormat="1" x14ac:dyDescent="0.25">
      <c r="A82" s="734"/>
      <c r="B82" s="735"/>
      <c r="C82" s="736"/>
      <c r="D82" s="735"/>
      <c r="E82" s="737"/>
    </row>
  </sheetData>
  <mergeCells count="9">
    <mergeCell ref="A81:F81"/>
    <mergeCell ref="A1:G1"/>
    <mergeCell ref="A3:A4"/>
    <mergeCell ref="B3:B4"/>
    <mergeCell ref="C3:C4"/>
    <mergeCell ref="D3:D4"/>
    <mergeCell ref="E3:E4"/>
    <mergeCell ref="F3:F4"/>
    <mergeCell ref="G3:G4"/>
  </mergeCells>
  <printOptions horizontalCentered="1"/>
  <pageMargins left="0.5" right="0" top="0.5" bottom="0.55000000000000004" header="0.17" footer="0"/>
  <pageSetup paperSize="9" scale="81" fitToHeight="0" orientation="portrait" r:id="rId1"/>
  <headerFooter alignWithMargins="0">
    <oddFooter>&amp;R&amp;8______________________________
&amp;A
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L72"/>
  <sheetViews>
    <sheetView view="pageBreakPreview" zoomScale="85" zoomScaleNormal="75" zoomScaleSheetLayoutView="85" workbookViewId="0">
      <selection activeCell="C5" sqref="C5"/>
    </sheetView>
  </sheetViews>
  <sheetFormatPr defaultRowHeight="14.25" x14ac:dyDescent="0.2"/>
  <cols>
    <col min="1" max="1" width="9.140625" style="693"/>
    <col min="2" max="2" width="57.85546875" style="698" customWidth="1"/>
    <col min="3" max="3" width="14.42578125" style="698" customWidth="1"/>
    <col min="4" max="4" width="10.28515625" style="698" customWidth="1"/>
    <col min="5" max="9" width="17.85546875" style="693" customWidth="1"/>
    <col min="10" max="257" width="9.140625" style="693"/>
    <col min="258" max="258" width="57.85546875" style="693" customWidth="1"/>
    <col min="259" max="259" width="14.42578125" style="693" customWidth="1"/>
    <col min="260" max="260" width="10.28515625" style="693" customWidth="1"/>
    <col min="261" max="265" width="17.85546875" style="693" customWidth="1"/>
    <col min="266" max="513" width="9.140625" style="693"/>
    <col min="514" max="514" width="57.85546875" style="693" customWidth="1"/>
    <col min="515" max="515" width="14.42578125" style="693" customWidth="1"/>
    <col min="516" max="516" width="10.28515625" style="693" customWidth="1"/>
    <col min="517" max="521" width="17.85546875" style="693" customWidth="1"/>
    <col min="522" max="769" width="9.140625" style="693"/>
    <col min="770" max="770" width="57.85546875" style="693" customWidth="1"/>
    <col min="771" max="771" width="14.42578125" style="693" customWidth="1"/>
    <col min="772" max="772" width="10.28515625" style="693" customWidth="1"/>
    <col min="773" max="777" width="17.85546875" style="693" customWidth="1"/>
    <col min="778" max="1025" width="9.140625" style="693"/>
    <col min="1026" max="1026" width="57.85546875" style="693" customWidth="1"/>
    <col min="1027" max="1027" width="14.42578125" style="693" customWidth="1"/>
    <col min="1028" max="1028" width="10.28515625" style="693" customWidth="1"/>
    <col min="1029" max="1033" width="17.85546875" style="693" customWidth="1"/>
    <col min="1034" max="1281" width="9.140625" style="693"/>
    <col min="1282" max="1282" width="57.85546875" style="693" customWidth="1"/>
    <col min="1283" max="1283" width="14.42578125" style="693" customWidth="1"/>
    <col min="1284" max="1284" width="10.28515625" style="693" customWidth="1"/>
    <col min="1285" max="1289" width="17.85546875" style="693" customWidth="1"/>
    <col min="1290" max="1537" width="9.140625" style="693"/>
    <col min="1538" max="1538" width="57.85546875" style="693" customWidth="1"/>
    <col min="1539" max="1539" width="14.42578125" style="693" customWidth="1"/>
    <col min="1540" max="1540" width="10.28515625" style="693" customWidth="1"/>
    <col min="1541" max="1545" width="17.85546875" style="693" customWidth="1"/>
    <col min="1546" max="1793" width="9.140625" style="693"/>
    <col min="1794" max="1794" width="57.85546875" style="693" customWidth="1"/>
    <col min="1795" max="1795" width="14.42578125" style="693" customWidth="1"/>
    <col min="1796" max="1796" width="10.28515625" style="693" customWidth="1"/>
    <col min="1797" max="1801" width="17.85546875" style="693" customWidth="1"/>
    <col min="1802" max="2049" width="9.140625" style="693"/>
    <col min="2050" max="2050" width="57.85546875" style="693" customWidth="1"/>
    <col min="2051" max="2051" width="14.42578125" style="693" customWidth="1"/>
    <col min="2052" max="2052" width="10.28515625" style="693" customWidth="1"/>
    <col min="2053" max="2057" width="17.85546875" style="693" customWidth="1"/>
    <col min="2058" max="2305" width="9.140625" style="693"/>
    <col min="2306" max="2306" width="57.85546875" style="693" customWidth="1"/>
    <col min="2307" max="2307" width="14.42578125" style="693" customWidth="1"/>
    <col min="2308" max="2308" width="10.28515625" style="693" customWidth="1"/>
    <col min="2309" max="2313" width="17.85546875" style="693" customWidth="1"/>
    <col min="2314" max="2561" width="9.140625" style="693"/>
    <col min="2562" max="2562" width="57.85546875" style="693" customWidth="1"/>
    <col min="2563" max="2563" width="14.42578125" style="693" customWidth="1"/>
    <col min="2564" max="2564" width="10.28515625" style="693" customWidth="1"/>
    <col min="2565" max="2569" width="17.85546875" style="693" customWidth="1"/>
    <col min="2570" max="2817" width="9.140625" style="693"/>
    <col min="2818" max="2818" width="57.85546875" style="693" customWidth="1"/>
    <col min="2819" max="2819" width="14.42578125" style="693" customWidth="1"/>
    <col min="2820" max="2820" width="10.28515625" style="693" customWidth="1"/>
    <col min="2821" max="2825" width="17.85546875" style="693" customWidth="1"/>
    <col min="2826" max="3073" width="9.140625" style="693"/>
    <col min="3074" max="3074" width="57.85546875" style="693" customWidth="1"/>
    <col min="3075" max="3075" width="14.42578125" style="693" customWidth="1"/>
    <col min="3076" max="3076" width="10.28515625" style="693" customWidth="1"/>
    <col min="3077" max="3081" width="17.85546875" style="693" customWidth="1"/>
    <col min="3082" max="3329" width="9.140625" style="693"/>
    <col min="3330" max="3330" width="57.85546875" style="693" customWidth="1"/>
    <col min="3331" max="3331" width="14.42578125" style="693" customWidth="1"/>
    <col min="3332" max="3332" width="10.28515625" style="693" customWidth="1"/>
    <col min="3333" max="3337" width="17.85546875" style="693" customWidth="1"/>
    <col min="3338" max="3585" width="9.140625" style="693"/>
    <col min="3586" max="3586" width="57.85546875" style="693" customWidth="1"/>
    <col min="3587" max="3587" width="14.42578125" style="693" customWidth="1"/>
    <col min="3588" max="3588" width="10.28515625" style="693" customWidth="1"/>
    <col min="3589" max="3593" width="17.85546875" style="693" customWidth="1"/>
    <col min="3594" max="3841" width="9.140625" style="693"/>
    <col min="3842" max="3842" width="57.85546875" style="693" customWidth="1"/>
    <col min="3843" max="3843" width="14.42578125" style="693" customWidth="1"/>
    <col min="3844" max="3844" width="10.28515625" style="693" customWidth="1"/>
    <col min="3845" max="3849" width="17.85546875" style="693" customWidth="1"/>
    <col min="3850" max="4097" width="9.140625" style="693"/>
    <col min="4098" max="4098" width="57.85546875" style="693" customWidth="1"/>
    <col min="4099" max="4099" width="14.42578125" style="693" customWidth="1"/>
    <col min="4100" max="4100" width="10.28515625" style="693" customWidth="1"/>
    <col min="4101" max="4105" width="17.85546875" style="693" customWidth="1"/>
    <col min="4106" max="4353" width="9.140625" style="693"/>
    <col min="4354" max="4354" width="57.85546875" style="693" customWidth="1"/>
    <col min="4355" max="4355" width="14.42578125" style="693" customWidth="1"/>
    <col min="4356" max="4356" width="10.28515625" style="693" customWidth="1"/>
    <col min="4357" max="4361" width="17.85546875" style="693" customWidth="1"/>
    <col min="4362" max="4609" width="9.140625" style="693"/>
    <col min="4610" max="4610" width="57.85546875" style="693" customWidth="1"/>
    <col min="4611" max="4611" width="14.42578125" style="693" customWidth="1"/>
    <col min="4612" max="4612" width="10.28515625" style="693" customWidth="1"/>
    <col min="4613" max="4617" width="17.85546875" style="693" customWidth="1"/>
    <col min="4618" max="4865" width="9.140625" style="693"/>
    <col min="4866" max="4866" width="57.85546875" style="693" customWidth="1"/>
    <col min="4867" max="4867" width="14.42578125" style="693" customWidth="1"/>
    <col min="4868" max="4868" width="10.28515625" style="693" customWidth="1"/>
    <col min="4869" max="4873" width="17.85546875" style="693" customWidth="1"/>
    <col min="4874" max="5121" width="9.140625" style="693"/>
    <col min="5122" max="5122" width="57.85546875" style="693" customWidth="1"/>
    <col min="5123" max="5123" width="14.42578125" style="693" customWidth="1"/>
    <col min="5124" max="5124" width="10.28515625" style="693" customWidth="1"/>
    <col min="5125" max="5129" width="17.85546875" style="693" customWidth="1"/>
    <col min="5130" max="5377" width="9.140625" style="693"/>
    <col min="5378" max="5378" width="57.85546875" style="693" customWidth="1"/>
    <col min="5379" max="5379" width="14.42578125" style="693" customWidth="1"/>
    <col min="5380" max="5380" width="10.28515625" style="693" customWidth="1"/>
    <col min="5381" max="5385" width="17.85546875" style="693" customWidth="1"/>
    <col min="5386" max="5633" width="9.140625" style="693"/>
    <col min="5634" max="5634" width="57.85546875" style="693" customWidth="1"/>
    <col min="5635" max="5635" width="14.42578125" style="693" customWidth="1"/>
    <col min="5636" max="5636" width="10.28515625" style="693" customWidth="1"/>
    <col min="5637" max="5641" width="17.85546875" style="693" customWidth="1"/>
    <col min="5642" max="5889" width="9.140625" style="693"/>
    <col min="5890" max="5890" width="57.85546875" style="693" customWidth="1"/>
    <col min="5891" max="5891" width="14.42578125" style="693" customWidth="1"/>
    <col min="5892" max="5892" width="10.28515625" style="693" customWidth="1"/>
    <col min="5893" max="5897" width="17.85546875" style="693" customWidth="1"/>
    <col min="5898" max="6145" width="9.140625" style="693"/>
    <col min="6146" max="6146" width="57.85546875" style="693" customWidth="1"/>
    <col min="6147" max="6147" width="14.42578125" style="693" customWidth="1"/>
    <col min="6148" max="6148" width="10.28515625" style="693" customWidth="1"/>
    <col min="6149" max="6153" width="17.85546875" style="693" customWidth="1"/>
    <col min="6154" max="6401" width="9.140625" style="693"/>
    <col min="6402" max="6402" width="57.85546875" style="693" customWidth="1"/>
    <col min="6403" max="6403" width="14.42578125" style="693" customWidth="1"/>
    <col min="6404" max="6404" width="10.28515625" style="693" customWidth="1"/>
    <col min="6405" max="6409" width="17.85546875" style="693" customWidth="1"/>
    <col min="6410" max="6657" width="9.140625" style="693"/>
    <col min="6658" max="6658" width="57.85546875" style="693" customWidth="1"/>
    <col min="6659" max="6659" width="14.42578125" style="693" customWidth="1"/>
    <col min="6660" max="6660" width="10.28515625" style="693" customWidth="1"/>
    <col min="6661" max="6665" width="17.85546875" style="693" customWidth="1"/>
    <col min="6666" max="6913" width="9.140625" style="693"/>
    <col min="6914" max="6914" width="57.85546875" style="693" customWidth="1"/>
    <col min="6915" max="6915" width="14.42578125" style="693" customWidth="1"/>
    <col min="6916" max="6916" width="10.28515625" style="693" customWidth="1"/>
    <col min="6917" max="6921" width="17.85546875" style="693" customWidth="1"/>
    <col min="6922" max="7169" width="9.140625" style="693"/>
    <col min="7170" max="7170" width="57.85546875" style="693" customWidth="1"/>
    <col min="7171" max="7171" width="14.42578125" style="693" customWidth="1"/>
    <col min="7172" max="7172" width="10.28515625" style="693" customWidth="1"/>
    <col min="7173" max="7177" width="17.85546875" style="693" customWidth="1"/>
    <col min="7178" max="7425" width="9.140625" style="693"/>
    <col min="7426" max="7426" width="57.85546875" style="693" customWidth="1"/>
    <col min="7427" max="7427" width="14.42578125" style="693" customWidth="1"/>
    <col min="7428" max="7428" width="10.28515625" style="693" customWidth="1"/>
    <col min="7429" max="7433" width="17.85546875" style="693" customWidth="1"/>
    <col min="7434" max="7681" width="9.140625" style="693"/>
    <col min="7682" max="7682" width="57.85546875" style="693" customWidth="1"/>
    <col min="7683" max="7683" width="14.42578125" style="693" customWidth="1"/>
    <col min="7684" max="7684" width="10.28515625" style="693" customWidth="1"/>
    <col min="7685" max="7689" width="17.85546875" style="693" customWidth="1"/>
    <col min="7690" max="7937" width="9.140625" style="693"/>
    <col min="7938" max="7938" width="57.85546875" style="693" customWidth="1"/>
    <col min="7939" max="7939" width="14.42578125" style="693" customWidth="1"/>
    <col min="7940" max="7940" width="10.28515625" style="693" customWidth="1"/>
    <col min="7941" max="7945" width="17.85546875" style="693" customWidth="1"/>
    <col min="7946" max="8193" width="9.140625" style="693"/>
    <col min="8194" max="8194" width="57.85546875" style="693" customWidth="1"/>
    <col min="8195" max="8195" width="14.42578125" style="693" customWidth="1"/>
    <col min="8196" max="8196" width="10.28515625" style="693" customWidth="1"/>
    <col min="8197" max="8201" width="17.85546875" style="693" customWidth="1"/>
    <col min="8202" max="8449" width="9.140625" style="693"/>
    <col min="8450" max="8450" width="57.85546875" style="693" customWidth="1"/>
    <col min="8451" max="8451" width="14.42578125" style="693" customWidth="1"/>
    <col min="8452" max="8452" width="10.28515625" style="693" customWidth="1"/>
    <col min="8453" max="8457" width="17.85546875" style="693" customWidth="1"/>
    <col min="8458" max="8705" width="9.140625" style="693"/>
    <col min="8706" max="8706" width="57.85546875" style="693" customWidth="1"/>
    <col min="8707" max="8707" width="14.42578125" style="693" customWidth="1"/>
    <col min="8708" max="8708" width="10.28515625" style="693" customWidth="1"/>
    <col min="8709" max="8713" width="17.85546875" style="693" customWidth="1"/>
    <col min="8714" max="8961" width="9.140625" style="693"/>
    <col min="8962" max="8962" width="57.85546875" style="693" customWidth="1"/>
    <col min="8963" max="8963" width="14.42578125" style="693" customWidth="1"/>
    <col min="8964" max="8964" width="10.28515625" style="693" customWidth="1"/>
    <col min="8965" max="8969" width="17.85546875" style="693" customWidth="1"/>
    <col min="8970" max="9217" width="9.140625" style="693"/>
    <col min="9218" max="9218" width="57.85546875" style="693" customWidth="1"/>
    <col min="9219" max="9219" width="14.42578125" style="693" customWidth="1"/>
    <col min="9220" max="9220" width="10.28515625" style="693" customWidth="1"/>
    <col min="9221" max="9225" width="17.85546875" style="693" customWidth="1"/>
    <col min="9226" max="9473" width="9.140625" style="693"/>
    <col min="9474" max="9474" width="57.85546875" style="693" customWidth="1"/>
    <col min="9475" max="9475" width="14.42578125" style="693" customWidth="1"/>
    <col min="9476" max="9476" width="10.28515625" style="693" customWidth="1"/>
    <col min="9477" max="9481" width="17.85546875" style="693" customWidth="1"/>
    <col min="9482" max="9729" width="9.140625" style="693"/>
    <col min="9730" max="9730" width="57.85546875" style="693" customWidth="1"/>
    <col min="9731" max="9731" width="14.42578125" style="693" customWidth="1"/>
    <col min="9732" max="9732" width="10.28515625" style="693" customWidth="1"/>
    <col min="9733" max="9737" width="17.85546875" style="693" customWidth="1"/>
    <col min="9738" max="9985" width="9.140625" style="693"/>
    <col min="9986" max="9986" width="57.85546875" style="693" customWidth="1"/>
    <col min="9987" max="9987" width="14.42578125" style="693" customWidth="1"/>
    <col min="9988" max="9988" width="10.28515625" style="693" customWidth="1"/>
    <col min="9989" max="9993" width="17.85546875" style="693" customWidth="1"/>
    <col min="9994" max="10241" width="9.140625" style="693"/>
    <col min="10242" max="10242" width="57.85546875" style="693" customWidth="1"/>
    <col min="10243" max="10243" width="14.42578125" style="693" customWidth="1"/>
    <col min="10244" max="10244" width="10.28515625" style="693" customWidth="1"/>
    <col min="10245" max="10249" width="17.85546875" style="693" customWidth="1"/>
    <col min="10250" max="10497" width="9.140625" style="693"/>
    <col min="10498" max="10498" width="57.85546875" style="693" customWidth="1"/>
    <col min="10499" max="10499" width="14.42578125" style="693" customWidth="1"/>
    <col min="10500" max="10500" width="10.28515625" style="693" customWidth="1"/>
    <col min="10501" max="10505" width="17.85546875" style="693" customWidth="1"/>
    <col min="10506" max="10753" width="9.140625" style="693"/>
    <col min="10754" max="10754" width="57.85546875" style="693" customWidth="1"/>
    <col min="10755" max="10755" width="14.42578125" style="693" customWidth="1"/>
    <col min="10756" max="10756" width="10.28515625" style="693" customWidth="1"/>
    <col min="10757" max="10761" width="17.85546875" style="693" customWidth="1"/>
    <col min="10762" max="11009" width="9.140625" style="693"/>
    <col min="11010" max="11010" width="57.85546875" style="693" customWidth="1"/>
    <col min="11011" max="11011" width="14.42578125" style="693" customWidth="1"/>
    <col min="11012" max="11012" width="10.28515625" style="693" customWidth="1"/>
    <col min="11013" max="11017" width="17.85546875" style="693" customWidth="1"/>
    <col min="11018" max="11265" width="9.140625" style="693"/>
    <col min="11266" max="11266" width="57.85546875" style="693" customWidth="1"/>
    <col min="11267" max="11267" width="14.42578125" style="693" customWidth="1"/>
    <col min="11268" max="11268" width="10.28515625" style="693" customWidth="1"/>
    <col min="11269" max="11273" width="17.85546875" style="693" customWidth="1"/>
    <col min="11274" max="11521" width="9.140625" style="693"/>
    <col min="11522" max="11522" width="57.85546875" style="693" customWidth="1"/>
    <col min="11523" max="11523" width="14.42578125" style="693" customWidth="1"/>
    <col min="11524" max="11524" width="10.28515625" style="693" customWidth="1"/>
    <col min="11525" max="11529" width="17.85546875" style="693" customWidth="1"/>
    <col min="11530" max="11777" width="9.140625" style="693"/>
    <col min="11778" max="11778" width="57.85546875" style="693" customWidth="1"/>
    <col min="11779" max="11779" width="14.42578125" style="693" customWidth="1"/>
    <col min="11780" max="11780" width="10.28515625" style="693" customWidth="1"/>
    <col min="11781" max="11785" width="17.85546875" style="693" customWidth="1"/>
    <col min="11786" max="12033" width="9.140625" style="693"/>
    <col min="12034" max="12034" width="57.85546875" style="693" customWidth="1"/>
    <col min="12035" max="12035" width="14.42578125" style="693" customWidth="1"/>
    <col min="12036" max="12036" width="10.28515625" style="693" customWidth="1"/>
    <col min="12037" max="12041" width="17.85546875" style="693" customWidth="1"/>
    <col min="12042" max="12289" width="9.140625" style="693"/>
    <col min="12290" max="12290" width="57.85546875" style="693" customWidth="1"/>
    <col min="12291" max="12291" width="14.42578125" style="693" customWidth="1"/>
    <col min="12292" max="12292" width="10.28515625" style="693" customWidth="1"/>
    <col min="12293" max="12297" width="17.85546875" style="693" customWidth="1"/>
    <col min="12298" max="12545" width="9.140625" style="693"/>
    <col min="12546" max="12546" width="57.85546875" style="693" customWidth="1"/>
    <col min="12547" max="12547" width="14.42578125" style="693" customWidth="1"/>
    <col min="12548" max="12548" width="10.28515625" style="693" customWidth="1"/>
    <col min="12549" max="12553" width="17.85546875" style="693" customWidth="1"/>
    <col min="12554" max="12801" width="9.140625" style="693"/>
    <col min="12802" max="12802" width="57.85546875" style="693" customWidth="1"/>
    <col min="12803" max="12803" width="14.42578125" style="693" customWidth="1"/>
    <col min="12804" max="12804" width="10.28515625" style="693" customWidth="1"/>
    <col min="12805" max="12809" width="17.85546875" style="693" customWidth="1"/>
    <col min="12810" max="13057" width="9.140625" style="693"/>
    <col min="13058" max="13058" width="57.85546875" style="693" customWidth="1"/>
    <col min="13059" max="13059" width="14.42578125" style="693" customWidth="1"/>
    <col min="13060" max="13060" width="10.28515625" style="693" customWidth="1"/>
    <col min="13061" max="13065" width="17.85546875" style="693" customWidth="1"/>
    <col min="13066" max="13313" width="9.140625" style="693"/>
    <col min="13314" max="13314" width="57.85546875" style="693" customWidth="1"/>
    <col min="13315" max="13315" width="14.42578125" style="693" customWidth="1"/>
    <col min="13316" max="13316" width="10.28515625" style="693" customWidth="1"/>
    <col min="13317" max="13321" width="17.85546875" style="693" customWidth="1"/>
    <col min="13322" max="13569" width="9.140625" style="693"/>
    <col min="13570" max="13570" width="57.85546875" style="693" customWidth="1"/>
    <col min="13571" max="13571" width="14.42578125" style="693" customWidth="1"/>
    <col min="13572" max="13572" width="10.28515625" style="693" customWidth="1"/>
    <col min="13573" max="13577" width="17.85546875" style="693" customWidth="1"/>
    <col min="13578" max="13825" width="9.140625" style="693"/>
    <col min="13826" max="13826" width="57.85546875" style="693" customWidth="1"/>
    <col min="13827" max="13827" width="14.42578125" style="693" customWidth="1"/>
    <col min="13828" max="13828" width="10.28515625" style="693" customWidth="1"/>
    <col min="13829" max="13833" width="17.85546875" style="693" customWidth="1"/>
    <col min="13834" max="14081" width="9.140625" style="693"/>
    <col min="14082" max="14082" width="57.85546875" style="693" customWidth="1"/>
    <col min="14083" max="14083" width="14.42578125" style="693" customWidth="1"/>
    <col min="14084" max="14084" width="10.28515625" style="693" customWidth="1"/>
    <col min="14085" max="14089" width="17.85546875" style="693" customWidth="1"/>
    <col min="14090" max="14337" width="9.140625" style="693"/>
    <col min="14338" max="14338" width="57.85546875" style="693" customWidth="1"/>
    <col min="14339" max="14339" width="14.42578125" style="693" customWidth="1"/>
    <col min="14340" max="14340" width="10.28515625" style="693" customWidth="1"/>
    <col min="14341" max="14345" width="17.85546875" style="693" customWidth="1"/>
    <col min="14346" max="14593" width="9.140625" style="693"/>
    <col min="14594" max="14594" width="57.85546875" style="693" customWidth="1"/>
    <col min="14595" max="14595" width="14.42578125" style="693" customWidth="1"/>
    <col min="14596" max="14596" width="10.28515625" style="693" customWidth="1"/>
    <col min="14597" max="14601" width="17.85546875" style="693" customWidth="1"/>
    <col min="14602" max="14849" width="9.140625" style="693"/>
    <col min="14850" max="14850" width="57.85546875" style="693" customWidth="1"/>
    <col min="14851" max="14851" width="14.42578125" style="693" customWidth="1"/>
    <col min="14852" max="14852" width="10.28515625" style="693" customWidth="1"/>
    <col min="14853" max="14857" width="17.85546875" style="693" customWidth="1"/>
    <col min="14858" max="15105" width="9.140625" style="693"/>
    <col min="15106" max="15106" width="57.85546875" style="693" customWidth="1"/>
    <col min="15107" max="15107" width="14.42578125" style="693" customWidth="1"/>
    <col min="15108" max="15108" width="10.28515625" style="693" customWidth="1"/>
    <col min="15109" max="15113" width="17.85546875" style="693" customWidth="1"/>
    <col min="15114" max="15361" width="9.140625" style="693"/>
    <col min="15362" max="15362" width="57.85546875" style="693" customWidth="1"/>
    <col min="15363" max="15363" width="14.42578125" style="693" customWidth="1"/>
    <col min="15364" max="15364" width="10.28515625" style="693" customWidth="1"/>
    <col min="15365" max="15369" width="17.85546875" style="693" customWidth="1"/>
    <col min="15370" max="15617" width="9.140625" style="693"/>
    <col min="15618" max="15618" width="57.85546875" style="693" customWidth="1"/>
    <col min="15619" max="15619" width="14.42578125" style="693" customWidth="1"/>
    <col min="15620" max="15620" width="10.28515625" style="693" customWidth="1"/>
    <col min="15621" max="15625" width="17.85546875" style="693" customWidth="1"/>
    <col min="15626" max="15873" width="9.140625" style="693"/>
    <col min="15874" max="15874" width="57.85546875" style="693" customWidth="1"/>
    <col min="15875" max="15875" width="14.42578125" style="693" customWidth="1"/>
    <col min="15876" max="15876" width="10.28515625" style="693" customWidth="1"/>
    <col min="15877" max="15881" width="17.85546875" style="693" customWidth="1"/>
    <col min="15882" max="16129" width="9.140625" style="693"/>
    <col min="16130" max="16130" width="57.85546875" style="693" customWidth="1"/>
    <col min="16131" max="16131" width="14.42578125" style="693" customWidth="1"/>
    <col min="16132" max="16132" width="10.28515625" style="693" customWidth="1"/>
    <col min="16133" max="16137" width="17.85546875" style="693" customWidth="1"/>
    <col min="16138" max="16384" width="9.140625" style="693"/>
  </cols>
  <sheetData>
    <row r="1" spans="1:9" s="686" customFormat="1" ht="27" x14ac:dyDescent="0.25">
      <c r="A1" s="768" t="s">
        <v>797</v>
      </c>
      <c r="B1" s="768"/>
      <c r="C1" s="768"/>
      <c r="D1" s="768"/>
      <c r="E1" s="768"/>
      <c r="F1" s="768"/>
      <c r="G1" s="768"/>
      <c r="H1" s="768"/>
      <c r="I1" s="768"/>
    </row>
    <row r="2" spans="1:9" s="686" customFormat="1" ht="22.5" x14ac:dyDescent="0.25">
      <c r="A2" s="769" t="str">
        <f>Summary!B9</f>
        <v>AUDOTORIUM (1 Block)</v>
      </c>
      <c r="B2" s="769"/>
      <c r="C2" s="769"/>
      <c r="D2" s="769"/>
      <c r="E2" s="769"/>
      <c r="F2" s="769"/>
      <c r="G2" s="769"/>
      <c r="H2" s="769"/>
      <c r="I2" s="769"/>
    </row>
    <row r="3" spans="1:9" s="686" customFormat="1" ht="15" x14ac:dyDescent="0.25"/>
    <row r="4" spans="1:9" s="686" customFormat="1" ht="45" x14ac:dyDescent="0.25">
      <c r="A4" s="687" t="s">
        <v>798</v>
      </c>
      <c r="B4" s="688" t="s">
        <v>0</v>
      </c>
      <c r="C4" s="688" t="s">
        <v>799</v>
      </c>
      <c r="D4" s="688" t="s">
        <v>2</v>
      </c>
      <c r="E4" s="688" t="s">
        <v>238</v>
      </c>
      <c r="F4" s="687" t="s">
        <v>800</v>
      </c>
      <c r="G4" s="687" t="s">
        <v>801</v>
      </c>
      <c r="H4" s="687" t="s">
        <v>802</v>
      </c>
      <c r="I4" s="687" t="s">
        <v>803</v>
      </c>
    </row>
    <row r="5" spans="1:9" ht="85.5" x14ac:dyDescent="0.2">
      <c r="A5" s="689">
        <f>'BOQ-AUDOTORIUM(Civil)'!A7</f>
        <v>1</v>
      </c>
      <c r="B5" s="690" t="str">
        <f>'BOQ-AUDOTORIUM(Civil)'!C7</f>
        <v>Excavation
(Refer Spec's  Section # 2300)
Excavation in foundation of Building Bridges and other structures including dagbelling dressing,refilling around structure with excavated earth Watering and ramming lead upto 5 ft.</v>
      </c>
      <c r="C5" s="691">
        <f>'BOQ-AUDOTORIUM(Civil)'!D7</f>
        <v>81663</v>
      </c>
      <c r="D5" s="689" t="str">
        <f>'BOQ-AUDOTORIUM(Civil)'!E7</f>
        <v>‰Cft.</v>
      </c>
      <c r="E5" s="692"/>
      <c r="F5" s="692"/>
      <c r="G5" s="692"/>
      <c r="H5" s="692"/>
      <c r="I5" s="692"/>
    </row>
    <row r="6" spans="1:9" ht="99.75" x14ac:dyDescent="0.2">
      <c r="A6" s="689">
        <f>'BOQ-AUDOTORIUM(Civil)'!A8</f>
        <v>2</v>
      </c>
      <c r="B6" s="690" t="str">
        <f>'BOQ-AUDOTORIUM(Civil)'!C8</f>
        <v>Termite Proofing
(Refer Spec's Section # 2360)
Providing Anti-termmite by spraying/ sprinkling/ spreading Neptachlar 0.5% Emulsion as on overall pre-construction treatment in slab type construction under the slab and along attached perches or entrances etc, complete as per directions of Engineer Incharge.</v>
      </c>
      <c r="C6" s="691">
        <f>'BOQ-AUDOTORIUM(Civil)'!D8</f>
        <v>29389</v>
      </c>
      <c r="D6" s="689" t="str">
        <f>'BOQ-AUDOTORIUM(Civil)'!E8</f>
        <v>Sft.</v>
      </c>
      <c r="E6" s="692"/>
      <c r="F6" s="692"/>
      <c r="G6" s="692"/>
      <c r="H6" s="692"/>
      <c r="I6" s="692"/>
    </row>
    <row r="7" spans="1:9" ht="71.25" x14ac:dyDescent="0.2">
      <c r="A7" s="689">
        <f>'BOQ-AUDOTORIUM(Civil)'!A9</f>
        <v>3</v>
      </c>
      <c r="B7" s="690" t="str">
        <f>'BOQ-AUDOTORIUM(Civil)'!C9</f>
        <v>Earth Filling Compaction &amp; layers
(Refer Spec's  Section # 2300)
Earth work compaction (Soft, ordinary or hard soil).
Laying earth in 6" layers levelling % 0Cft.dressing and watering for compactionb etc. complete.</v>
      </c>
      <c r="C7" s="691">
        <f>'BOQ-AUDOTORIUM(Civil)'!D9</f>
        <v>29451</v>
      </c>
      <c r="D7" s="689" t="str">
        <f>'BOQ-AUDOTORIUM(Civil)'!E9</f>
        <v>‰Cft.</v>
      </c>
      <c r="E7" s="692"/>
      <c r="F7" s="692"/>
      <c r="G7" s="692"/>
      <c r="H7" s="692"/>
      <c r="I7" s="692"/>
    </row>
    <row r="8" spans="1:9" ht="71.25" x14ac:dyDescent="0.2">
      <c r="A8" s="689">
        <f>'BOQ-AUDOTORIUM(Civil)'!A10</f>
        <v>4</v>
      </c>
      <c r="B8" s="690" t="str">
        <f>'BOQ-AUDOTORIUM(Civil)'!C10</f>
        <v>Earth Filling Brough from out Side
(Refer Spec's  Section # 2300)
Filling,watering and ramming earth under floor with new earth (Excavated from outside) lead upto one chain and lift upto 5 feet.</v>
      </c>
      <c r="C8" s="691">
        <f>'BOQ-AUDOTORIUM(Civil)'!D10</f>
        <v>500</v>
      </c>
      <c r="D8" s="689" t="str">
        <f>'BOQ-AUDOTORIUM(Civil)'!E10</f>
        <v>‰Cft.</v>
      </c>
      <c r="E8" s="692"/>
      <c r="F8" s="692"/>
      <c r="G8" s="692"/>
      <c r="H8" s="692"/>
      <c r="I8" s="692"/>
    </row>
    <row r="9" spans="1:9" ht="57" x14ac:dyDescent="0.2">
      <c r="A9" s="689">
        <f>'BOQ-AUDOTORIUM(Civil)'!A11</f>
        <v>5</v>
      </c>
      <c r="B9" s="690" t="str">
        <f>'BOQ-AUDOTORIUM(Civil)'!C11</f>
        <v>Stone Soling
(Refer Spec's  Section # 2505)
Stone filling dry hand packed as filling behind retaining walls or in pitching and aprons.</v>
      </c>
      <c r="C9" s="691">
        <f>'BOQ-AUDOTORIUM(Civil)'!D11</f>
        <v>14705</v>
      </c>
      <c r="D9" s="689" t="str">
        <f>'BOQ-AUDOTORIUM(Civil)'!E11</f>
        <v>%Cft.</v>
      </c>
      <c r="E9" s="692"/>
      <c r="F9" s="692"/>
      <c r="G9" s="692">
        <f>ROUND(C9*1.2,2)</f>
        <v>17646</v>
      </c>
      <c r="H9" s="692"/>
      <c r="I9" s="692"/>
    </row>
    <row r="10" spans="1:9" ht="114" x14ac:dyDescent="0.2">
      <c r="A10" s="689">
        <f>'BOQ-AUDOTORIUM(Civil)'!A12</f>
        <v>6</v>
      </c>
      <c r="B10" s="690" t="str">
        <f>'BOQ-AUDOTORIUM(Civil)'!C12</f>
        <v>1:4:8 in Foundation
(Refer Specs. Section # 3300)
Providing and laying lean concrete having 1450 PSI cylindrical strength (ready mixed concrete) including
placing compacting finishing, curing complete, screening and washing of crushed stone aggregate excluding the cost of shuttering.
Ratio. 1: 4 :8</v>
      </c>
      <c r="C10" s="691">
        <f>'BOQ-AUDOTORIUM(Civil)'!D12</f>
        <v>10530</v>
      </c>
      <c r="D10" s="689" t="str">
        <f>'BOQ-AUDOTORIUM(Civil)'!E12</f>
        <v>%Cft.</v>
      </c>
      <c r="E10" s="692">
        <f>ROUND(((C10*1.54)/13)/1.25,2)</f>
        <v>997.92</v>
      </c>
      <c r="F10" s="692"/>
      <c r="G10" s="692"/>
      <c r="H10" s="692">
        <f>ROUND(E10*1.25*4,2)</f>
        <v>4989.6000000000004</v>
      </c>
      <c r="I10" s="692">
        <f>ROUND(E10*1.25*8,2)</f>
        <v>9979.2000000000007</v>
      </c>
    </row>
    <row r="11" spans="1:9" ht="114" x14ac:dyDescent="0.2">
      <c r="A11" s="689">
        <f>'BOQ-AUDOTORIUM(Civil)'!A13</f>
        <v>7</v>
      </c>
      <c r="B11" s="690" t="str">
        <f>'BOQ-AUDOTORIUM(Civil)'!C13</f>
        <v>1:3:6 Cast - in - Situ
(Refer Specs. Section # 3300)
Providing and laying lean concrete having 2250 PSI cylindrical strength (ready mixed concrete) including
placing compacting finishing, curing complete, screening and washing of crushed stone aggregate excluding the cost of shuttering.
Ratio. 1:3 :6</v>
      </c>
      <c r="C11" s="691">
        <f>'BOQ-AUDOTORIUM(Civil)'!D13</f>
        <v>4031</v>
      </c>
      <c r="D11" s="689" t="str">
        <f>'BOQ-AUDOTORIUM(Civil)'!E13</f>
        <v>%Cft.</v>
      </c>
      <c r="E11" s="692">
        <f>ROUND(((C11*1.54)/10)/1.25,2)</f>
        <v>496.62</v>
      </c>
      <c r="F11" s="692"/>
      <c r="G11" s="692"/>
      <c r="H11" s="692">
        <f>ROUND(E11*1.25*3,2)</f>
        <v>1862.33</v>
      </c>
      <c r="I11" s="692">
        <f>ROUND(E11*1.25*6,2)</f>
        <v>3724.65</v>
      </c>
    </row>
    <row r="12" spans="1:9" ht="28.5" x14ac:dyDescent="0.2">
      <c r="A12" s="689">
        <f>'BOQ-AUDOTORIUM(Civil)'!A14</f>
        <v>8</v>
      </c>
      <c r="B12" s="690" t="str">
        <f>'BOQ-AUDOTORIUM(Civil)'!C14</f>
        <v>Erection and removal of centering for R.C.C or plain cement concrete works of Deodar wood (2nd-Class)</v>
      </c>
      <c r="C12" s="691">
        <f>'BOQ-AUDOTORIUM(Civil)'!D14</f>
        <v>500</v>
      </c>
      <c r="D12" s="689" t="str">
        <f>'BOQ-AUDOTORIUM(Civil)'!E14</f>
        <v>%Sft.</v>
      </c>
      <c r="E12" s="692"/>
      <c r="F12" s="692"/>
      <c r="G12" s="692"/>
      <c r="H12" s="692"/>
      <c r="I12" s="692"/>
    </row>
    <row r="13" spans="1:9" ht="99.75" x14ac:dyDescent="0.2">
      <c r="A13" s="689">
        <f>'BOQ-AUDOTORIUM(Civil)'!A15</f>
        <v>9</v>
      </c>
      <c r="B13" s="690" t="str">
        <f>'BOQ-AUDOTORIUM(Civil)'!C15</f>
        <v xml:space="preserve">Reinforced Cement Concrete  (f'c 4.0 ksi, Cylindrical  Strength) 
Providing and laying reinforced cement concrete having 4000 PSI cylindrical strength (ready mixed concrete) including all kinds of fromwork, hoisting, placing, placing compacting, finishing, curing complete in all repect as shown on the </v>
      </c>
      <c r="C13" s="691">
        <f>'BOQ-AUDOTORIUM(Civil)'!D15</f>
        <v>133325</v>
      </c>
      <c r="D13" s="689" t="str">
        <f>'BOQ-AUDOTORIUM(Civil)'!E15</f>
        <v>%Cft.</v>
      </c>
      <c r="E13" s="692">
        <f>ROUND(((C13*1.54)/5.5)/1.25,2)</f>
        <v>29864.799999999999</v>
      </c>
      <c r="F13" s="692"/>
      <c r="G13" s="692"/>
      <c r="H13" s="692">
        <f>ROUND(E13*1.25*1.5,2)</f>
        <v>55996.5</v>
      </c>
      <c r="I13" s="692">
        <f>ROUND(E13*1.25*3,2)</f>
        <v>111993</v>
      </c>
    </row>
    <row r="14" spans="1:9" ht="99.75" x14ac:dyDescent="0.2">
      <c r="A14" s="689">
        <f>'BOQ-AUDOTORIUM(Civil)'!A16</f>
        <v>10</v>
      </c>
      <c r="B14" s="690" t="str">
        <f>'BOQ-AUDOTORIUM(Civil)'!C16</f>
        <v xml:space="preserve">Reinforced Cement Concrete  (f'c 3.0 ksi, Cylindrical  Strength) 
Providing and laying reinforced cement concrete having 3000 PSI cylindrical strength (ready mixed concrete) including all kinds of fromwork, hoisting, placing, placing compacting, finishing, curing complete in all repect as shown on the </v>
      </c>
      <c r="C14" s="691">
        <f>'BOQ-AUDOTORIUM(Civil)'!D16</f>
        <v>329</v>
      </c>
      <c r="D14" s="689" t="str">
        <f>'BOQ-AUDOTORIUM(Civil)'!E16</f>
        <v>%Cft.</v>
      </c>
      <c r="E14" s="692">
        <f>ROUND(((C14*1.54)/7)/1.25,2)</f>
        <v>57.9</v>
      </c>
      <c r="F14" s="692"/>
      <c r="G14" s="692"/>
      <c r="H14" s="692">
        <f>ROUND(E14*1.25*2,2)</f>
        <v>144.75</v>
      </c>
      <c r="I14" s="692">
        <f>ROUND(E14*1.25*4,2)</f>
        <v>289.5</v>
      </c>
    </row>
    <row r="15" spans="1:9" ht="85.5" x14ac:dyDescent="0.2">
      <c r="A15" s="689">
        <f>'BOQ-AUDOTORIUM(Civil)'!A17</f>
        <v>11</v>
      </c>
      <c r="B15" s="690" t="str">
        <f>'BOQ-AUDOTORIUM(Civil)'!C17</f>
        <v>Reinforcement Bars
(Refer Specs. Section # 3300)
Fabrication of steel (defromed Bar) reinforcement for cement concrete including cutting,bending,laying in position, making joints and fastenings including cost of binding wire (also includes removeal of rast of bars.</v>
      </c>
      <c r="C15" s="691">
        <f>'BOQ-AUDOTORIUM(Civil)'!D17</f>
        <v>294.12</v>
      </c>
      <c r="D15" s="689" t="str">
        <f>'BOQ-AUDOTORIUM(Civil)'!E17</f>
        <v>Ton.</v>
      </c>
      <c r="E15" s="692"/>
      <c r="F15" s="692">
        <f>C15</f>
        <v>294.12</v>
      </c>
      <c r="G15" s="692"/>
      <c r="H15" s="692"/>
      <c r="I15" s="692"/>
    </row>
    <row r="16" spans="1:9" ht="85.5" x14ac:dyDescent="0.2">
      <c r="A16" s="689">
        <f>'BOQ-AUDOTORIUM(Civil)'!A18</f>
        <v>12</v>
      </c>
      <c r="B16" s="690" t="str">
        <f>'BOQ-AUDOTORIUM(Civil)'!C18</f>
        <v>Block Masonry
(Refer Spec's Section # 4050 &amp; 4200)
Providing and laying 1 :3 : 6 cement concrete solid block masorany wall above 6" in thickness set in 1 :6 cement sand mortar in ground floor superstructure including raking out joints and curing etc. complete.</v>
      </c>
      <c r="C16" s="691">
        <f>'BOQ-AUDOTORIUM(Civil)'!D18</f>
        <v>14365</v>
      </c>
      <c r="D16" s="689" t="str">
        <f>'BOQ-AUDOTORIUM(Civil)'!E18</f>
        <v>%Cft.</v>
      </c>
      <c r="E16" s="692">
        <f>ROUND(((C16*1.54)/10)/1.25,2)</f>
        <v>1769.77</v>
      </c>
      <c r="F16" s="692"/>
      <c r="G16" s="692"/>
      <c r="H16" s="692">
        <f>ROUND(E16*1.25*3,2)</f>
        <v>6636.64</v>
      </c>
      <c r="I16" s="692">
        <f>ROUND(E16*1.25*6,2)</f>
        <v>13273.28</v>
      </c>
    </row>
    <row r="17" spans="1:9" ht="71.25" x14ac:dyDescent="0.2">
      <c r="A17" s="689">
        <f>'BOQ-AUDOTORIUM(Civil)'!A19</f>
        <v>13</v>
      </c>
      <c r="B17" s="690" t="str">
        <f>'BOQ-AUDOTORIUM(Civil)'!C19</f>
        <v>Cement Concrete Plateform (Refer Specs. Section # 3300)
Providing and laying 1 :3 : 6 Cement concrete solid Block masorany wall above 6" in thickness set. In 1 : 6 cement mortar in G.F ground floor superstructure including raking out joints &amp; curing etc,</v>
      </c>
      <c r="C17" s="691">
        <f>'BOQ-AUDOTORIUM(Civil)'!D19</f>
        <v>7431</v>
      </c>
      <c r="D17" s="689" t="str">
        <f>'BOQ-AUDOTORIUM(Civil)'!E19</f>
        <v>%Cft.</v>
      </c>
      <c r="E17" s="692">
        <f>ROUND(((C17*1.54)/10)/1.25,2)</f>
        <v>915.5</v>
      </c>
      <c r="F17" s="692"/>
      <c r="G17" s="692"/>
      <c r="H17" s="692">
        <f>ROUND(E17*1.25*3,2)</f>
        <v>3433.13</v>
      </c>
      <c r="I17" s="692">
        <f>ROUND(E17*1.25*6,2)</f>
        <v>6866.25</v>
      </c>
    </row>
    <row r="18" spans="1:9" ht="99.75" x14ac:dyDescent="0.2">
      <c r="A18" s="689">
        <f>'BOQ-AUDOTORIUM(Civil)'!A20</f>
        <v>14</v>
      </c>
      <c r="B18" s="690" t="str">
        <f>'BOQ-AUDOTORIUM(Civil)'!C20</f>
        <v>Structural Steel Work
(Refer Spec's Section # 5120 &amp; 5500)
Fabrication of heavy steel work with angles, tees, flat iron, round iron and sheet iron for making trusses, girders, tands etc. including cutting, tanks etc. including cutting, drilling rivetting, handling assembling  and fixing but excluding erection in position. For Photo Volatile Solar System</v>
      </c>
      <c r="C18" s="691">
        <f>'BOQ-AUDOTORIUM(Civil)'!D20</f>
        <v>149</v>
      </c>
      <c r="D18" s="689" t="str">
        <f>'BOQ-AUDOTORIUM(Civil)'!E20</f>
        <v>Ton.</v>
      </c>
      <c r="E18" s="692"/>
      <c r="F18" s="692">
        <f>C18</f>
        <v>149</v>
      </c>
      <c r="G18" s="692"/>
      <c r="H18" s="692"/>
      <c r="I18" s="692"/>
    </row>
    <row r="19" spans="1:9" ht="28.5" x14ac:dyDescent="0.2">
      <c r="A19" s="689">
        <f>'BOQ-AUDOTORIUM(Civil)'!A21</f>
        <v>15</v>
      </c>
      <c r="B19" s="690" t="str">
        <f>'BOQ-AUDOTORIUM(Civil)'!C21</f>
        <v>Erection and fitting in position of iron trusses staging of water tanks etc.</v>
      </c>
      <c r="C19" s="691">
        <f>'BOQ-AUDOTORIUM(Civil)'!D21</f>
        <v>149</v>
      </c>
      <c r="D19" s="689" t="str">
        <f>'BOQ-AUDOTORIUM(Civil)'!E21</f>
        <v>Ton.</v>
      </c>
      <c r="E19" s="692"/>
      <c r="F19" s="692"/>
      <c r="G19" s="692"/>
      <c r="H19" s="692"/>
      <c r="I19" s="692"/>
    </row>
    <row r="20" spans="1:9" ht="42.75" x14ac:dyDescent="0.2">
      <c r="A20" s="689">
        <f>'BOQ-AUDOTORIUM(Civil)'!A22</f>
        <v>16</v>
      </c>
      <c r="B20" s="690" t="str">
        <f>'BOQ-AUDOTORIUM(Civil)'!C22</f>
        <v>Preparing surface and painting gaurd bars gates, iron bars gratting, railings (including Priming Coat with two coat of Plastic Emulsion / anticorrosive paint)</v>
      </c>
      <c r="C20" s="691">
        <f>'BOQ-AUDOTORIUM(Civil)'!D22</f>
        <v>29800</v>
      </c>
      <c r="D20" s="689" t="str">
        <f>'BOQ-AUDOTORIUM(Civil)'!E22</f>
        <v>%Sft.</v>
      </c>
      <c r="E20" s="692"/>
      <c r="F20" s="692"/>
      <c r="G20" s="692"/>
      <c r="H20" s="692"/>
      <c r="I20" s="692"/>
    </row>
    <row r="21" spans="1:9" ht="28.5" x14ac:dyDescent="0.2">
      <c r="A21" s="689">
        <f>'BOQ-AUDOTORIUM(Civil)'!A23</f>
        <v>17</v>
      </c>
      <c r="B21" s="690" t="str">
        <f>'BOQ-AUDOTORIUM(Civil)'!C23</f>
        <v>Providing &amp; fixing Louver gate complete n all respect or as per design approved by Engineer in charge.</v>
      </c>
      <c r="C21" s="691">
        <f>'BOQ-AUDOTORIUM(Civil)'!D23</f>
        <v>210</v>
      </c>
      <c r="D21" s="689" t="str">
        <f>'BOQ-AUDOTORIUM(Civil)'!E23</f>
        <v>Kg.</v>
      </c>
      <c r="E21" s="692"/>
      <c r="F21" s="692"/>
      <c r="G21" s="692"/>
      <c r="H21" s="692"/>
      <c r="I21" s="692"/>
    </row>
    <row r="22" spans="1:9" ht="28.5" x14ac:dyDescent="0.2">
      <c r="A22" s="689">
        <f>'BOQ-AUDOTORIUM(Civil)'!A24</f>
        <v>18</v>
      </c>
      <c r="B22" s="690" t="str">
        <f>'BOQ-AUDOTORIUM(Civil)'!C24</f>
        <v>Providing &amp; fixing Louver ventilator complete in all respect or as per design approved by Engineer in charge.</v>
      </c>
      <c r="C22" s="691">
        <f>'BOQ-AUDOTORIUM(Civil)'!D24</f>
        <v>160</v>
      </c>
      <c r="D22" s="689" t="str">
        <f>'BOQ-AUDOTORIUM(Civil)'!E24</f>
        <v>Kg.</v>
      </c>
      <c r="E22" s="692"/>
      <c r="F22" s="692"/>
      <c r="G22" s="692"/>
      <c r="H22" s="692"/>
      <c r="I22" s="692"/>
    </row>
    <row r="23" spans="1:9" ht="85.5" x14ac:dyDescent="0.2">
      <c r="A23" s="689">
        <f>'BOQ-AUDOTORIUM(Civil)'!A25</f>
        <v>19</v>
      </c>
      <c r="B23" s="690" t="str">
        <f>'BOQ-AUDOTORIUM(Civil)'!C25</f>
        <v>Damp Proof Course (Bitumen Coating). (Refer Spec's Section # 7100)
Providing and applying 1/8" thick damp proof course using  AHS  hycarb  bitumen  (60  lbs/100  Sft)  on  top  of interior  and  exterior  Plinth  beams,  complete  as  per drawing and as directed by the Consultants.</v>
      </c>
      <c r="C23" s="691">
        <f>'BOQ-AUDOTORIUM(Civil)'!D25</f>
        <v>2072</v>
      </c>
      <c r="D23" s="689" t="str">
        <f>'BOQ-AUDOTORIUM(Civil)'!E25</f>
        <v>%Sft.</v>
      </c>
      <c r="E23" s="692"/>
      <c r="F23" s="692"/>
      <c r="G23" s="692"/>
      <c r="H23" s="692"/>
      <c r="I23" s="692"/>
    </row>
    <row r="24" spans="1:9" ht="42.75" x14ac:dyDescent="0.2">
      <c r="A24" s="689">
        <f>'BOQ-AUDOTORIUM(Civil)'!A26</f>
        <v>20</v>
      </c>
      <c r="B24" s="690" t="str">
        <f>'BOQ-AUDOTORIUM(Civil)'!C26</f>
        <v>Bitumen Coating
(Refer Spec's Section # 7100)
Bitumen coating to plastered or cement concrete surface.</v>
      </c>
      <c r="C24" s="691">
        <f>'BOQ-AUDOTORIUM(Civil)'!D26</f>
        <v>90609</v>
      </c>
      <c r="D24" s="689" t="str">
        <f>'BOQ-AUDOTORIUM(Civil)'!E26</f>
        <v>%Sft.</v>
      </c>
      <c r="E24" s="692"/>
      <c r="F24" s="692"/>
      <c r="G24" s="692"/>
      <c r="H24" s="692"/>
      <c r="I24" s="692"/>
    </row>
    <row r="25" spans="1:9" ht="114" x14ac:dyDescent="0.2">
      <c r="A25" s="689">
        <f>'BOQ-AUDOTORIUM(Civil)'!A27</f>
        <v>21</v>
      </c>
      <c r="B25" s="690" t="str">
        <f>'BOQ-AUDOTORIUM(Civil)'!C27</f>
        <v>Metal Door Frames
(Refer Spec's Section # 8100)
Provinding and fixing G.I frames/Choukhats of size 8" x 2" or 4 1/2" x 3" for windows using 20 guage G.I sheet I/c welded hinges and fixing at site with necessary hold fasts, filling with cement sand slurry of ratio 1:6 and repairing the jambs. The cost also i/c all carriage, tools and plants used in making and fixing.</v>
      </c>
      <c r="C25" s="691"/>
      <c r="D25" s="689"/>
      <c r="E25" s="692"/>
      <c r="F25" s="692"/>
      <c r="G25" s="692"/>
      <c r="H25" s="692"/>
      <c r="I25" s="692"/>
    </row>
    <row r="26" spans="1:9" x14ac:dyDescent="0.2">
      <c r="A26" s="689" t="str">
        <f>'BOQ-AUDOTORIUM(Civil)'!A28</f>
        <v>i</v>
      </c>
      <c r="B26" s="690" t="str">
        <f>'BOQ-AUDOTORIUM(Civil)'!C28</f>
        <v>Size: 8" x 2"</v>
      </c>
      <c r="C26" s="691">
        <f>'BOQ-AUDOTORIUM(Civil)'!D28</f>
        <v>584</v>
      </c>
      <c r="D26" s="689" t="str">
        <f>'BOQ-AUDOTORIUM(Civil)'!E28</f>
        <v>Rft.</v>
      </c>
      <c r="E26" s="692"/>
      <c r="F26" s="692"/>
      <c r="G26" s="692"/>
      <c r="H26" s="692"/>
      <c r="I26" s="692"/>
    </row>
    <row r="27" spans="1:9" ht="128.25" x14ac:dyDescent="0.2">
      <c r="A27" s="689">
        <f>'BOQ-AUDOTORIUM(Civil)'!A29</f>
        <v>22</v>
      </c>
      <c r="B27" s="690" t="str">
        <f>'BOQ-AUDOTORIUM(Civil)'!C29</f>
        <v>Solid Core Door
(Refer Spec's Section # 8200)
Providing and fixing in position doors, windows and ventilators of 1st. Class deodar wood frames and 1-1/2" thick Teak wood ply shutters of 2nd class deodar wood skeleton (solid) styles and rails core of partal wood and Teak ply wood  (3-ply) on both sides i/c hold fasts, hinges, iron tower bolts, handles and cleats with cord etc. complete.</v>
      </c>
      <c r="C27" s="691">
        <f>'BOQ-AUDOTORIUM(Civil)'!D29</f>
        <v>1690</v>
      </c>
      <c r="D27" s="689" t="str">
        <f>'BOQ-AUDOTORIUM(Civil)'!E29</f>
        <v>Sft.</v>
      </c>
      <c r="E27" s="692"/>
      <c r="F27" s="692"/>
      <c r="G27" s="692"/>
      <c r="H27" s="692"/>
      <c r="I27" s="692"/>
    </row>
    <row r="28" spans="1:9" ht="128.25" x14ac:dyDescent="0.2">
      <c r="A28" s="689">
        <f>'BOQ-AUDOTORIUM(Civil)'!A30</f>
        <v>23</v>
      </c>
      <c r="B28" s="690" t="str">
        <f>'BOQ-AUDOTORIUM(Civil)'!C30</f>
        <v>Aluminum Windows / Ventilators (Refer Spec's Section # 8520)
Providing  and  fixing  aluminum  glazed  windows and ventilators using natural anodized aluminum (openable/fixed)  with  fly  proof  shutters  section as  approved  by  the  Architects  including  6mm thick   clear   glass   with   all   necessary   fixing arrangents      including      approved      quality hardwares,  handles,  latches  etc.  Complete  as per drawing and as directed by Consultants.</v>
      </c>
      <c r="C28" s="691">
        <f>'BOQ-AUDOTORIUM(Civil)'!D30</f>
        <v>4206</v>
      </c>
      <c r="D28" s="689" t="str">
        <f>'BOQ-AUDOTORIUM(Civil)'!E30</f>
        <v>Sft.</v>
      </c>
      <c r="E28" s="692"/>
      <c r="F28" s="692"/>
      <c r="G28" s="692"/>
      <c r="H28" s="692"/>
      <c r="I28" s="692"/>
    </row>
    <row r="29" spans="1:9" ht="71.25" x14ac:dyDescent="0.2">
      <c r="A29" s="689">
        <f>'BOQ-AUDOTORIUM(Civil)'!A31</f>
        <v>24</v>
      </c>
      <c r="B29" s="690" t="str">
        <f>'BOQ-AUDOTORIUM(Civil)'!C31</f>
        <v>Aluminum Doors
Providing  and  fixing inposition aluminum  channels framing for hinged doors or alcop made with 5mm thick tinted glass glazing (Belgium) and alpha (Japan) locks i.c handles , stopers etc. Deluxe model (Bronze)</v>
      </c>
      <c r="C29" s="691">
        <f>'BOQ-AUDOTORIUM(Civil)'!D31</f>
        <v>204</v>
      </c>
      <c r="D29" s="689" t="str">
        <f>'BOQ-AUDOTORIUM(Civil)'!E31</f>
        <v>Sft.</v>
      </c>
      <c r="E29" s="692"/>
      <c r="F29" s="692"/>
      <c r="G29" s="692"/>
      <c r="H29" s="692"/>
      <c r="I29" s="692"/>
    </row>
    <row r="30" spans="1:9" ht="57" x14ac:dyDescent="0.2">
      <c r="A30" s="689">
        <f>'BOQ-AUDOTORIUM(Civil)'!A32</f>
        <v>25</v>
      </c>
      <c r="B30" s="690" t="str">
        <f>'BOQ-AUDOTORIUM(Civil)'!C32</f>
        <v>Providing and fixing with sunk iron screws Wooden Architrave approved design/shape having width not less than 2-1/2 inchesas
directed by Engineer Incharge.</v>
      </c>
      <c r="C30" s="691">
        <f>'BOQ-AUDOTORIUM(Civil)'!D32</f>
        <v>1168</v>
      </c>
      <c r="D30" s="689" t="str">
        <f>'BOQ-AUDOTORIUM(Civil)'!E32</f>
        <v>Rft.</v>
      </c>
      <c r="E30" s="692"/>
      <c r="F30" s="692"/>
      <c r="G30" s="692"/>
      <c r="H30" s="692"/>
      <c r="I30" s="692"/>
    </row>
    <row r="31" spans="1:9" x14ac:dyDescent="0.2">
      <c r="A31" s="689">
        <f>'BOQ-AUDOTORIUM(Civil)'!A33</f>
        <v>26</v>
      </c>
      <c r="B31" s="690" t="str">
        <f>'BOQ-AUDOTORIUM(Civil)'!C33</f>
        <v>French polishing complete.</v>
      </c>
      <c r="C31" s="691">
        <f>'BOQ-AUDOTORIUM(Civil)'!D33</f>
        <v>3380</v>
      </c>
      <c r="D31" s="689" t="str">
        <f>'BOQ-AUDOTORIUM(Civil)'!E33</f>
        <v>%Sft.</v>
      </c>
      <c r="E31" s="692"/>
      <c r="F31" s="692"/>
      <c r="G31" s="692"/>
      <c r="H31" s="692"/>
      <c r="I31" s="692"/>
    </row>
    <row r="32" spans="1:9" ht="28.5" x14ac:dyDescent="0.2">
      <c r="A32" s="689">
        <f>'BOQ-AUDOTORIUM(Civil)'!A34</f>
        <v>27</v>
      </c>
      <c r="B32" s="690" t="str">
        <f>'BOQ-AUDOTORIUM(Civil)'!C34</f>
        <v>Providing and fixing Aluminum sheet on doors pasted with glue as per requirement</v>
      </c>
      <c r="C32" s="691">
        <f>'BOQ-AUDOTORIUM(Civil)'!D34</f>
        <v>4064</v>
      </c>
      <c r="D32" s="689" t="str">
        <f>'BOQ-AUDOTORIUM(Civil)'!E34</f>
        <v>Sft.</v>
      </c>
      <c r="E32" s="692"/>
      <c r="F32" s="692"/>
      <c r="G32" s="692"/>
      <c r="H32" s="692"/>
      <c r="I32" s="692"/>
    </row>
    <row r="33" spans="1:12" ht="42.75" x14ac:dyDescent="0.2">
      <c r="A33" s="689">
        <f>'BOQ-AUDOTORIUM(Civil)'!A35</f>
        <v>28</v>
      </c>
      <c r="B33" s="690" t="str">
        <f>'BOQ-AUDOTORIUM(Civil)'!C35</f>
        <v>Internal Plaster
(Refer Specs. Section #. 9200)
Cement Plaster 1:5 upto 12' height.</v>
      </c>
      <c r="C33" s="691"/>
      <c r="D33" s="689"/>
      <c r="E33" s="692"/>
      <c r="F33" s="692"/>
      <c r="G33" s="692"/>
      <c r="H33" s="692"/>
      <c r="I33" s="692"/>
    </row>
    <row r="34" spans="1:12" x14ac:dyDescent="0.2">
      <c r="A34" s="689" t="str">
        <f>'BOQ-AUDOTORIUM(Civil)'!A36</f>
        <v>i</v>
      </c>
      <c r="B34" s="690" t="str">
        <f>'BOQ-AUDOTORIUM(Civil)'!C36</f>
        <v>1/2" thick.</v>
      </c>
      <c r="C34" s="691">
        <f>'BOQ-AUDOTORIUM(Civil)'!D36</f>
        <v>63178</v>
      </c>
      <c r="D34" s="689" t="str">
        <f>'BOQ-AUDOTORIUM(Civil)'!E36</f>
        <v>%Sft.</v>
      </c>
      <c r="E34" s="692">
        <f>ROUND(C34*(1/2/12)*1.54/6/1.25,2)</f>
        <v>540.52</v>
      </c>
      <c r="F34" s="692"/>
      <c r="G34" s="692"/>
      <c r="H34" s="692">
        <f>ROUND(E34*1.25*5,2)</f>
        <v>3378.25</v>
      </c>
      <c r="I34" s="692"/>
    </row>
    <row r="35" spans="1:12" ht="28.5" x14ac:dyDescent="0.2">
      <c r="A35" s="689">
        <f>'BOQ-AUDOTORIUM(Civil)'!A37</f>
        <v>29</v>
      </c>
      <c r="B35" s="690" t="str">
        <f>'BOQ-AUDOTORIUM(Civil)'!C37</f>
        <v>Aluminum wire guage 144 mesh P.Square fixed to chowkats</v>
      </c>
      <c r="C35" s="691">
        <f>'BOQ-AUDOTORIUM(Civil)'!D37</f>
        <v>6317.8</v>
      </c>
      <c r="D35" s="689" t="str">
        <f>'BOQ-AUDOTORIUM(Civil)'!E37</f>
        <v>Sft.</v>
      </c>
      <c r="E35" s="692"/>
      <c r="F35" s="692"/>
      <c r="G35" s="692"/>
      <c r="H35" s="692"/>
      <c r="I35" s="692"/>
    </row>
    <row r="36" spans="1:12" ht="99.75" x14ac:dyDescent="0.2">
      <c r="A36" s="689">
        <f>'BOQ-AUDOTORIUM(Civil)'!A38</f>
        <v>30</v>
      </c>
      <c r="B36" s="690" t="str">
        <f>'BOQ-AUDOTORIUM(Civil)'!C38</f>
        <v>Matt Enamel Paint (Refer Specs. Section # 9900)
Preparing the surface and painting with matt finish I/c rubbing the surface with Bathy (silicon carbide rubbing brick) filling the voids with zink/chalk/ plaster of paris mixture, applying first coat premix, making the surface smooth and then painting 3 coats  with matt finish of approved make etc: complete .(new surface). Three Coats</v>
      </c>
      <c r="C36" s="691">
        <f>'BOQ-AUDOTORIUM(Civil)'!D38</f>
        <v>73939</v>
      </c>
      <c r="D36" s="689" t="str">
        <f>'BOQ-AUDOTORIUM(Civil)'!E38</f>
        <v>%Sft.</v>
      </c>
      <c r="E36" s="692"/>
      <c r="F36" s="692"/>
      <c r="G36" s="692"/>
      <c r="H36" s="692"/>
      <c r="I36" s="692"/>
    </row>
    <row r="37" spans="1:12" ht="71.25" x14ac:dyDescent="0.2">
      <c r="A37" s="689">
        <f>'BOQ-AUDOTORIUM(Civil)'!A39</f>
        <v>31</v>
      </c>
      <c r="B37" s="690" t="str">
        <f>'BOQ-AUDOTORIUM(Civil)'!C39</f>
        <v>Plastic Emulsion Paint(Refer Specs. Section # 9900)
Preparing the surface and painting with plastic emulsion paint of approved make  I/c rubbing the surface with sand Paper,filling the voids with chalk/ plaster of paris and then painting etc complete.Three Coats</v>
      </c>
      <c r="C37" s="691">
        <f>'BOQ-AUDOTORIUM(Civil)'!D39</f>
        <v>22842</v>
      </c>
      <c r="D37" s="689" t="str">
        <f>'BOQ-AUDOTORIUM(Civil)'!E39</f>
        <v>%Sft.</v>
      </c>
      <c r="E37" s="692"/>
      <c r="F37" s="692"/>
      <c r="G37" s="692"/>
      <c r="H37" s="692"/>
      <c r="I37" s="692"/>
    </row>
    <row r="38" spans="1:12" ht="42.75" x14ac:dyDescent="0.2">
      <c r="A38" s="689">
        <f>'BOQ-AUDOTORIUM(Civil)'!A40</f>
        <v>32</v>
      </c>
      <c r="B38" s="690" t="str">
        <f>'BOQ-AUDOTORIUM(Civil)'!C40</f>
        <v>Porcelain /Ceramic Tiles Dado 
Glazed tile dado 1/4" thick laid in pigment over 1:2 cement sand mortar 3/4" thick including finishing.</v>
      </c>
      <c r="C38" s="691">
        <f>'BOQ-AUDOTORIUM(Civil)'!D40</f>
        <v>4762</v>
      </c>
      <c r="D38" s="689" t="str">
        <f>'BOQ-AUDOTORIUM(Civil)'!E40</f>
        <v>%Sft</v>
      </c>
      <c r="E38" s="692">
        <f>ROUND(C38*(3/4/12)*1.54/3/1.25,2)</f>
        <v>122.22</v>
      </c>
      <c r="F38" s="692"/>
      <c r="G38" s="692"/>
      <c r="H38" s="692">
        <f>ROUND(E38*1.25*2,2)</f>
        <v>305.55</v>
      </c>
      <c r="I38" s="692"/>
    </row>
    <row r="39" spans="1:12" ht="85.5" x14ac:dyDescent="0.2">
      <c r="A39" s="689">
        <f>'BOQ-AUDOTORIUM(Civil)'!A41</f>
        <v>33</v>
      </c>
      <c r="B39" s="690" t="str">
        <f>'BOQ-AUDOTORIUM(Civil)'!C41</f>
        <v>External Painting / Weather Shield  (Refer Specs. Section # 9900)
Preparing the surface and painting with weather coat I/c rubbing the surface with rubbing brick /sand Paper,filling the voids with chalk/ plaster of Paris and then painting with weather coat of approved make. Three Coats</v>
      </c>
      <c r="C39" s="691">
        <f>'BOQ-AUDOTORIUM(Civil)'!D41</f>
        <v>16405</v>
      </c>
      <c r="D39" s="689" t="str">
        <f>'BOQ-AUDOTORIUM(Civil)'!E41</f>
        <v>%Sft</v>
      </c>
      <c r="E39" s="692"/>
      <c r="F39" s="692"/>
      <c r="G39" s="692"/>
      <c r="H39" s="692"/>
      <c r="I39" s="692"/>
    </row>
    <row r="40" spans="1:12" ht="71.25" x14ac:dyDescent="0.2">
      <c r="A40" s="689">
        <f>'BOQ-AUDOTORIUM(Civil)'!A42</f>
        <v>34</v>
      </c>
      <c r="B40" s="690" t="str">
        <f>'BOQ-AUDOTORIUM(Civil)'!C42</f>
        <v>Vanity Mirror 
Providing  and  fixing  imported  Mirror  6mm  thick having 1" Dia. Stainless Steel Studd to be screwed on  Toilet  wall  complete  in  all  respects  as  per drawings and as directed by the Consultants.</v>
      </c>
      <c r="C40" s="691">
        <f>'BOQ-AUDOTORIUM(Civil)'!D42</f>
        <v>5</v>
      </c>
      <c r="D40" s="689" t="str">
        <f>'BOQ-AUDOTORIUM(Civil)'!E42</f>
        <v>Sft.</v>
      </c>
      <c r="E40" s="692"/>
      <c r="F40" s="692"/>
      <c r="G40" s="692"/>
      <c r="H40" s="692"/>
      <c r="I40" s="692"/>
    </row>
    <row r="41" spans="1:12" x14ac:dyDescent="0.2">
      <c r="A41" s="689" t="str">
        <f>'BOQ-AUDOTORIUM(Civil)'!A43</f>
        <v>i</v>
      </c>
      <c r="B41" s="690" t="str">
        <f>'BOQ-AUDOTORIUM(Civil)'!C43</f>
        <v>Porcelain / Ceramic Tile Flooring.</v>
      </c>
      <c r="C41" s="691"/>
      <c r="D41" s="689"/>
      <c r="E41" s="692"/>
      <c r="F41" s="692"/>
      <c r="G41" s="692"/>
      <c r="H41" s="692"/>
      <c r="I41" s="692"/>
    </row>
    <row r="42" spans="1:12" ht="42.75" x14ac:dyDescent="0.2">
      <c r="A42" s="689">
        <f>'BOQ-AUDOTORIUM(Civil)'!A44</f>
        <v>35</v>
      </c>
      <c r="B42" s="690" t="str">
        <f>'BOQ-AUDOTORIUM(Civil)'!C44</f>
        <v>laying floors of approved coloured glazed tiles 1/4" thick laid in white cement and pigment on a bed of 3/4" thick cement mortar 1:2.</v>
      </c>
      <c r="C42" s="691">
        <f>'BOQ-AUDOTORIUM(Civil)'!D44</f>
        <v>36292</v>
      </c>
      <c r="D42" s="689" t="str">
        <f>'BOQ-AUDOTORIUM(Civil)'!E44</f>
        <v>%Sft</v>
      </c>
      <c r="E42" s="692">
        <f>ROUND(C42*(3/4/12)*1.54/3/1.25,2)</f>
        <v>931.49</v>
      </c>
      <c r="F42" s="692"/>
      <c r="G42" s="692"/>
      <c r="H42" s="692">
        <f>ROUND(E42*1.25*2,2)</f>
        <v>2328.73</v>
      </c>
      <c r="I42" s="692"/>
    </row>
    <row r="43" spans="1:12" ht="57" x14ac:dyDescent="0.2">
      <c r="A43" s="689">
        <f>'BOQ-AUDOTORIUM(Civil)'!A45</f>
        <v>36</v>
      </c>
      <c r="B43" s="690" t="str">
        <f>'BOQ-AUDOTORIUM(Civil)'!C45</f>
        <v>Coloured cement tiles (Pattern 12" x 12" x 1" of approved shade and pattern laid flat in 1:2 grey cement mortar over a bed of
3/4" thick grey cement mortar 1:2.</v>
      </c>
      <c r="C43" s="691">
        <f>'BOQ-AUDOTORIUM(Civil)'!D45</f>
        <v>6019</v>
      </c>
      <c r="D43" s="689" t="str">
        <f>'BOQ-AUDOTORIUM(Civil)'!E45</f>
        <v>%Sft.</v>
      </c>
      <c r="E43" s="692">
        <f>ROUND(C43*(3/4/12)*1.54/3/1.25,2)</f>
        <v>154.49</v>
      </c>
      <c r="F43" s="692"/>
      <c r="G43" s="692"/>
      <c r="H43" s="692">
        <f>ROUND(E43*1.25*2,2)</f>
        <v>386.23</v>
      </c>
      <c r="I43" s="692"/>
    </row>
    <row r="44" spans="1:12" ht="28.5" x14ac:dyDescent="0.2">
      <c r="A44" s="689">
        <f>'BOQ-AUDOTORIUM(Civil)'!A46</f>
        <v>37</v>
      </c>
      <c r="B44" s="690" t="str">
        <f>'BOQ-AUDOTORIUM(Civil)'!C46</f>
        <v>Providing and laying topping of cement concrete (1:2:4 ) including Surface finishing and dividiing into panels:</v>
      </c>
      <c r="C44" s="691">
        <f>'BOQ-AUDOTORIUM(Civil)'!D46</f>
        <v>1931</v>
      </c>
      <c r="D44" s="689" t="str">
        <f>'BOQ-AUDOTORIUM(Civil)'!E46</f>
        <v>Cft.</v>
      </c>
      <c r="E44" s="692">
        <f>ROUND(C44*1.54/7/1.25,2)</f>
        <v>339.86</v>
      </c>
      <c r="F44" s="692"/>
      <c r="G44" s="692"/>
      <c r="H44" s="692">
        <f>ROUND(E44*1.25*2,2)</f>
        <v>849.65</v>
      </c>
      <c r="I44" s="692">
        <f>ROUND(H44*2,2)</f>
        <v>1699.3</v>
      </c>
    </row>
    <row r="45" spans="1:12" ht="71.25" x14ac:dyDescent="0.2">
      <c r="A45" s="689">
        <f>'BOQ-AUDOTORIUM(Civil)'!A47</f>
        <v>38</v>
      </c>
      <c r="B45" s="690" t="str">
        <f>'BOQ-AUDOTORIUM(Civil)'!C47</f>
        <v>Deodar wood boarding of strips flooring 3/4" thick(flooring 3/4" thick (sawn to required sizes) tongued and groved or spalyed rebated fixed with brass screws on deodar wood battens 1 1/2" x 2" placed at 12" c/c inclding two coats of bitumen laid hot on the base.</v>
      </c>
      <c r="C45" s="691">
        <f>'BOQ-AUDOTORIUM(Civil)'!D47</f>
        <v>1238</v>
      </c>
      <c r="D45" s="689" t="str">
        <f>'BOQ-AUDOTORIUM(Civil)'!E47</f>
        <v>%Sft</v>
      </c>
      <c r="E45" s="692"/>
      <c r="F45" s="692"/>
      <c r="G45" s="692"/>
      <c r="H45" s="692"/>
      <c r="I45" s="692"/>
    </row>
    <row r="46" spans="1:12" ht="71.25" x14ac:dyDescent="0.2">
      <c r="A46" s="689">
        <f>'BOQ-AUDOTORIUM(Civil)'!A48</f>
        <v>39</v>
      </c>
      <c r="B46" s="690" t="str">
        <f>'BOQ-AUDOTORIUM(Civil)'!C48</f>
        <v>Providing &amp; fixing Precast Kerb Block 3750 PSI Industrial Made Size 6 inches thick x 12 inches long x 18 inches high including the cost of Cartage, excavation, form Work for haunching, 1450 PSI lean concrete, 2250 PSI concrete for haunching, 1:4 cement sand mortor.</v>
      </c>
      <c r="C46" s="691">
        <f>'BOQ-AUDOTORIUM(Civil)'!D48</f>
        <v>493.63</v>
      </c>
      <c r="D46" s="747" t="str">
        <f>'BOQ-AUDOTORIUM(Civil)'!E48</f>
        <v>Rft.</v>
      </c>
      <c r="E46" s="748">
        <f>ROUND(((C46*0.71*1.54/7/1.25)+(C46*1*0.25*1.54/13/1.25)+(C46*0.5*0.5*1.54/10/1.25)),2)</f>
        <v>88.58</v>
      </c>
      <c r="F46" s="748"/>
      <c r="G46" s="748"/>
      <c r="H46" s="748">
        <f>ROUND(((C46*0.71*1.54/7*2)+(C46*1*0.25*1.54/13*4)+(C46*0.5*0.5*1.54/10*3)),2)</f>
        <v>269.7</v>
      </c>
      <c r="I46" s="748">
        <f>ROUND(H46*2,2)</f>
        <v>539.4</v>
      </c>
      <c r="J46" s="693">
        <v>0.5</v>
      </c>
      <c r="K46" s="693">
        <f>0.5*0.415</f>
        <v>0.20749999999999999</v>
      </c>
      <c r="L46" s="749">
        <f>K46+J46</f>
        <v>0.70750000000000002</v>
      </c>
    </row>
    <row r="47" spans="1:12" ht="42.75" x14ac:dyDescent="0.2">
      <c r="A47" s="689">
        <f>'BOQ-AUDOTORIUM(Civil)'!A49</f>
        <v>40</v>
      </c>
      <c r="B47" s="690" t="str">
        <f>'BOQ-AUDOTORIUM(Civil)'!C49</f>
        <v>Khaprial (Manglore) Tiles 15" * 8" *1-1/2" of approved design/ shape laid flat in 1:2 grey cement mortar over a bed of 3/4"thick grey cement mortar 1:2.</v>
      </c>
      <c r="C47" s="691">
        <f>'BOQ-AUDOTORIUM(Civil)'!D49</f>
        <v>8657</v>
      </c>
      <c r="D47" s="689" t="str">
        <f>'BOQ-AUDOTORIUM(Civil)'!E49</f>
        <v>%Sft</v>
      </c>
      <c r="E47" s="748">
        <f>ROUND(C47*(3/4/12)*1.54/3/1.25,2)</f>
        <v>222.2</v>
      </c>
      <c r="F47" s="748"/>
      <c r="G47" s="748"/>
      <c r="H47" s="748">
        <f>ROUND(E47*1.25*2,2)</f>
        <v>555.5</v>
      </c>
      <c r="I47" s="692"/>
    </row>
    <row r="48" spans="1:12" ht="28.5" x14ac:dyDescent="0.2">
      <c r="A48" s="689">
        <f>'BOQ-AUDOTORIUM(Civil)'!A50</f>
        <v>41</v>
      </c>
      <c r="B48" s="690" t="str">
        <f>'BOQ-AUDOTORIUM(Civil)'!C50</f>
        <v>Providing and laying Copping of cement concrete (1:2:4 ) including Surface finishing and dividiing into panels:</v>
      </c>
      <c r="C48" s="691">
        <f>'BOQ-AUDOTORIUM(Civil)'!D50</f>
        <v>10</v>
      </c>
      <c r="D48" s="689" t="str">
        <f>'BOQ-AUDOTORIUM(Civil)'!E50</f>
        <v>Cft.</v>
      </c>
      <c r="E48" s="692">
        <f>ROUND(C48*1.54/7/1.25,2)</f>
        <v>1.76</v>
      </c>
      <c r="F48" s="692"/>
      <c r="G48" s="692"/>
      <c r="H48" s="692">
        <f>ROUND(E48*1.25*2,2)</f>
        <v>4.4000000000000004</v>
      </c>
      <c r="I48" s="692">
        <f>ROUND(H48*2,2)</f>
        <v>8.8000000000000007</v>
      </c>
    </row>
    <row r="49" spans="1:9" ht="42.75" x14ac:dyDescent="0.2">
      <c r="A49" s="689">
        <f>'BOQ-AUDOTORIUM(Civil)'!A51</f>
        <v>42</v>
      </c>
      <c r="B49" s="690" t="str">
        <f>'BOQ-AUDOTORIUM(Civil)'!C51</f>
        <v>Hard wood railing of any shape and design including bends and corners fixed in position including polishing complete as directed by Engineer Incharge.  Teak Wood</v>
      </c>
      <c r="C49" s="691">
        <f>'BOQ-AUDOTORIUM(Civil)'!D51</f>
        <v>84</v>
      </c>
      <c r="D49" s="689" t="str">
        <f>'BOQ-AUDOTORIUM(Civil)'!E51</f>
        <v>Sft</v>
      </c>
      <c r="E49" s="692"/>
      <c r="F49" s="692"/>
      <c r="G49" s="692"/>
      <c r="H49" s="692"/>
      <c r="I49" s="692"/>
    </row>
    <row r="50" spans="1:9" ht="99.75" x14ac:dyDescent="0.2">
      <c r="A50" s="689">
        <f>'BOQ-AUDOTORIUM(Civil)'!A52</f>
        <v>43</v>
      </c>
      <c r="B50" s="690" t="str">
        <f>'BOQ-AUDOTORIUM(Civil)'!C52</f>
        <v>Reinforced cement concrete work including all labour and material except the cost of steel reinforcement and its labour for bending and binding which will be paid separately. This rate
also includes all kinds of forms moulds, lifting, centering, shuttering and curing. (including screening and washing of shingle.)</v>
      </c>
      <c r="C50" s="691"/>
      <c r="D50" s="689"/>
      <c r="E50" s="692"/>
      <c r="F50" s="692"/>
      <c r="G50" s="692"/>
      <c r="H50" s="692"/>
      <c r="I50" s="692"/>
    </row>
    <row r="51" spans="1:9" ht="85.5" x14ac:dyDescent="0.2">
      <c r="A51" s="689">
        <f>'BOQ-AUDOTORIUM(Civil)'!A53</f>
        <v>0</v>
      </c>
      <c r="B51" s="690" t="str">
        <f>'BOQ-AUDOTORIUM(Civil)'!C53</f>
        <v>R.C.C work in roof slab, beams, column, rafts, lintels and other structural members laid in situ or precast laid in position complete in all respects. Erecting and fixing in position precast cement concrete or stone charges. slab in roofs or lintels,
etc, lift upto 20 feet including all charges.</v>
      </c>
      <c r="C51" s="691">
        <f>'BOQ-AUDOTORIUM(Civil)'!D53</f>
        <v>80</v>
      </c>
      <c r="D51" s="689" t="str">
        <f>'BOQ-AUDOTORIUM(Civil)'!E53</f>
        <v>Cft</v>
      </c>
      <c r="E51" s="692">
        <f>ROUND(C51*1.54/7/1.25,2)</f>
        <v>14.08</v>
      </c>
      <c r="F51" s="692"/>
      <c r="G51" s="692"/>
      <c r="H51" s="692">
        <f>ROUND(E51*1.25*2,2)</f>
        <v>35.200000000000003</v>
      </c>
      <c r="I51" s="692">
        <f>ROUND(H51*2,2)</f>
        <v>70.400000000000006</v>
      </c>
    </row>
    <row r="52" spans="1:9" x14ac:dyDescent="0.2">
      <c r="A52" s="689" t="str">
        <f>'BOQ-AUDOTORIUM(Civil)'!A54</f>
        <v>NON-SCHEDULE ITEMS</v>
      </c>
      <c r="B52" s="690">
        <f>'BOQ-AUDOTORIUM(Civil)'!C54</f>
        <v>0</v>
      </c>
      <c r="C52" s="691"/>
      <c r="D52" s="689"/>
      <c r="E52" s="692"/>
      <c r="F52" s="692"/>
      <c r="G52" s="692"/>
      <c r="H52" s="692"/>
      <c r="I52" s="692"/>
    </row>
    <row r="53" spans="1:9" ht="228" x14ac:dyDescent="0.2">
      <c r="A53" s="689">
        <f>'BOQ-AUDOTORIUM(Civil)'!A55</f>
        <v>44</v>
      </c>
      <c r="B53" s="690" t="str">
        <f>'BOQ-AUDOTORIUM(Civil)'!C55</f>
        <v>Ramed Earth Reinforced Wall / Column (Refer Spec's Section # 3330)
Providing  and  laying  12"  thick  Solid  Rammed  Earth Reinforced Wall to be made-up of a damp mixture of approved    soil,    cement,    pigment    (Bayer)    and admixtures blend to be consistant for all work and to be poured  into  an  external  supported  Torsion  box  that moulds the shape of a wall section creating a solid wall of earth. Wall to be reinforced horizontally and vertically with  steel  bars  as  shown  on  drawings.  The  wall  to  be built verticaly in layers not excceding 12" in height well rammed    /    compressed    (mechanically)    including consolidation,   curing,   removal   of   form   work   etc. Complete   as   per   Drawings,   Specifications   and   as directed by the Consultants.
(Including Steel bars)</v>
      </c>
      <c r="C53" s="691"/>
      <c r="D53" s="689"/>
      <c r="E53" s="692"/>
      <c r="F53" s="692"/>
      <c r="G53" s="692"/>
      <c r="H53" s="692"/>
      <c r="I53" s="692"/>
    </row>
    <row r="54" spans="1:9" x14ac:dyDescent="0.2">
      <c r="A54" s="689" t="str">
        <f>'BOQ-AUDOTORIUM(Civil)'!A56</f>
        <v>i</v>
      </c>
      <c r="B54" s="690" t="str">
        <f>'BOQ-AUDOTORIUM(Civil)'!C56</f>
        <v>Above Grade</v>
      </c>
      <c r="C54" s="691">
        <f>'BOQ-AUDOTORIUM(Civil)'!D56</f>
        <v>0</v>
      </c>
      <c r="D54" s="689" t="str">
        <f>'BOQ-AUDOTORIUM(Civil)'!E56</f>
        <v>Cft.</v>
      </c>
      <c r="E54" s="692"/>
      <c r="F54" s="692"/>
      <c r="G54" s="692"/>
      <c r="H54" s="692"/>
      <c r="I54" s="692"/>
    </row>
    <row r="55" spans="1:9" ht="228" x14ac:dyDescent="0.2">
      <c r="A55" s="689">
        <f>'BOQ-AUDOTORIUM(Civil)'!A57</f>
        <v>45</v>
      </c>
      <c r="B55" s="690" t="str">
        <f>'BOQ-AUDOTORIUM(Civil)'!C57</f>
        <v>Ramed Earth Wall Cladding
(Refer Specs. Section # 3330, 4050 &amp; 4200)
Providing and laying 5" thick Solid Rammed Earth Wall cladding  on  already  laid  block  walls  insulated  with  2 1/2"  thick  insulation  board  factory  applied  facing  of Aluminum  or  Kraft  paper  including  metal  lathing  to board to be made-up of a damp mixture of  approved soil, cement, pigment (Bayer) and admixtures blend to be  consistant  for  all  work  and  to  be  poured  into  an external supported Torsion box that moulds the shape of a wall section creating a solid wall of earth. The wall to be built verticaly in layers not excceding 12" in height well  rammed  /  compressed  (mechanically)  including consolidation,   curing,   removal   of   form   work   etc. complete   as   per   Drawings,   Specifications   and   as
directed by the Consultants. (Including Steel bars)</v>
      </c>
      <c r="C55" s="691">
        <f>'BOQ-AUDOTORIUM(Civil)'!D57</f>
        <v>0</v>
      </c>
      <c r="D55" s="689" t="str">
        <f>'BOQ-AUDOTORIUM(Civil)'!E57</f>
        <v>Sft.</v>
      </c>
      <c r="E55" s="692"/>
      <c r="F55" s="692"/>
      <c r="G55" s="692"/>
      <c r="H55" s="692"/>
      <c r="I55" s="692"/>
    </row>
    <row r="56" spans="1:9" ht="156.75" x14ac:dyDescent="0.2">
      <c r="A56" s="689">
        <f>'BOQ-AUDOTORIUM(Civil)'!A58</f>
        <v>46</v>
      </c>
      <c r="B56" s="690" t="str">
        <f>'BOQ-AUDOTORIUM(Civil)'!C58</f>
        <v>Base Cabinet with Marble Top (Refer Spec's Section # 6400)
Providing,  making  and  fixing  wooden  base  cabinet using 3/4" thick Partex board top,  adjustable shelves, drawer   and   shutter   with   white    textured   formica topping  and  3/4"  x  3/8"  thick  Ash  wood  lipping  on edges, including  pre-polished half round edge sharah beige marble top. All Ash wood surface to be finished with    clear    lacquer    polish,    including    approved hardware,   hinges,   handles   etc.   complete   as   per drawings and as directed by the Consultants.</v>
      </c>
      <c r="C56" s="691">
        <f>'BOQ-AUDOTORIUM(Civil)'!D58</f>
        <v>190</v>
      </c>
      <c r="D56" s="689" t="str">
        <f>'BOQ-AUDOTORIUM(Civil)'!E58</f>
        <v>Sft.</v>
      </c>
      <c r="E56" s="692"/>
      <c r="F56" s="692"/>
      <c r="G56" s="692"/>
      <c r="H56" s="692"/>
      <c r="I56" s="692"/>
    </row>
    <row r="57" spans="1:9" ht="142.5" x14ac:dyDescent="0.2">
      <c r="A57" s="689">
        <f>'BOQ-AUDOTORIUM(Civil)'!A59</f>
        <v>47</v>
      </c>
      <c r="B57" s="690" t="str">
        <f>'BOQ-AUDOTORIUM(Civil)'!C59</f>
        <v>Upper Cabinet
(Refer Spec's Section # 6400)
Providing,  making  and  fixing  wooden  upper  cabinet using   3/4"   thick   Partex   board   with   white   textured formica  topping  and  Ash  wood  lipping  to  exposed edges  including  adjustable  shelving.  All  Ash  wood surface   to   be   finished   with   clear   lacquer   polish, including  approved  hardware,  hinges,  handles  etc. complete  as  per  drawings  and  as  directed  by  the Consultants.</v>
      </c>
      <c r="C57" s="691">
        <f>'BOQ-AUDOTORIUM(Civil)'!D59</f>
        <v>152</v>
      </c>
      <c r="D57" s="689" t="str">
        <f>'BOQ-AUDOTORIUM(Civil)'!E59</f>
        <v>Sft.</v>
      </c>
      <c r="E57" s="692"/>
      <c r="F57" s="692"/>
      <c r="G57" s="692"/>
      <c r="H57" s="692"/>
      <c r="I57" s="692"/>
    </row>
    <row r="58" spans="1:9" ht="71.25" x14ac:dyDescent="0.2">
      <c r="A58" s="689">
        <f>'BOQ-AUDOTORIUM(Civil)'!A60</f>
        <v>48</v>
      </c>
      <c r="B58" s="690" t="str">
        <f>'BOQ-AUDOTORIUM(Civil)'!C60</f>
        <v>Roofing Treatment
(Refer Spec's Section #  7560)
Providing  and  laying  2" thick heavy density polystyrene board ( 32 kg/cum)  insulation  over  bitumen,  hcomplete   as   per drawing and as directed by the Consultant.</v>
      </c>
      <c r="C58" s="691">
        <f>'BOQ-AUDOTORIUM(Civil)'!D60</f>
        <v>10057</v>
      </c>
      <c r="D58" s="689" t="str">
        <f>'BOQ-AUDOTORIUM(Civil)'!E60</f>
        <v>Sft.</v>
      </c>
      <c r="E58" s="692"/>
      <c r="F58" s="692"/>
      <c r="G58" s="692"/>
      <c r="H58" s="692"/>
      <c r="I58" s="692"/>
    </row>
    <row r="59" spans="1:9" ht="42.75" x14ac:dyDescent="0.2">
      <c r="A59" s="689">
        <f>'BOQ-AUDOTORIUM(Civil)'!A61</f>
        <v>49</v>
      </c>
      <c r="B59" s="690" t="str">
        <f>'BOQ-AUDOTORIUM(Civil)'!C61</f>
        <v>Providing and laying topping of cement concrete (1:2:4 ) including Surface finishing and dividiing into panels: Roof Screed</v>
      </c>
      <c r="C59" s="691">
        <f>'BOQ-AUDOTORIUM(Civil)'!D61</f>
        <v>10057</v>
      </c>
      <c r="D59" s="689" t="str">
        <f>'BOQ-AUDOTORIUM(Civil)'!E61</f>
        <v>Cft.</v>
      </c>
      <c r="E59" s="692">
        <f>ROUND(C59*1.54/7/1.25,2)</f>
        <v>1770.03</v>
      </c>
      <c r="F59" s="692"/>
      <c r="G59" s="692"/>
      <c r="H59" s="692">
        <f>ROUND(E59*1.25*2,2)</f>
        <v>4425.08</v>
      </c>
      <c r="I59" s="692">
        <f>ROUND(H59*2,2)</f>
        <v>8850.16</v>
      </c>
    </row>
    <row r="60" spans="1:9" ht="85.5" x14ac:dyDescent="0.2">
      <c r="A60" s="689">
        <f>'BOQ-AUDOTORIUM(Civil)'!A62</f>
        <v>50</v>
      </c>
      <c r="B60" s="690" t="str">
        <f>'BOQ-AUDOTORIUM(Civil)'!C62</f>
        <v>Sealant (Pointing Mastics) (Refer Spec's Section # 7900)
Providing    and    applying    sealant    of    approved manufacturer  to  provide  a  positive  barrier  against penetration   of   air   and   moisture   at   periphery   of Aluminum/Wooden  Doors,  Windows  and  Ventilators and wherever required as directed by the Consultant.</v>
      </c>
      <c r="C60" s="691">
        <f>'BOQ-AUDOTORIUM(Civil)'!D62</f>
        <v>3628</v>
      </c>
      <c r="D60" s="689" t="str">
        <f>'BOQ-AUDOTORIUM(Civil)'!E62</f>
        <v>Rft.</v>
      </c>
      <c r="E60" s="692"/>
      <c r="F60" s="692"/>
      <c r="G60" s="692"/>
      <c r="H60" s="692"/>
      <c r="I60" s="692"/>
    </row>
    <row r="61" spans="1:9" ht="57" x14ac:dyDescent="0.2">
      <c r="A61" s="689">
        <f>'BOQ-AUDOTORIUM(Civil)'!A63</f>
        <v>51</v>
      </c>
      <c r="B61" s="690" t="str">
        <f>'BOQ-AUDOTORIUM(Civil)'!C63</f>
        <v>Insulation Supply and fix, Poly Extruded board (like Jumbolon etc or equivalent) 50 mm thick density 32-35 Kg /m3, fixed on as roof insulation with ship lap edges having size of sheet 600 x 1250 mm, all as specified</v>
      </c>
      <c r="C61" s="691">
        <f>'BOQ-AUDOTORIUM(Civil)'!D63</f>
        <v>38048</v>
      </c>
      <c r="D61" s="689" t="str">
        <f>'BOQ-AUDOTORIUM(Civil)'!E63</f>
        <v>Sft.</v>
      </c>
      <c r="E61" s="692"/>
      <c r="F61" s="692"/>
      <c r="G61" s="692"/>
      <c r="H61" s="692"/>
      <c r="I61" s="692"/>
    </row>
    <row r="62" spans="1:9" ht="71.25" x14ac:dyDescent="0.2">
      <c r="A62" s="689">
        <f>'BOQ-AUDOTORIUM(Civil)'!A64</f>
        <v>52</v>
      </c>
      <c r="B62" s="690" t="str">
        <f>'BOQ-AUDOTORIUM(Civil)'!C64</f>
        <v>Providing and laying, 20/22mm thick white / coloured marble slabs(except green and yellow) exc 900 sqcm each, but not exceeding 1.00 sqm each, on walls and floors, laid jointed and grouted with white / coloured cement ( 1:2 ), incl rubbing, chemical polishing, complete.</v>
      </c>
      <c r="C62" s="691">
        <f>'BOQ-AUDOTORIUM(Civil)'!D64</f>
        <v>1151</v>
      </c>
      <c r="D62" s="689" t="str">
        <f>'BOQ-AUDOTORIUM(Civil)'!E64</f>
        <v>Sft.</v>
      </c>
      <c r="E62" s="748">
        <f>ROUND(C62*(3/4/12)*1.54/3/1.25,2)</f>
        <v>29.54</v>
      </c>
      <c r="F62" s="748"/>
      <c r="G62" s="748"/>
      <c r="H62" s="748">
        <f>ROUND(E62*1.25*2,2)</f>
        <v>73.849999999999994</v>
      </c>
      <c r="I62" s="692"/>
    </row>
    <row r="63" spans="1:9" ht="128.25" x14ac:dyDescent="0.2">
      <c r="A63" s="689">
        <f>'BOQ-AUDOTORIUM(Civil)'!A65</f>
        <v>53</v>
      </c>
      <c r="B63" s="690" t="str">
        <f>'BOQ-AUDOTORIUM(Civil)'!C65</f>
        <v>Plane Gypsum Board  Ceiling/Bulkhead (Refer Spec's Section # 9250)
Providing and fixing suspended ceiling using 1/2" thick   tapered   edge   gypsum   board   ceiling Bulkhead      including      suspension      systems, attachment  devices,  hangers,  edge  mouldings, trim clips and trimming and any  extra hangers as required,   including   making   provision   for   light fixtures  etc.,  complete  as  per  drawings  and  as directed by the Consultants.</v>
      </c>
      <c r="C63" s="691">
        <f>'BOQ-AUDOTORIUM(Civil)'!D65</f>
        <v>24268</v>
      </c>
      <c r="D63" s="689" t="str">
        <f>'BOQ-AUDOTORIUM(Civil)'!E65</f>
        <v>Sft.</v>
      </c>
      <c r="E63" s="692"/>
      <c r="F63" s="692"/>
      <c r="G63" s="692"/>
      <c r="H63" s="692"/>
      <c r="I63" s="692"/>
    </row>
    <row r="64" spans="1:9" ht="42.75" x14ac:dyDescent="0.2">
      <c r="A64" s="689">
        <f>'BOQ-AUDOTORIUM(Civil)'!A66</f>
        <v>54</v>
      </c>
      <c r="B64" s="690" t="str">
        <f>'BOQ-AUDOTORIUM(Civil)'!C66</f>
        <v>Supply and fixing LGS framing .06 sheet with 12mm FCB and leather on wall complete in all respect as shown on the drawings / design or as per architect nstructions.</v>
      </c>
      <c r="C64" s="691">
        <f>'BOQ-AUDOTORIUM(Civil)'!D66</f>
        <v>5954</v>
      </c>
      <c r="D64" s="689" t="str">
        <f>'BOQ-AUDOTORIUM(Civil)'!E66</f>
        <v>Sft</v>
      </c>
      <c r="E64" s="692"/>
      <c r="F64" s="692"/>
      <c r="G64" s="692"/>
      <c r="H64" s="692"/>
      <c r="I64" s="692"/>
    </row>
    <row r="65" spans="1:9" ht="71.25" x14ac:dyDescent="0.2">
      <c r="A65" s="689">
        <f>'BOQ-AUDOTORIUM(Civil)'!A67</f>
        <v>55</v>
      </c>
      <c r="B65" s="690" t="str">
        <f>'BOQ-AUDOTORIUM(Civil)'!C67</f>
        <v>Providing and laying, 20 mm thick Granite marble in Coloured/Pattern Imported, European-origin (Italy or equivalent) polished complete as in floors,steps, walls and kitchen tops etc, laid and jointed in white/coloured cement (1:2), complete</v>
      </c>
      <c r="C65" s="691">
        <f>'BOQ-AUDOTORIUM(Civil)'!D67</f>
        <v>192</v>
      </c>
      <c r="D65" s="689" t="str">
        <f>'BOQ-AUDOTORIUM(Civil)'!E67</f>
        <v>Sft</v>
      </c>
      <c r="E65" s="748">
        <f>ROUND(C65*(3/4/12)*1.54/3/1.25,2)</f>
        <v>4.93</v>
      </c>
      <c r="F65" s="748"/>
      <c r="G65" s="748"/>
      <c r="H65" s="748">
        <f>ROUND(E65*1.25*2,2)</f>
        <v>12.33</v>
      </c>
      <c r="I65" s="692"/>
    </row>
    <row r="66" spans="1:9" ht="71.25" x14ac:dyDescent="0.2">
      <c r="A66" s="689">
        <f>'BOQ-AUDOTORIUM(Civil)'!A68</f>
        <v>56</v>
      </c>
      <c r="B66" s="690" t="str">
        <f>'BOQ-AUDOTORIUM(Civil)'!C68</f>
        <v>Providing and laying Bisazza tiles ;25 mm x 25 mm : "Series Italy" or approved equivalent;; 75mm thick bedding in mortar (1:4) on render and cement toppings; pointed with coloured grout including all fixing accessories; to overall approved thickness to match floor finish level.</v>
      </c>
      <c r="C66" s="691">
        <f>'BOQ-AUDOTORIUM(Civil)'!D68</f>
        <v>125</v>
      </c>
      <c r="D66" s="689" t="str">
        <f>'BOQ-AUDOTORIUM(Civil)'!E68</f>
        <v>Sft</v>
      </c>
      <c r="E66" s="692">
        <f>ROUND(C66*0.25*1.54/5/1.25,2)</f>
        <v>7.7</v>
      </c>
      <c r="F66" s="692"/>
      <c r="G66" s="692"/>
      <c r="H66" s="692">
        <f>ROUND(E66*4,2)</f>
        <v>30.8</v>
      </c>
      <c r="I66" s="692"/>
    </row>
    <row r="67" spans="1:9" ht="99.75" x14ac:dyDescent="0.2">
      <c r="A67" s="689">
        <f>'BOQ-AUDOTORIUM(Civil)'!A69</f>
        <v>57</v>
      </c>
      <c r="B67" s="690" t="str">
        <f>'BOQ-AUDOTORIUM(Civil)'!C69</f>
        <v>Providing and installation of Pre-cast Architectural facing wall as per design using crushed stone 'B' type {3000 Psi) fairface concrete, using Polyurethylene rubberised mould lining / steel mould as per Engineer's approval including supply and fix XPM (expended metal) 38mm x 44 mm mesh (18 gauge) BRC fabric weld-mesh binding with 14 SWG wire, complete in all respect.</v>
      </c>
      <c r="C67" s="691">
        <f>'BOQ-AUDOTORIUM(Civil)'!D69</f>
        <v>16405</v>
      </c>
      <c r="D67" s="689" t="str">
        <f>'BOQ-AUDOTORIUM(Civil)'!E69</f>
        <v>Sft</v>
      </c>
      <c r="E67" s="692">
        <f>ROUND(C67*0.5*1.54/7/1.25,2)</f>
        <v>1443.64</v>
      </c>
      <c r="F67" s="692"/>
      <c r="G67" s="692"/>
      <c r="H67" s="692">
        <f>ROUND(E67*2,2)</f>
        <v>2887.28</v>
      </c>
      <c r="I67" s="692">
        <f>ROUND(H67*2,2)</f>
        <v>5774.56</v>
      </c>
    </row>
    <row r="68" spans="1:9" s="695" customFormat="1" ht="20.100000000000001" customHeight="1" x14ac:dyDescent="0.25">
      <c r="A68" s="765" t="s">
        <v>804</v>
      </c>
      <c r="B68" s="770"/>
      <c r="C68" s="770"/>
      <c r="D68" s="771"/>
      <c r="E68" s="694">
        <f>SUM(E9:E67)</f>
        <v>39773.549999999996</v>
      </c>
      <c r="F68" s="694">
        <f>SUM(F9:F67)</f>
        <v>443.12</v>
      </c>
      <c r="G68" s="694">
        <f>SUM(G9:G67)</f>
        <v>17646</v>
      </c>
      <c r="H68" s="694">
        <f>SUM(H9:H67)</f>
        <v>88605.5</v>
      </c>
      <c r="I68" s="694">
        <f>SUM(I9:I67)</f>
        <v>163068.49999999997</v>
      </c>
    </row>
    <row r="69" spans="1:9" s="686" customFormat="1" ht="20.100000000000001" customHeight="1" x14ac:dyDescent="0.25">
      <c r="A69" s="765" t="s">
        <v>2</v>
      </c>
      <c r="B69" s="766"/>
      <c r="C69" s="766"/>
      <c r="D69" s="767"/>
      <c r="E69" s="694" t="s">
        <v>805</v>
      </c>
      <c r="F69" s="694" t="s">
        <v>806</v>
      </c>
      <c r="G69" s="694" t="s">
        <v>807</v>
      </c>
      <c r="H69" s="694" t="s">
        <v>807</v>
      </c>
      <c r="I69" s="694" t="s">
        <v>807</v>
      </c>
    </row>
    <row r="70" spans="1:9" s="686" customFormat="1" ht="20.100000000000001" customHeight="1" x14ac:dyDescent="0.25">
      <c r="A70" s="765" t="s">
        <v>808</v>
      </c>
      <c r="B70" s="766"/>
      <c r="C70" s="766"/>
      <c r="D70" s="767"/>
      <c r="E70" s="694">
        <v>325</v>
      </c>
      <c r="F70" s="694">
        <v>112000</v>
      </c>
      <c r="G70" s="694">
        <v>1273</v>
      </c>
      <c r="H70" s="694">
        <v>475</v>
      </c>
      <c r="I70" s="694">
        <v>1066</v>
      </c>
    </row>
    <row r="71" spans="1:9" s="695" customFormat="1" ht="20.100000000000001" customHeight="1" x14ac:dyDescent="0.25">
      <c r="A71" s="765" t="s">
        <v>809</v>
      </c>
      <c r="B71" s="766"/>
      <c r="C71" s="766"/>
      <c r="D71" s="767"/>
      <c r="E71" s="696">
        <f>ROUND(E70*E68,2)</f>
        <v>12926403.75</v>
      </c>
      <c r="F71" s="696">
        <f>ROUND(F70*F68,2)</f>
        <v>49629440</v>
      </c>
      <c r="G71" s="696">
        <f>ROUND(G70*G68/100,2)</f>
        <v>224633.58</v>
      </c>
      <c r="H71" s="696">
        <f>ROUND(H70*H68/100,2)</f>
        <v>420876.13</v>
      </c>
      <c r="I71" s="696">
        <f>ROUND(I70*I68/100,2)</f>
        <v>1738310.21</v>
      </c>
    </row>
    <row r="72" spans="1:9" s="695" customFormat="1" ht="20.100000000000001" customHeight="1" x14ac:dyDescent="0.25">
      <c r="A72" s="765" t="s">
        <v>810</v>
      </c>
      <c r="B72" s="766"/>
      <c r="C72" s="766"/>
      <c r="D72" s="767"/>
      <c r="E72" s="696">
        <f>SUM(E71:I71)</f>
        <v>64939663.670000002</v>
      </c>
      <c r="F72" s="697"/>
      <c r="G72" s="697"/>
      <c r="H72" s="697"/>
      <c r="I72" s="697"/>
    </row>
  </sheetData>
  <mergeCells count="7">
    <mergeCell ref="A72:D72"/>
    <mergeCell ref="A1:I1"/>
    <mergeCell ref="A2:I2"/>
    <mergeCell ref="A68:D68"/>
    <mergeCell ref="A69:D69"/>
    <mergeCell ref="A70:D70"/>
    <mergeCell ref="A71:D71"/>
  </mergeCells>
  <printOptions horizontalCentered="1"/>
  <pageMargins left="0.25" right="0.25" top="0.55000000000000004" bottom="0.25" header="0.15" footer="0.15"/>
  <pageSetup paperSize="9" scale="78" fitToHeight="0"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G72"/>
  <sheetViews>
    <sheetView view="pageBreakPreview" zoomScale="85" zoomScaleNormal="100" zoomScaleSheetLayoutView="85" workbookViewId="0">
      <selection activeCell="C8" sqref="C8"/>
    </sheetView>
  </sheetViews>
  <sheetFormatPr defaultColWidth="11" defaultRowHeight="15" x14ac:dyDescent="0.25"/>
  <cols>
    <col min="1" max="1" width="6.42578125" style="739" customWidth="1"/>
    <col min="2" max="2" width="12.140625" style="740" customWidth="1"/>
    <col min="3" max="3" width="51" style="741" customWidth="1"/>
    <col min="4" max="4" width="12.140625" style="740" customWidth="1"/>
    <col min="5" max="5" width="6.42578125" style="742" customWidth="1"/>
    <col min="6" max="6" width="14.42578125" style="743" customWidth="1"/>
    <col min="7" max="7" width="16.140625" style="744" customWidth="1"/>
    <col min="8" max="8" width="13.7109375" style="745" bestFit="1" customWidth="1"/>
    <col min="9" max="256" width="11" style="745"/>
    <col min="257" max="257" width="6.42578125" style="745" customWidth="1"/>
    <col min="258" max="258" width="12.140625" style="745" customWidth="1"/>
    <col min="259" max="259" width="51" style="745" customWidth="1"/>
    <col min="260" max="260" width="12.140625" style="745" customWidth="1"/>
    <col min="261" max="261" width="6.42578125" style="745" customWidth="1"/>
    <col min="262" max="262" width="14.42578125" style="745" customWidth="1"/>
    <col min="263" max="263" width="16.140625" style="745" customWidth="1"/>
    <col min="264" max="264" width="13.7109375" style="745" bestFit="1" customWidth="1"/>
    <col min="265" max="512" width="11" style="745"/>
    <col min="513" max="513" width="6.42578125" style="745" customWidth="1"/>
    <col min="514" max="514" width="12.140625" style="745" customWidth="1"/>
    <col min="515" max="515" width="51" style="745" customWidth="1"/>
    <col min="516" max="516" width="12.140625" style="745" customWidth="1"/>
    <col min="517" max="517" width="6.42578125" style="745" customWidth="1"/>
    <col min="518" max="518" width="14.42578125" style="745" customWidth="1"/>
    <col min="519" max="519" width="16.140625" style="745" customWidth="1"/>
    <col min="520" max="520" width="13.7109375" style="745" bestFit="1" customWidth="1"/>
    <col min="521" max="768" width="11" style="745"/>
    <col min="769" max="769" width="6.42578125" style="745" customWidth="1"/>
    <col min="770" max="770" width="12.140625" style="745" customWidth="1"/>
    <col min="771" max="771" width="51" style="745" customWidth="1"/>
    <col min="772" max="772" width="12.140625" style="745" customWidth="1"/>
    <col min="773" max="773" width="6.42578125" style="745" customWidth="1"/>
    <col min="774" max="774" width="14.42578125" style="745" customWidth="1"/>
    <col min="775" max="775" width="16.140625" style="745" customWidth="1"/>
    <col min="776" max="776" width="13.7109375" style="745" bestFit="1" customWidth="1"/>
    <col min="777" max="1024" width="11" style="745"/>
    <col min="1025" max="1025" width="6.42578125" style="745" customWidth="1"/>
    <col min="1026" max="1026" width="12.140625" style="745" customWidth="1"/>
    <col min="1027" max="1027" width="51" style="745" customWidth="1"/>
    <col min="1028" max="1028" width="12.140625" style="745" customWidth="1"/>
    <col min="1029" max="1029" width="6.42578125" style="745" customWidth="1"/>
    <col min="1030" max="1030" width="14.42578125" style="745" customWidth="1"/>
    <col min="1031" max="1031" width="16.140625" style="745" customWidth="1"/>
    <col min="1032" max="1032" width="13.7109375" style="745" bestFit="1" customWidth="1"/>
    <col min="1033" max="1280" width="11" style="745"/>
    <col min="1281" max="1281" width="6.42578125" style="745" customWidth="1"/>
    <col min="1282" max="1282" width="12.140625" style="745" customWidth="1"/>
    <col min="1283" max="1283" width="51" style="745" customWidth="1"/>
    <col min="1284" max="1284" width="12.140625" style="745" customWidth="1"/>
    <col min="1285" max="1285" width="6.42578125" style="745" customWidth="1"/>
    <col min="1286" max="1286" width="14.42578125" style="745" customWidth="1"/>
    <col min="1287" max="1287" width="16.140625" style="745" customWidth="1"/>
    <col min="1288" max="1288" width="13.7109375" style="745" bestFit="1" customWidth="1"/>
    <col min="1289" max="1536" width="11" style="745"/>
    <col min="1537" max="1537" width="6.42578125" style="745" customWidth="1"/>
    <col min="1538" max="1538" width="12.140625" style="745" customWidth="1"/>
    <col min="1539" max="1539" width="51" style="745" customWidth="1"/>
    <col min="1540" max="1540" width="12.140625" style="745" customWidth="1"/>
    <col min="1541" max="1541" width="6.42578125" style="745" customWidth="1"/>
    <col min="1542" max="1542" width="14.42578125" style="745" customWidth="1"/>
    <col min="1543" max="1543" width="16.140625" style="745" customWidth="1"/>
    <col min="1544" max="1544" width="13.7109375" style="745" bestFit="1" customWidth="1"/>
    <col min="1545" max="1792" width="11" style="745"/>
    <col min="1793" max="1793" width="6.42578125" style="745" customWidth="1"/>
    <col min="1794" max="1794" width="12.140625" style="745" customWidth="1"/>
    <col min="1795" max="1795" width="51" style="745" customWidth="1"/>
    <col min="1796" max="1796" width="12.140625" style="745" customWidth="1"/>
    <col min="1797" max="1797" width="6.42578125" style="745" customWidth="1"/>
    <col min="1798" max="1798" width="14.42578125" style="745" customWidth="1"/>
    <col min="1799" max="1799" width="16.140625" style="745" customWidth="1"/>
    <col min="1800" max="1800" width="13.7109375" style="745" bestFit="1" customWidth="1"/>
    <col min="1801" max="2048" width="11" style="745"/>
    <col min="2049" max="2049" width="6.42578125" style="745" customWidth="1"/>
    <col min="2050" max="2050" width="12.140625" style="745" customWidth="1"/>
    <col min="2051" max="2051" width="51" style="745" customWidth="1"/>
    <col min="2052" max="2052" width="12.140625" style="745" customWidth="1"/>
    <col min="2053" max="2053" width="6.42578125" style="745" customWidth="1"/>
    <col min="2054" max="2054" width="14.42578125" style="745" customWidth="1"/>
    <col min="2055" max="2055" width="16.140625" style="745" customWidth="1"/>
    <col min="2056" max="2056" width="13.7109375" style="745" bestFit="1" customWidth="1"/>
    <col min="2057" max="2304" width="11" style="745"/>
    <col min="2305" max="2305" width="6.42578125" style="745" customWidth="1"/>
    <col min="2306" max="2306" width="12.140625" style="745" customWidth="1"/>
    <col min="2307" max="2307" width="51" style="745" customWidth="1"/>
    <col min="2308" max="2308" width="12.140625" style="745" customWidth="1"/>
    <col min="2309" max="2309" width="6.42578125" style="745" customWidth="1"/>
    <col min="2310" max="2310" width="14.42578125" style="745" customWidth="1"/>
    <col min="2311" max="2311" width="16.140625" style="745" customWidth="1"/>
    <col min="2312" max="2312" width="13.7109375" style="745" bestFit="1" customWidth="1"/>
    <col min="2313" max="2560" width="11" style="745"/>
    <col min="2561" max="2561" width="6.42578125" style="745" customWidth="1"/>
    <col min="2562" max="2562" width="12.140625" style="745" customWidth="1"/>
    <col min="2563" max="2563" width="51" style="745" customWidth="1"/>
    <col min="2564" max="2564" width="12.140625" style="745" customWidth="1"/>
    <col min="2565" max="2565" width="6.42578125" style="745" customWidth="1"/>
    <col min="2566" max="2566" width="14.42578125" style="745" customWidth="1"/>
    <col min="2567" max="2567" width="16.140625" style="745" customWidth="1"/>
    <col min="2568" max="2568" width="13.7109375" style="745" bestFit="1" customWidth="1"/>
    <col min="2569" max="2816" width="11" style="745"/>
    <col min="2817" max="2817" width="6.42578125" style="745" customWidth="1"/>
    <col min="2818" max="2818" width="12.140625" style="745" customWidth="1"/>
    <col min="2819" max="2819" width="51" style="745" customWidth="1"/>
    <col min="2820" max="2820" width="12.140625" style="745" customWidth="1"/>
    <col min="2821" max="2821" width="6.42578125" style="745" customWidth="1"/>
    <col min="2822" max="2822" width="14.42578125" style="745" customWidth="1"/>
    <col min="2823" max="2823" width="16.140625" style="745" customWidth="1"/>
    <col min="2824" max="2824" width="13.7109375" style="745" bestFit="1" customWidth="1"/>
    <col min="2825" max="3072" width="11" style="745"/>
    <col min="3073" max="3073" width="6.42578125" style="745" customWidth="1"/>
    <col min="3074" max="3074" width="12.140625" style="745" customWidth="1"/>
    <col min="3075" max="3075" width="51" style="745" customWidth="1"/>
    <col min="3076" max="3076" width="12.140625" style="745" customWidth="1"/>
    <col min="3077" max="3077" width="6.42578125" style="745" customWidth="1"/>
    <col min="3078" max="3078" width="14.42578125" style="745" customWidth="1"/>
    <col min="3079" max="3079" width="16.140625" style="745" customWidth="1"/>
    <col min="3080" max="3080" width="13.7109375" style="745" bestFit="1" customWidth="1"/>
    <col min="3081" max="3328" width="11" style="745"/>
    <col min="3329" max="3329" width="6.42578125" style="745" customWidth="1"/>
    <col min="3330" max="3330" width="12.140625" style="745" customWidth="1"/>
    <col min="3331" max="3331" width="51" style="745" customWidth="1"/>
    <col min="3332" max="3332" width="12.140625" style="745" customWidth="1"/>
    <col min="3333" max="3333" width="6.42578125" style="745" customWidth="1"/>
    <col min="3334" max="3334" width="14.42578125" style="745" customWidth="1"/>
    <col min="3335" max="3335" width="16.140625" style="745" customWidth="1"/>
    <col min="3336" max="3336" width="13.7109375" style="745" bestFit="1" customWidth="1"/>
    <col min="3337" max="3584" width="11" style="745"/>
    <col min="3585" max="3585" width="6.42578125" style="745" customWidth="1"/>
    <col min="3586" max="3586" width="12.140625" style="745" customWidth="1"/>
    <col min="3587" max="3587" width="51" style="745" customWidth="1"/>
    <col min="3588" max="3588" width="12.140625" style="745" customWidth="1"/>
    <col min="3589" max="3589" width="6.42578125" style="745" customWidth="1"/>
    <col min="3590" max="3590" width="14.42578125" style="745" customWidth="1"/>
    <col min="3591" max="3591" width="16.140625" style="745" customWidth="1"/>
    <col min="3592" max="3592" width="13.7109375" style="745" bestFit="1" customWidth="1"/>
    <col min="3593" max="3840" width="11" style="745"/>
    <col min="3841" max="3841" width="6.42578125" style="745" customWidth="1"/>
    <col min="3842" max="3842" width="12.140625" style="745" customWidth="1"/>
    <col min="3843" max="3843" width="51" style="745" customWidth="1"/>
    <col min="3844" max="3844" width="12.140625" style="745" customWidth="1"/>
    <col min="3845" max="3845" width="6.42578125" style="745" customWidth="1"/>
    <col min="3846" max="3846" width="14.42578125" style="745" customWidth="1"/>
    <col min="3847" max="3847" width="16.140625" style="745" customWidth="1"/>
    <col min="3848" max="3848" width="13.7109375" style="745" bestFit="1" customWidth="1"/>
    <col min="3849" max="4096" width="11" style="745"/>
    <col min="4097" max="4097" width="6.42578125" style="745" customWidth="1"/>
    <col min="4098" max="4098" width="12.140625" style="745" customWidth="1"/>
    <col min="4099" max="4099" width="51" style="745" customWidth="1"/>
    <col min="4100" max="4100" width="12.140625" style="745" customWidth="1"/>
    <col min="4101" max="4101" width="6.42578125" style="745" customWidth="1"/>
    <col min="4102" max="4102" width="14.42578125" style="745" customWidth="1"/>
    <col min="4103" max="4103" width="16.140625" style="745" customWidth="1"/>
    <col min="4104" max="4104" width="13.7109375" style="745" bestFit="1" customWidth="1"/>
    <col min="4105" max="4352" width="11" style="745"/>
    <col min="4353" max="4353" width="6.42578125" style="745" customWidth="1"/>
    <col min="4354" max="4354" width="12.140625" style="745" customWidth="1"/>
    <col min="4355" max="4355" width="51" style="745" customWidth="1"/>
    <col min="4356" max="4356" width="12.140625" style="745" customWidth="1"/>
    <col min="4357" max="4357" width="6.42578125" style="745" customWidth="1"/>
    <col min="4358" max="4358" width="14.42578125" style="745" customWidth="1"/>
    <col min="4359" max="4359" width="16.140625" style="745" customWidth="1"/>
    <col min="4360" max="4360" width="13.7109375" style="745" bestFit="1" customWidth="1"/>
    <col min="4361" max="4608" width="11" style="745"/>
    <col min="4609" max="4609" width="6.42578125" style="745" customWidth="1"/>
    <col min="4610" max="4610" width="12.140625" style="745" customWidth="1"/>
    <col min="4611" max="4611" width="51" style="745" customWidth="1"/>
    <col min="4612" max="4612" width="12.140625" style="745" customWidth="1"/>
    <col min="4613" max="4613" width="6.42578125" style="745" customWidth="1"/>
    <col min="4614" max="4614" width="14.42578125" style="745" customWidth="1"/>
    <col min="4615" max="4615" width="16.140625" style="745" customWidth="1"/>
    <col min="4616" max="4616" width="13.7109375" style="745" bestFit="1" customWidth="1"/>
    <col min="4617" max="4864" width="11" style="745"/>
    <col min="4865" max="4865" width="6.42578125" style="745" customWidth="1"/>
    <col min="4866" max="4866" width="12.140625" style="745" customWidth="1"/>
    <col min="4867" max="4867" width="51" style="745" customWidth="1"/>
    <col min="4868" max="4868" width="12.140625" style="745" customWidth="1"/>
    <col min="4869" max="4869" width="6.42578125" style="745" customWidth="1"/>
    <col min="4870" max="4870" width="14.42578125" style="745" customWidth="1"/>
    <col min="4871" max="4871" width="16.140625" style="745" customWidth="1"/>
    <col min="4872" max="4872" width="13.7109375" style="745" bestFit="1" customWidth="1"/>
    <col min="4873" max="5120" width="11" style="745"/>
    <col min="5121" max="5121" width="6.42578125" style="745" customWidth="1"/>
    <col min="5122" max="5122" width="12.140625" style="745" customWidth="1"/>
    <col min="5123" max="5123" width="51" style="745" customWidth="1"/>
    <col min="5124" max="5124" width="12.140625" style="745" customWidth="1"/>
    <col min="5125" max="5125" width="6.42578125" style="745" customWidth="1"/>
    <col min="5126" max="5126" width="14.42578125" style="745" customWidth="1"/>
    <col min="5127" max="5127" width="16.140625" style="745" customWidth="1"/>
    <col min="5128" max="5128" width="13.7109375" style="745" bestFit="1" customWidth="1"/>
    <col min="5129" max="5376" width="11" style="745"/>
    <col min="5377" max="5377" width="6.42578125" style="745" customWidth="1"/>
    <col min="5378" max="5378" width="12.140625" style="745" customWidth="1"/>
    <col min="5379" max="5379" width="51" style="745" customWidth="1"/>
    <col min="5380" max="5380" width="12.140625" style="745" customWidth="1"/>
    <col min="5381" max="5381" width="6.42578125" style="745" customWidth="1"/>
    <col min="5382" max="5382" width="14.42578125" style="745" customWidth="1"/>
    <col min="5383" max="5383" width="16.140625" style="745" customWidth="1"/>
    <col min="5384" max="5384" width="13.7109375" style="745" bestFit="1" customWidth="1"/>
    <col min="5385" max="5632" width="11" style="745"/>
    <col min="5633" max="5633" width="6.42578125" style="745" customWidth="1"/>
    <col min="5634" max="5634" width="12.140625" style="745" customWidth="1"/>
    <col min="5635" max="5635" width="51" style="745" customWidth="1"/>
    <col min="5636" max="5636" width="12.140625" style="745" customWidth="1"/>
    <col min="5637" max="5637" width="6.42578125" style="745" customWidth="1"/>
    <col min="5638" max="5638" width="14.42578125" style="745" customWidth="1"/>
    <col min="5639" max="5639" width="16.140625" style="745" customWidth="1"/>
    <col min="5640" max="5640" width="13.7109375" style="745" bestFit="1" customWidth="1"/>
    <col min="5641" max="5888" width="11" style="745"/>
    <col min="5889" max="5889" width="6.42578125" style="745" customWidth="1"/>
    <col min="5890" max="5890" width="12.140625" style="745" customWidth="1"/>
    <col min="5891" max="5891" width="51" style="745" customWidth="1"/>
    <col min="5892" max="5892" width="12.140625" style="745" customWidth="1"/>
    <col min="5893" max="5893" width="6.42578125" style="745" customWidth="1"/>
    <col min="5894" max="5894" width="14.42578125" style="745" customWidth="1"/>
    <col min="5895" max="5895" width="16.140625" style="745" customWidth="1"/>
    <col min="5896" max="5896" width="13.7109375" style="745" bestFit="1" customWidth="1"/>
    <col min="5897" max="6144" width="11" style="745"/>
    <col min="6145" max="6145" width="6.42578125" style="745" customWidth="1"/>
    <col min="6146" max="6146" width="12.140625" style="745" customWidth="1"/>
    <col min="6147" max="6147" width="51" style="745" customWidth="1"/>
    <col min="6148" max="6148" width="12.140625" style="745" customWidth="1"/>
    <col min="6149" max="6149" width="6.42578125" style="745" customWidth="1"/>
    <col min="6150" max="6150" width="14.42578125" style="745" customWidth="1"/>
    <col min="6151" max="6151" width="16.140625" style="745" customWidth="1"/>
    <col min="6152" max="6152" width="13.7109375" style="745" bestFit="1" customWidth="1"/>
    <col min="6153" max="6400" width="11" style="745"/>
    <col min="6401" max="6401" width="6.42578125" style="745" customWidth="1"/>
    <col min="6402" max="6402" width="12.140625" style="745" customWidth="1"/>
    <col min="6403" max="6403" width="51" style="745" customWidth="1"/>
    <col min="6404" max="6404" width="12.140625" style="745" customWidth="1"/>
    <col min="6405" max="6405" width="6.42578125" style="745" customWidth="1"/>
    <col min="6406" max="6406" width="14.42578125" style="745" customWidth="1"/>
    <col min="6407" max="6407" width="16.140625" style="745" customWidth="1"/>
    <col min="6408" max="6408" width="13.7109375" style="745" bestFit="1" customWidth="1"/>
    <col min="6409" max="6656" width="11" style="745"/>
    <col min="6657" max="6657" width="6.42578125" style="745" customWidth="1"/>
    <col min="6658" max="6658" width="12.140625" style="745" customWidth="1"/>
    <col min="6659" max="6659" width="51" style="745" customWidth="1"/>
    <col min="6660" max="6660" width="12.140625" style="745" customWidth="1"/>
    <col min="6661" max="6661" width="6.42578125" style="745" customWidth="1"/>
    <col min="6662" max="6662" width="14.42578125" style="745" customWidth="1"/>
    <col min="6663" max="6663" width="16.140625" style="745" customWidth="1"/>
    <col min="6664" max="6664" width="13.7109375" style="745" bestFit="1" customWidth="1"/>
    <col min="6665" max="6912" width="11" style="745"/>
    <col min="6913" max="6913" width="6.42578125" style="745" customWidth="1"/>
    <col min="6914" max="6914" width="12.140625" style="745" customWidth="1"/>
    <col min="6915" max="6915" width="51" style="745" customWidth="1"/>
    <col min="6916" max="6916" width="12.140625" style="745" customWidth="1"/>
    <col min="6917" max="6917" width="6.42578125" style="745" customWidth="1"/>
    <col min="6918" max="6918" width="14.42578125" style="745" customWidth="1"/>
    <col min="6919" max="6919" width="16.140625" style="745" customWidth="1"/>
    <col min="6920" max="6920" width="13.7109375" style="745" bestFit="1" customWidth="1"/>
    <col min="6921" max="7168" width="11" style="745"/>
    <col min="7169" max="7169" width="6.42578125" style="745" customWidth="1"/>
    <col min="7170" max="7170" width="12.140625" style="745" customWidth="1"/>
    <col min="7171" max="7171" width="51" style="745" customWidth="1"/>
    <col min="7172" max="7172" width="12.140625" style="745" customWidth="1"/>
    <col min="7173" max="7173" width="6.42578125" style="745" customWidth="1"/>
    <col min="7174" max="7174" width="14.42578125" style="745" customWidth="1"/>
    <col min="7175" max="7175" width="16.140625" style="745" customWidth="1"/>
    <col min="7176" max="7176" width="13.7109375" style="745" bestFit="1" customWidth="1"/>
    <col min="7177" max="7424" width="11" style="745"/>
    <col min="7425" max="7425" width="6.42578125" style="745" customWidth="1"/>
    <col min="7426" max="7426" width="12.140625" style="745" customWidth="1"/>
    <col min="7427" max="7427" width="51" style="745" customWidth="1"/>
    <col min="7428" max="7428" width="12.140625" style="745" customWidth="1"/>
    <col min="7429" max="7429" width="6.42578125" style="745" customWidth="1"/>
    <col min="7430" max="7430" width="14.42578125" style="745" customWidth="1"/>
    <col min="7431" max="7431" width="16.140625" style="745" customWidth="1"/>
    <col min="7432" max="7432" width="13.7109375" style="745" bestFit="1" customWidth="1"/>
    <col min="7433" max="7680" width="11" style="745"/>
    <col min="7681" max="7681" width="6.42578125" style="745" customWidth="1"/>
    <col min="7682" max="7682" width="12.140625" style="745" customWidth="1"/>
    <col min="7683" max="7683" width="51" style="745" customWidth="1"/>
    <col min="7684" max="7684" width="12.140625" style="745" customWidth="1"/>
    <col min="7685" max="7685" width="6.42578125" style="745" customWidth="1"/>
    <col min="7686" max="7686" width="14.42578125" style="745" customWidth="1"/>
    <col min="7687" max="7687" width="16.140625" style="745" customWidth="1"/>
    <col min="7688" max="7688" width="13.7109375" style="745" bestFit="1" customWidth="1"/>
    <col min="7689" max="7936" width="11" style="745"/>
    <col min="7937" max="7937" width="6.42578125" style="745" customWidth="1"/>
    <col min="7938" max="7938" width="12.140625" style="745" customWidth="1"/>
    <col min="7939" max="7939" width="51" style="745" customWidth="1"/>
    <col min="7940" max="7940" width="12.140625" style="745" customWidth="1"/>
    <col min="7941" max="7941" width="6.42578125" style="745" customWidth="1"/>
    <col min="7942" max="7942" width="14.42578125" style="745" customWidth="1"/>
    <col min="7943" max="7943" width="16.140625" style="745" customWidth="1"/>
    <col min="7944" max="7944" width="13.7109375" style="745" bestFit="1" customWidth="1"/>
    <col min="7945" max="8192" width="11" style="745"/>
    <col min="8193" max="8193" width="6.42578125" style="745" customWidth="1"/>
    <col min="8194" max="8194" width="12.140625" style="745" customWidth="1"/>
    <col min="8195" max="8195" width="51" style="745" customWidth="1"/>
    <col min="8196" max="8196" width="12.140625" style="745" customWidth="1"/>
    <col min="8197" max="8197" width="6.42578125" style="745" customWidth="1"/>
    <col min="8198" max="8198" width="14.42578125" style="745" customWidth="1"/>
    <col min="8199" max="8199" width="16.140625" style="745" customWidth="1"/>
    <col min="8200" max="8200" width="13.7109375" style="745" bestFit="1" customWidth="1"/>
    <col min="8201" max="8448" width="11" style="745"/>
    <col min="8449" max="8449" width="6.42578125" style="745" customWidth="1"/>
    <col min="8450" max="8450" width="12.140625" style="745" customWidth="1"/>
    <col min="8451" max="8451" width="51" style="745" customWidth="1"/>
    <col min="8452" max="8452" width="12.140625" style="745" customWidth="1"/>
    <col min="8453" max="8453" width="6.42578125" style="745" customWidth="1"/>
    <col min="8454" max="8454" width="14.42578125" style="745" customWidth="1"/>
    <col min="8455" max="8455" width="16.140625" style="745" customWidth="1"/>
    <col min="8456" max="8456" width="13.7109375" style="745" bestFit="1" customWidth="1"/>
    <col min="8457" max="8704" width="11" style="745"/>
    <col min="8705" max="8705" width="6.42578125" style="745" customWidth="1"/>
    <col min="8706" max="8706" width="12.140625" style="745" customWidth="1"/>
    <col min="8707" max="8707" width="51" style="745" customWidth="1"/>
    <col min="8708" max="8708" width="12.140625" style="745" customWidth="1"/>
    <col min="8709" max="8709" width="6.42578125" style="745" customWidth="1"/>
    <col min="8710" max="8710" width="14.42578125" style="745" customWidth="1"/>
    <col min="8711" max="8711" width="16.140625" style="745" customWidth="1"/>
    <col min="8712" max="8712" width="13.7109375" style="745" bestFit="1" customWidth="1"/>
    <col min="8713" max="8960" width="11" style="745"/>
    <col min="8961" max="8961" width="6.42578125" style="745" customWidth="1"/>
    <col min="8962" max="8962" width="12.140625" style="745" customWidth="1"/>
    <col min="8963" max="8963" width="51" style="745" customWidth="1"/>
    <col min="8964" max="8964" width="12.140625" style="745" customWidth="1"/>
    <col min="8965" max="8965" width="6.42578125" style="745" customWidth="1"/>
    <col min="8966" max="8966" width="14.42578125" style="745" customWidth="1"/>
    <col min="8967" max="8967" width="16.140625" style="745" customWidth="1"/>
    <col min="8968" max="8968" width="13.7109375" style="745" bestFit="1" customWidth="1"/>
    <col min="8969" max="9216" width="11" style="745"/>
    <col min="9217" max="9217" width="6.42578125" style="745" customWidth="1"/>
    <col min="9218" max="9218" width="12.140625" style="745" customWidth="1"/>
    <col min="9219" max="9219" width="51" style="745" customWidth="1"/>
    <col min="9220" max="9220" width="12.140625" style="745" customWidth="1"/>
    <col min="9221" max="9221" width="6.42578125" style="745" customWidth="1"/>
    <col min="9222" max="9222" width="14.42578125" style="745" customWidth="1"/>
    <col min="9223" max="9223" width="16.140625" style="745" customWidth="1"/>
    <col min="9224" max="9224" width="13.7109375" style="745" bestFit="1" customWidth="1"/>
    <col min="9225" max="9472" width="11" style="745"/>
    <col min="9473" max="9473" width="6.42578125" style="745" customWidth="1"/>
    <col min="9474" max="9474" width="12.140625" style="745" customWidth="1"/>
    <col min="9475" max="9475" width="51" style="745" customWidth="1"/>
    <col min="9476" max="9476" width="12.140625" style="745" customWidth="1"/>
    <col min="9477" max="9477" width="6.42578125" style="745" customWidth="1"/>
    <col min="9478" max="9478" width="14.42578125" style="745" customWidth="1"/>
    <col min="9479" max="9479" width="16.140625" style="745" customWidth="1"/>
    <col min="9480" max="9480" width="13.7109375" style="745" bestFit="1" customWidth="1"/>
    <col min="9481" max="9728" width="11" style="745"/>
    <col min="9729" max="9729" width="6.42578125" style="745" customWidth="1"/>
    <col min="9730" max="9730" width="12.140625" style="745" customWidth="1"/>
    <col min="9731" max="9731" width="51" style="745" customWidth="1"/>
    <col min="9732" max="9732" width="12.140625" style="745" customWidth="1"/>
    <col min="9733" max="9733" width="6.42578125" style="745" customWidth="1"/>
    <col min="9734" max="9734" width="14.42578125" style="745" customWidth="1"/>
    <col min="9735" max="9735" width="16.140625" style="745" customWidth="1"/>
    <col min="9736" max="9736" width="13.7109375" style="745" bestFit="1" customWidth="1"/>
    <col min="9737" max="9984" width="11" style="745"/>
    <col min="9985" max="9985" width="6.42578125" style="745" customWidth="1"/>
    <col min="9986" max="9986" width="12.140625" style="745" customWidth="1"/>
    <col min="9987" max="9987" width="51" style="745" customWidth="1"/>
    <col min="9988" max="9988" width="12.140625" style="745" customWidth="1"/>
    <col min="9989" max="9989" width="6.42578125" style="745" customWidth="1"/>
    <col min="9990" max="9990" width="14.42578125" style="745" customWidth="1"/>
    <col min="9991" max="9991" width="16.140625" style="745" customWidth="1"/>
    <col min="9992" max="9992" width="13.7109375" style="745" bestFit="1" customWidth="1"/>
    <col min="9993" max="10240" width="11" style="745"/>
    <col min="10241" max="10241" width="6.42578125" style="745" customWidth="1"/>
    <col min="10242" max="10242" width="12.140625" style="745" customWidth="1"/>
    <col min="10243" max="10243" width="51" style="745" customWidth="1"/>
    <col min="10244" max="10244" width="12.140625" style="745" customWidth="1"/>
    <col min="10245" max="10245" width="6.42578125" style="745" customWidth="1"/>
    <col min="10246" max="10246" width="14.42578125" style="745" customWidth="1"/>
    <col min="10247" max="10247" width="16.140625" style="745" customWidth="1"/>
    <col min="10248" max="10248" width="13.7109375" style="745" bestFit="1" customWidth="1"/>
    <col min="10249" max="10496" width="11" style="745"/>
    <col min="10497" max="10497" width="6.42578125" style="745" customWidth="1"/>
    <col min="10498" max="10498" width="12.140625" style="745" customWidth="1"/>
    <col min="10499" max="10499" width="51" style="745" customWidth="1"/>
    <col min="10500" max="10500" width="12.140625" style="745" customWidth="1"/>
    <col min="10501" max="10501" width="6.42578125" style="745" customWidth="1"/>
    <col min="10502" max="10502" width="14.42578125" style="745" customWidth="1"/>
    <col min="10503" max="10503" width="16.140625" style="745" customWidth="1"/>
    <col min="10504" max="10504" width="13.7109375" style="745" bestFit="1" customWidth="1"/>
    <col min="10505" max="10752" width="11" style="745"/>
    <col min="10753" max="10753" width="6.42578125" style="745" customWidth="1"/>
    <col min="10754" max="10754" width="12.140625" style="745" customWidth="1"/>
    <col min="10755" max="10755" width="51" style="745" customWidth="1"/>
    <col min="10756" max="10756" width="12.140625" style="745" customWidth="1"/>
    <col min="10757" max="10757" width="6.42578125" style="745" customWidth="1"/>
    <col min="10758" max="10758" width="14.42578125" style="745" customWidth="1"/>
    <col min="10759" max="10759" width="16.140625" style="745" customWidth="1"/>
    <col min="10760" max="10760" width="13.7109375" style="745" bestFit="1" customWidth="1"/>
    <col min="10761" max="11008" width="11" style="745"/>
    <col min="11009" max="11009" width="6.42578125" style="745" customWidth="1"/>
    <col min="11010" max="11010" width="12.140625" style="745" customWidth="1"/>
    <col min="11011" max="11011" width="51" style="745" customWidth="1"/>
    <col min="11012" max="11012" width="12.140625" style="745" customWidth="1"/>
    <col min="11013" max="11013" width="6.42578125" style="745" customWidth="1"/>
    <col min="11014" max="11014" width="14.42578125" style="745" customWidth="1"/>
    <col min="11015" max="11015" width="16.140625" style="745" customWidth="1"/>
    <col min="11016" max="11016" width="13.7109375" style="745" bestFit="1" customWidth="1"/>
    <col min="11017" max="11264" width="11" style="745"/>
    <col min="11265" max="11265" width="6.42578125" style="745" customWidth="1"/>
    <col min="11266" max="11266" width="12.140625" style="745" customWidth="1"/>
    <col min="11267" max="11267" width="51" style="745" customWidth="1"/>
    <col min="11268" max="11268" width="12.140625" style="745" customWidth="1"/>
    <col min="11269" max="11269" width="6.42578125" style="745" customWidth="1"/>
    <col min="11270" max="11270" width="14.42578125" style="745" customWidth="1"/>
    <col min="11271" max="11271" width="16.140625" style="745" customWidth="1"/>
    <col min="11272" max="11272" width="13.7109375" style="745" bestFit="1" customWidth="1"/>
    <col min="11273" max="11520" width="11" style="745"/>
    <col min="11521" max="11521" width="6.42578125" style="745" customWidth="1"/>
    <col min="11522" max="11522" width="12.140625" style="745" customWidth="1"/>
    <col min="11523" max="11523" width="51" style="745" customWidth="1"/>
    <col min="11524" max="11524" width="12.140625" style="745" customWidth="1"/>
    <col min="11525" max="11525" width="6.42578125" style="745" customWidth="1"/>
    <col min="11526" max="11526" width="14.42578125" style="745" customWidth="1"/>
    <col min="11527" max="11527" width="16.140625" style="745" customWidth="1"/>
    <col min="11528" max="11528" width="13.7109375" style="745" bestFit="1" customWidth="1"/>
    <col min="11529" max="11776" width="11" style="745"/>
    <col min="11777" max="11777" width="6.42578125" style="745" customWidth="1"/>
    <col min="11778" max="11778" width="12.140625" style="745" customWidth="1"/>
    <col min="11779" max="11779" width="51" style="745" customWidth="1"/>
    <col min="11780" max="11780" width="12.140625" style="745" customWidth="1"/>
    <col min="11781" max="11781" width="6.42578125" style="745" customWidth="1"/>
    <col min="11782" max="11782" width="14.42578125" style="745" customWidth="1"/>
    <col min="11783" max="11783" width="16.140625" style="745" customWidth="1"/>
    <col min="11784" max="11784" width="13.7109375" style="745" bestFit="1" customWidth="1"/>
    <col min="11785" max="12032" width="11" style="745"/>
    <col min="12033" max="12033" width="6.42578125" style="745" customWidth="1"/>
    <col min="12034" max="12034" width="12.140625" style="745" customWidth="1"/>
    <col min="12035" max="12035" width="51" style="745" customWidth="1"/>
    <col min="12036" max="12036" width="12.140625" style="745" customWidth="1"/>
    <col min="12037" max="12037" width="6.42578125" style="745" customWidth="1"/>
    <col min="12038" max="12038" width="14.42578125" style="745" customWidth="1"/>
    <col min="12039" max="12039" width="16.140625" style="745" customWidth="1"/>
    <col min="12040" max="12040" width="13.7109375" style="745" bestFit="1" customWidth="1"/>
    <col min="12041" max="12288" width="11" style="745"/>
    <col min="12289" max="12289" width="6.42578125" style="745" customWidth="1"/>
    <col min="12290" max="12290" width="12.140625" style="745" customWidth="1"/>
    <col min="12291" max="12291" width="51" style="745" customWidth="1"/>
    <col min="12292" max="12292" width="12.140625" style="745" customWidth="1"/>
    <col min="12293" max="12293" width="6.42578125" style="745" customWidth="1"/>
    <col min="12294" max="12294" width="14.42578125" style="745" customWidth="1"/>
    <col min="12295" max="12295" width="16.140625" style="745" customWidth="1"/>
    <col min="12296" max="12296" width="13.7109375" style="745" bestFit="1" customWidth="1"/>
    <col min="12297" max="12544" width="11" style="745"/>
    <col min="12545" max="12545" width="6.42578125" style="745" customWidth="1"/>
    <col min="12546" max="12546" width="12.140625" style="745" customWidth="1"/>
    <col min="12547" max="12547" width="51" style="745" customWidth="1"/>
    <col min="12548" max="12548" width="12.140625" style="745" customWidth="1"/>
    <col min="12549" max="12549" width="6.42578125" style="745" customWidth="1"/>
    <col min="12550" max="12550" width="14.42578125" style="745" customWidth="1"/>
    <col min="12551" max="12551" width="16.140625" style="745" customWidth="1"/>
    <col min="12552" max="12552" width="13.7109375" style="745" bestFit="1" customWidth="1"/>
    <col min="12553" max="12800" width="11" style="745"/>
    <col min="12801" max="12801" width="6.42578125" style="745" customWidth="1"/>
    <col min="12802" max="12802" width="12.140625" style="745" customWidth="1"/>
    <col min="12803" max="12803" width="51" style="745" customWidth="1"/>
    <col min="12804" max="12804" width="12.140625" style="745" customWidth="1"/>
    <col min="12805" max="12805" width="6.42578125" style="745" customWidth="1"/>
    <col min="12806" max="12806" width="14.42578125" style="745" customWidth="1"/>
    <col min="12807" max="12807" width="16.140625" style="745" customWidth="1"/>
    <col min="12808" max="12808" width="13.7109375" style="745" bestFit="1" customWidth="1"/>
    <col min="12809" max="13056" width="11" style="745"/>
    <col min="13057" max="13057" width="6.42578125" style="745" customWidth="1"/>
    <col min="13058" max="13058" width="12.140625" style="745" customWidth="1"/>
    <col min="13059" max="13059" width="51" style="745" customWidth="1"/>
    <col min="13060" max="13060" width="12.140625" style="745" customWidth="1"/>
    <col min="13061" max="13061" width="6.42578125" style="745" customWidth="1"/>
    <col min="13062" max="13062" width="14.42578125" style="745" customWidth="1"/>
    <col min="13063" max="13063" width="16.140625" style="745" customWidth="1"/>
    <col min="13064" max="13064" width="13.7109375" style="745" bestFit="1" customWidth="1"/>
    <col min="13065" max="13312" width="11" style="745"/>
    <col min="13313" max="13313" width="6.42578125" style="745" customWidth="1"/>
    <col min="13314" max="13314" width="12.140625" style="745" customWidth="1"/>
    <col min="13315" max="13315" width="51" style="745" customWidth="1"/>
    <col min="13316" max="13316" width="12.140625" style="745" customWidth="1"/>
    <col min="13317" max="13317" width="6.42578125" style="745" customWidth="1"/>
    <col min="13318" max="13318" width="14.42578125" style="745" customWidth="1"/>
    <col min="13319" max="13319" width="16.140625" style="745" customWidth="1"/>
    <col min="13320" max="13320" width="13.7109375" style="745" bestFit="1" customWidth="1"/>
    <col min="13321" max="13568" width="11" style="745"/>
    <col min="13569" max="13569" width="6.42578125" style="745" customWidth="1"/>
    <col min="13570" max="13570" width="12.140625" style="745" customWidth="1"/>
    <col min="13571" max="13571" width="51" style="745" customWidth="1"/>
    <col min="13572" max="13572" width="12.140625" style="745" customWidth="1"/>
    <col min="13573" max="13573" width="6.42578125" style="745" customWidth="1"/>
    <col min="13574" max="13574" width="14.42578125" style="745" customWidth="1"/>
    <col min="13575" max="13575" width="16.140625" style="745" customWidth="1"/>
    <col min="13576" max="13576" width="13.7109375" style="745" bestFit="1" customWidth="1"/>
    <col min="13577" max="13824" width="11" style="745"/>
    <col min="13825" max="13825" width="6.42578125" style="745" customWidth="1"/>
    <col min="13826" max="13826" width="12.140625" style="745" customWidth="1"/>
    <col min="13827" max="13827" width="51" style="745" customWidth="1"/>
    <col min="13828" max="13828" width="12.140625" style="745" customWidth="1"/>
    <col min="13829" max="13829" width="6.42578125" style="745" customWidth="1"/>
    <col min="13830" max="13830" width="14.42578125" style="745" customWidth="1"/>
    <col min="13831" max="13831" width="16.140625" style="745" customWidth="1"/>
    <col min="13832" max="13832" width="13.7109375" style="745" bestFit="1" customWidth="1"/>
    <col min="13833" max="14080" width="11" style="745"/>
    <col min="14081" max="14081" width="6.42578125" style="745" customWidth="1"/>
    <col min="14082" max="14082" width="12.140625" style="745" customWidth="1"/>
    <col min="14083" max="14083" width="51" style="745" customWidth="1"/>
    <col min="14084" max="14084" width="12.140625" style="745" customWidth="1"/>
    <col min="14085" max="14085" width="6.42578125" style="745" customWidth="1"/>
    <col min="14086" max="14086" width="14.42578125" style="745" customWidth="1"/>
    <col min="14087" max="14087" width="16.140625" style="745" customWidth="1"/>
    <col min="14088" max="14088" width="13.7109375" style="745" bestFit="1" customWidth="1"/>
    <col min="14089" max="14336" width="11" style="745"/>
    <col min="14337" max="14337" width="6.42578125" style="745" customWidth="1"/>
    <col min="14338" max="14338" width="12.140625" style="745" customWidth="1"/>
    <col min="14339" max="14339" width="51" style="745" customWidth="1"/>
    <col min="14340" max="14340" width="12.140625" style="745" customWidth="1"/>
    <col min="14341" max="14341" width="6.42578125" style="745" customWidth="1"/>
    <col min="14342" max="14342" width="14.42578125" style="745" customWidth="1"/>
    <col min="14343" max="14343" width="16.140625" style="745" customWidth="1"/>
    <col min="14344" max="14344" width="13.7109375" style="745" bestFit="1" customWidth="1"/>
    <col min="14345" max="14592" width="11" style="745"/>
    <col min="14593" max="14593" width="6.42578125" style="745" customWidth="1"/>
    <col min="14594" max="14594" width="12.140625" style="745" customWidth="1"/>
    <col min="14595" max="14595" width="51" style="745" customWidth="1"/>
    <col min="14596" max="14596" width="12.140625" style="745" customWidth="1"/>
    <col min="14597" max="14597" width="6.42578125" style="745" customWidth="1"/>
    <col min="14598" max="14598" width="14.42578125" style="745" customWidth="1"/>
    <col min="14599" max="14599" width="16.140625" style="745" customWidth="1"/>
    <col min="14600" max="14600" width="13.7109375" style="745" bestFit="1" customWidth="1"/>
    <col min="14601" max="14848" width="11" style="745"/>
    <col min="14849" max="14849" width="6.42578125" style="745" customWidth="1"/>
    <col min="14850" max="14850" width="12.140625" style="745" customWidth="1"/>
    <col min="14851" max="14851" width="51" style="745" customWidth="1"/>
    <col min="14852" max="14852" width="12.140625" style="745" customWidth="1"/>
    <col min="14853" max="14853" width="6.42578125" style="745" customWidth="1"/>
    <col min="14854" max="14854" width="14.42578125" style="745" customWidth="1"/>
    <col min="14855" max="14855" width="16.140625" style="745" customWidth="1"/>
    <col min="14856" max="14856" width="13.7109375" style="745" bestFit="1" customWidth="1"/>
    <col min="14857" max="15104" width="11" style="745"/>
    <col min="15105" max="15105" width="6.42578125" style="745" customWidth="1"/>
    <col min="15106" max="15106" width="12.140625" style="745" customWidth="1"/>
    <col min="15107" max="15107" width="51" style="745" customWidth="1"/>
    <col min="15108" max="15108" width="12.140625" style="745" customWidth="1"/>
    <col min="15109" max="15109" width="6.42578125" style="745" customWidth="1"/>
    <col min="15110" max="15110" width="14.42578125" style="745" customWidth="1"/>
    <col min="15111" max="15111" width="16.140625" style="745" customWidth="1"/>
    <col min="15112" max="15112" width="13.7109375" style="745" bestFit="1" customWidth="1"/>
    <col min="15113" max="15360" width="11" style="745"/>
    <col min="15361" max="15361" width="6.42578125" style="745" customWidth="1"/>
    <col min="15362" max="15362" width="12.140625" style="745" customWidth="1"/>
    <col min="15363" max="15363" width="51" style="745" customWidth="1"/>
    <col min="15364" max="15364" width="12.140625" style="745" customWidth="1"/>
    <col min="15365" max="15365" width="6.42578125" style="745" customWidth="1"/>
    <col min="15366" max="15366" width="14.42578125" style="745" customWidth="1"/>
    <col min="15367" max="15367" width="16.140625" style="745" customWidth="1"/>
    <col min="15368" max="15368" width="13.7109375" style="745" bestFit="1" customWidth="1"/>
    <col min="15369" max="15616" width="11" style="745"/>
    <col min="15617" max="15617" width="6.42578125" style="745" customWidth="1"/>
    <col min="15618" max="15618" width="12.140625" style="745" customWidth="1"/>
    <col min="15619" max="15619" width="51" style="745" customWidth="1"/>
    <col min="15620" max="15620" width="12.140625" style="745" customWidth="1"/>
    <col min="15621" max="15621" width="6.42578125" style="745" customWidth="1"/>
    <col min="15622" max="15622" width="14.42578125" style="745" customWidth="1"/>
    <col min="15623" max="15623" width="16.140625" style="745" customWidth="1"/>
    <col min="15624" max="15624" width="13.7109375" style="745" bestFit="1" customWidth="1"/>
    <col min="15625" max="15872" width="11" style="745"/>
    <col min="15873" max="15873" width="6.42578125" style="745" customWidth="1"/>
    <col min="15874" max="15874" width="12.140625" style="745" customWidth="1"/>
    <col min="15875" max="15875" width="51" style="745" customWidth="1"/>
    <col min="15876" max="15876" width="12.140625" style="745" customWidth="1"/>
    <col min="15877" max="15877" width="6.42578125" style="745" customWidth="1"/>
    <col min="15878" max="15878" width="14.42578125" style="745" customWidth="1"/>
    <col min="15879" max="15879" width="16.140625" style="745" customWidth="1"/>
    <col min="15880" max="15880" width="13.7109375" style="745" bestFit="1" customWidth="1"/>
    <col min="15881" max="16128" width="11" style="745"/>
    <col min="16129" max="16129" width="6.42578125" style="745" customWidth="1"/>
    <col min="16130" max="16130" width="12.140625" style="745" customWidth="1"/>
    <col min="16131" max="16131" width="51" style="745" customWidth="1"/>
    <col min="16132" max="16132" width="12.140625" style="745" customWidth="1"/>
    <col min="16133" max="16133" width="6.42578125" style="745" customWidth="1"/>
    <col min="16134" max="16134" width="14.42578125" style="745" customWidth="1"/>
    <col min="16135" max="16135" width="16.140625" style="745" customWidth="1"/>
    <col min="16136" max="16136" width="13.7109375" style="745" bestFit="1" customWidth="1"/>
    <col min="16137" max="16384" width="11" style="745"/>
  </cols>
  <sheetData>
    <row r="1" spans="1:7" s="699" customFormat="1" ht="24.95" customHeight="1" x14ac:dyDescent="0.25">
      <c r="A1" s="773" t="s">
        <v>811</v>
      </c>
      <c r="B1" s="773"/>
      <c r="C1" s="773"/>
      <c r="D1" s="773"/>
      <c r="E1" s="773"/>
      <c r="F1" s="773"/>
      <c r="G1" s="773"/>
    </row>
    <row r="2" spans="1:7" s="703" customFormat="1" ht="8.1" customHeight="1" thickBot="1" x14ac:dyDescent="0.3">
      <c r="A2" s="700"/>
      <c r="B2" s="701"/>
      <c r="C2" s="701"/>
      <c r="D2" s="701"/>
      <c r="E2" s="701"/>
      <c r="F2" s="702"/>
      <c r="G2" s="701"/>
    </row>
    <row r="3" spans="1:7" s="704" customFormat="1" thickBot="1" x14ac:dyDescent="0.3">
      <c r="A3" s="774" t="s">
        <v>812</v>
      </c>
      <c r="B3" s="775" t="s">
        <v>813</v>
      </c>
      <c r="C3" s="776" t="s">
        <v>814</v>
      </c>
      <c r="D3" s="775" t="s">
        <v>799</v>
      </c>
      <c r="E3" s="774" t="s">
        <v>2</v>
      </c>
      <c r="F3" s="777" t="s">
        <v>815</v>
      </c>
      <c r="G3" s="777" t="s">
        <v>816</v>
      </c>
    </row>
    <row r="4" spans="1:7" s="704" customFormat="1" ht="15" customHeight="1" thickBot="1" x14ac:dyDescent="0.3">
      <c r="A4" s="774"/>
      <c r="B4" s="775"/>
      <c r="C4" s="776"/>
      <c r="D4" s="775"/>
      <c r="E4" s="774"/>
      <c r="F4" s="777"/>
      <c r="G4" s="777"/>
    </row>
    <row r="5" spans="1:7" s="704" customFormat="1" ht="15" customHeight="1" x14ac:dyDescent="0.25">
      <c r="A5" s="705" t="s">
        <v>990</v>
      </c>
      <c r="B5" s="706"/>
      <c r="C5" s="707"/>
      <c r="D5" s="706"/>
      <c r="E5" s="708"/>
      <c r="F5" s="709"/>
      <c r="G5" s="710"/>
    </row>
    <row r="6" spans="1:7" s="704" customFormat="1" ht="15" customHeight="1" x14ac:dyDescent="0.25">
      <c r="A6" s="711" t="s">
        <v>818</v>
      </c>
      <c r="B6" s="712"/>
      <c r="C6" s="713"/>
      <c r="D6" s="712"/>
      <c r="E6" s="714"/>
      <c r="F6" s="715"/>
      <c r="G6" s="716"/>
    </row>
    <row r="7" spans="1:7" s="704" customFormat="1" ht="90" x14ac:dyDescent="0.25">
      <c r="A7" s="717">
        <v>1</v>
      </c>
      <c r="B7" s="718" t="s">
        <v>819</v>
      </c>
      <c r="C7" s="719" t="s">
        <v>820</v>
      </c>
      <c r="D7" s="718">
        <v>81663</v>
      </c>
      <c r="E7" s="718" t="s">
        <v>821</v>
      </c>
      <c r="F7" s="720">
        <v>3176.25</v>
      </c>
      <c r="G7" s="721">
        <f>ROUND(F7*D7/1000,0)</f>
        <v>259382</v>
      </c>
    </row>
    <row r="8" spans="1:7" s="704" customFormat="1" ht="105" x14ac:dyDescent="0.25">
      <c r="A8" s="717">
        <f>+A7+1</f>
        <v>2</v>
      </c>
      <c r="B8" s="718" t="s">
        <v>822</v>
      </c>
      <c r="C8" s="719" t="s">
        <v>823</v>
      </c>
      <c r="D8" s="718">
        <v>29389</v>
      </c>
      <c r="E8" s="718" t="s">
        <v>10</v>
      </c>
      <c r="F8" s="720">
        <v>9.74</v>
      </c>
      <c r="G8" s="721">
        <f>ROUND(F8*D8,0)</f>
        <v>286249</v>
      </c>
    </row>
    <row r="9" spans="1:7" s="704" customFormat="1" ht="75" x14ac:dyDescent="0.25">
      <c r="A9" s="717">
        <f t="shared" ref="A9:A27" si="0">+A8+1</f>
        <v>3</v>
      </c>
      <c r="B9" s="718" t="s">
        <v>824</v>
      </c>
      <c r="C9" s="719" t="s">
        <v>991</v>
      </c>
      <c r="D9" s="718">
        <v>29451</v>
      </c>
      <c r="E9" s="718" t="s">
        <v>821</v>
      </c>
      <c r="F9" s="720">
        <v>354</v>
      </c>
      <c r="G9" s="721">
        <f>ROUND(F9*D9/1000,0)</f>
        <v>10426</v>
      </c>
    </row>
    <row r="10" spans="1:7" s="704" customFormat="1" ht="75" x14ac:dyDescent="0.25">
      <c r="A10" s="717">
        <f t="shared" si="0"/>
        <v>4</v>
      </c>
      <c r="B10" s="718" t="s">
        <v>826</v>
      </c>
      <c r="C10" s="719" t="s">
        <v>949</v>
      </c>
      <c r="D10" s="718">
        <v>500</v>
      </c>
      <c r="E10" s="718" t="s">
        <v>821</v>
      </c>
      <c r="F10" s="720">
        <v>3630</v>
      </c>
      <c r="G10" s="721">
        <f>ROUND(F10*D10/1000,0)</f>
        <v>1815</v>
      </c>
    </row>
    <row r="11" spans="1:7" s="704" customFormat="1" ht="60" x14ac:dyDescent="0.25">
      <c r="A11" s="717">
        <f t="shared" si="0"/>
        <v>5</v>
      </c>
      <c r="B11" s="718" t="s">
        <v>828</v>
      </c>
      <c r="C11" s="719" t="s">
        <v>829</v>
      </c>
      <c r="D11" s="718">
        <v>14705</v>
      </c>
      <c r="E11" s="718" t="s">
        <v>807</v>
      </c>
      <c r="F11" s="720">
        <v>2684</v>
      </c>
      <c r="G11" s="721">
        <f t="shared" ref="G11:G16" si="1">ROUND(F11*D11/100,0)</f>
        <v>394682</v>
      </c>
    </row>
    <row r="12" spans="1:7" s="704" customFormat="1" ht="120" x14ac:dyDescent="0.25">
      <c r="A12" s="717">
        <f t="shared" si="0"/>
        <v>6</v>
      </c>
      <c r="B12" s="718" t="s">
        <v>830</v>
      </c>
      <c r="C12" s="719" t="s">
        <v>831</v>
      </c>
      <c r="D12" s="718">
        <v>10530</v>
      </c>
      <c r="E12" s="718" t="s">
        <v>807</v>
      </c>
      <c r="F12" s="720">
        <v>17197.02</v>
      </c>
      <c r="G12" s="721">
        <f t="shared" si="1"/>
        <v>1810846</v>
      </c>
    </row>
    <row r="13" spans="1:7" s="704" customFormat="1" ht="120" x14ac:dyDescent="0.25">
      <c r="A13" s="717">
        <f t="shared" si="0"/>
        <v>7</v>
      </c>
      <c r="B13" s="718" t="s">
        <v>832</v>
      </c>
      <c r="C13" s="719" t="s">
        <v>833</v>
      </c>
      <c r="D13" s="718">
        <v>4031</v>
      </c>
      <c r="E13" s="718" t="s">
        <v>807</v>
      </c>
      <c r="F13" s="720">
        <v>25509.06</v>
      </c>
      <c r="G13" s="721">
        <f t="shared" si="1"/>
        <v>1028270</v>
      </c>
    </row>
    <row r="14" spans="1:7" s="704" customFormat="1" ht="30" x14ac:dyDescent="0.25">
      <c r="A14" s="717">
        <f t="shared" si="0"/>
        <v>8</v>
      </c>
      <c r="B14" s="718" t="s">
        <v>834</v>
      </c>
      <c r="C14" s="719" t="s">
        <v>835</v>
      </c>
      <c r="D14" s="718">
        <v>500</v>
      </c>
      <c r="E14" s="718" t="s">
        <v>836</v>
      </c>
      <c r="F14" s="720">
        <v>3127.41</v>
      </c>
      <c r="G14" s="721">
        <f t="shared" si="1"/>
        <v>15637</v>
      </c>
    </row>
    <row r="15" spans="1:7" s="704" customFormat="1" ht="105" x14ac:dyDescent="0.25">
      <c r="A15" s="717">
        <f t="shared" si="0"/>
        <v>9</v>
      </c>
      <c r="B15" s="718" t="s">
        <v>992</v>
      </c>
      <c r="C15" s="719" t="s">
        <v>993</v>
      </c>
      <c r="D15" s="718">
        <v>133325</v>
      </c>
      <c r="E15" s="718" t="s">
        <v>807</v>
      </c>
      <c r="F15" s="720">
        <v>28814.6</v>
      </c>
      <c r="G15" s="721">
        <f t="shared" si="1"/>
        <v>38417065</v>
      </c>
    </row>
    <row r="16" spans="1:7" s="704" customFormat="1" ht="105" x14ac:dyDescent="0.25">
      <c r="A16" s="717">
        <f t="shared" si="0"/>
        <v>10</v>
      </c>
      <c r="B16" s="718" t="s">
        <v>841</v>
      </c>
      <c r="C16" s="719" t="s">
        <v>994</v>
      </c>
      <c r="D16" s="718">
        <v>329</v>
      </c>
      <c r="E16" s="718" t="s">
        <v>807</v>
      </c>
      <c r="F16" s="720">
        <v>27160.11</v>
      </c>
      <c r="G16" s="721">
        <f t="shared" si="1"/>
        <v>89357</v>
      </c>
    </row>
    <row r="17" spans="1:7" s="704" customFormat="1" ht="90" x14ac:dyDescent="0.25">
      <c r="A17" s="717">
        <f t="shared" si="0"/>
        <v>11</v>
      </c>
      <c r="B17" s="718" t="s">
        <v>853</v>
      </c>
      <c r="C17" s="719" t="s">
        <v>854</v>
      </c>
      <c r="D17" s="718">
        <v>294.12</v>
      </c>
      <c r="E17" s="718" t="s">
        <v>855</v>
      </c>
      <c r="F17" s="720">
        <v>94850.71</v>
      </c>
      <c r="G17" s="721">
        <f>ROUND(F17*D17,0)</f>
        <v>27897491</v>
      </c>
    </row>
    <row r="18" spans="1:7" s="704" customFormat="1" ht="90" x14ac:dyDescent="0.25">
      <c r="A18" s="717">
        <f t="shared" si="0"/>
        <v>12</v>
      </c>
      <c r="B18" s="718" t="s">
        <v>856</v>
      </c>
      <c r="C18" s="719" t="s">
        <v>857</v>
      </c>
      <c r="D18" s="718">
        <v>14365</v>
      </c>
      <c r="E18" s="718" t="s">
        <v>807</v>
      </c>
      <c r="F18" s="720">
        <v>14621.44</v>
      </c>
      <c r="G18" s="721">
        <f>ROUND(F18*D18/100,0)</f>
        <v>2100370</v>
      </c>
    </row>
    <row r="19" spans="1:7" s="704" customFormat="1" ht="90" x14ac:dyDescent="0.25">
      <c r="A19" s="717">
        <f t="shared" si="0"/>
        <v>13</v>
      </c>
      <c r="B19" s="718" t="s">
        <v>837</v>
      </c>
      <c r="C19" s="719" t="s">
        <v>860</v>
      </c>
      <c r="D19" s="718">
        <v>7431</v>
      </c>
      <c r="E19" s="718" t="s">
        <v>807</v>
      </c>
      <c r="F19" s="720">
        <v>12595</v>
      </c>
      <c r="G19" s="721">
        <f>ROUND(F19*D19/100,0)</f>
        <v>935934</v>
      </c>
    </row>
    <row r="20" spans="1:7" s="704" customFormat="1" ht="120" x14ac:dyDescent="0.25">
      <c r="A20" s="717">
        <f t="shared" si="0"/>
        <v>14</v>
      </c>
      <c r="B20" s="718" t="s">
        <v>861</v>
      </c>
      <c r="C20" s="719" t="s">
        <v>862</v>
      </c>
      <c r="D20" s="718">
        <v>149</v>
      </c>
      <c r="E20" s="718" t="s">
        <v>855</v>
      </c>
      <c r="F20" s="720">
        <v>96985.64</v>
      </c>
      <c r="G20" s="721">
        <f>ROUND(F20*D20,0)</f>
        <v>14450860</v>
      </c>
    </row>
    <row r="21" spans="1:7" s="704" customFormat="1" ht="30" x14ac:dyDescent="0.25">
      <c r="A21" s="717">
        <f t="shared" si="0"/>
        <v>15</v>
      </c>
      <c r="B21" s="718" t="s">
        <v>863</v>
      </c>
      <c r="C21" s="719" t="s">
        <v>864</v>
      </c>
      <c r="D21" s="718">
        <v>149</v>
      </c>
      <c r="E21" s="718" t="s">
        <v>855</v>
      </c>
      <c r="F21" s="720">
        <v>5333.68</v>
      </c>
      <c r="G21" s="721">
        <f>ROUND(F21*D21,0)</f>
        <v>794718</v>
      </c>
    </row>
    <row r="22" spans="1:7" s="704" customFormat="1" ht="45" x14ac:dyDescent="0.25">
      <c r="A22" s="717">
        <f t="shared" si="0"/>
        <v>16</v>
      </c>
      <c r="B22" s="718" t="s">
        <v>865</v>
      </c>
      <c r="C22" s="719" t="s">
        <v>866</v>
      </c>
      <c r="D22" s="718">
        <v>29800</v>
      </c>
      <c r="E22" s="718" t="s">
        <v>836</v>
      </c>
      <c r="F22" s="720">
        <v>1270.8300000000002</v>
      </c>
      <c r="G22" s="721">
        <f>ROUND(F22*D22/100,0)</f>
        <v>378707</v>
      </c>
    </row>
    <row r="23" spans="1:7" s="704" customFormat="1" ht="30" x14ac:dyDescent="0.25">
      <c r="A23" s="717">
        <f t="shared" si="0"/>
        <v>17</v>
      </c>
      <c r="B23" s="718" t="s">
        <v>867</v>
      </c>
      <c r="C23" s="719" t="s">
        <v>995</v>
      </c>
      <c r="D23" s="718">
        <v>210</v>
      </c>
      <c r="E23" s="718" t="s">
        <v>279</v>
      </c>
      <c r="F23" s="720">
        <v>102.31932</v>
      </c>
      <c r="G23" s="721">
        <f>ROUND(F23*D23,0)</f>
        <v>21487</v>
      </c>
    </row>
    <row r="24" spans="1:7" s="704" customFormat="1" ht="30" x14ac:dyDescent="0.25">
      <c r="A24" s="717">
        <f t="shared" si="0"/>
        <v>18</v>
      </c>
      <c r="B24" s="718" t="s">
        <v>867</v>
      </c>
      <c r="C24" s="719" t="s">
        <v>996</v>
      </c>
      <c r="D24" s="718">
        <v>160</v>
      </c>
      <c r="E24" s="718" t="s">
        <v>279</v>
      </c>
      <c r="F24" s="720">
        <v>102.31932</v>
      </c>
      <c r="G24" s="721">
        <f>ROUND(F24*D24,0)</f>
        <v>16371</v>
      </c>
    </row>
    <row r="25" spans="1:7" s="704" customFormat="1" ht="90" x14ac:dyDescent="0.25">
      <c r="A25" s="717">
        <f t="shared" si="0"/>
        <v>19</v>
      </c>
      <c r="B25" s="718" t="s">
        <v>869</v>
      </c>
      <c r="C25" s="719" t="s">
        <v>870</v>
      </c>
      <c r="D25" s="718">
        <v>2072</v>
      </c>
      <c r="E25" s="718" t="s">
        <v>836</v>
      </c>
      <c r="F25" s="720">
        <v>3912.85</v>
      </c>
      <c r="G25" s="721">
        <f>ROUND(F25*D25/100,0)</f>
        <v>81074</v>
      </c>
    </row>
    <row r="26" spans="1:7" s="704" customFormat="1" ht="45" x14ac:dyDescent="0.25">
      <c r="A26" s="717">
        <f t="shared" si="0"/>
        <v>20</v>
      </c>
      <c r="B26" s="718" t="s">
        <v>871</v>
      </c>
      <c r="C26" s="719" t="s">
        <v>872</v>
      </c>
      <c r="D26" s="718">
        <v>90609</v>
      </c>
      <c r="E26" s="718" t="s">
        <v>836</v>
      </c>
      <c r="F26" s="720">
        <v>778.02</v>
      </c>
      <c r="G26" s="721">
        <f>ROUND(F26*D26/100,0)</f>
        <v>704956</v>
      </c>
    </row>
    <row r="27" spans="1:7" s="704" customFormat="1" ht="120" x14ac:dyDescent="0.25">
      <c r="A27" s="717">
        <f t="shared" si="0"/>
        <v>21</v>
      </c>
      <c r="B27" s="718" t="s">
        <v>880</v>
      </c>
      <c r="C27" s="719" t="s">
        <v>881</v>
      </c>
      <c r="D27" s="718"/>
      <c r="E27" s="718"/>
      <c r="F27" s="720"/>
      <c r="G27" s="721"/>
    </row>
    <row r="28" spans="1:7" s="704" customFormat="1" x14ac:dyDescent="0.25">
      <c r="A28" s="717" t="s">
        <v>415</v>
      </c>
      <c r="B28" s="718"/>
      <c r="C28" s="719" t="s">
        <v>882</v>
      </c>
      <c r="D28" s="718">
        <v>584</v>
      </c>
      <c r="E28" s="718" t="s">
        <v>287</v>
      </c>
      <c r="F28" s="720">
        <v>274.85714285714283</v>
      </c>
      <c r="G28" s="721">
        <f>ROUND(F28*D28,0)</f>
        <v>160517</v>
      </c>
    </row>
    <row r="29" spans="1:7" s="704" customFormat="1" ht="135" x14ac:dyDescent="0.25">
      <c r="A29" s="717">
        <f>+A27+1</f>
        <v>22</v>
      </c>
      <c r="B29" s="718" t="s">
        <v>883</v>
      </c>
      <c r="C29" s="719" t="s">
        <v>884</v>
      </c>
      <c r="D29" s="718">
        <v>1690</v>
      </c>
      <c r="E29" s="718" t="s">
        <v>10</v>
      </c>
      <c r="F29" s="720">
        <v>1182.56</v>
      </c>
      <c r="G29" s="721">
        <f>ROUND(F29*D29,0)</f>
        <v>1998526</v>
      </c>
    </row>
    <row r="30" spans="1:7" s="704" customFormat="1" ht="150" x14ac:dyDescent="0.25">
      <c r="A30" s="717">
        <f t="shared" ref="A30:A35" si="2">+A29+1</f>
        <v>23</v>
      </c>
      <c r="B30" s="718" t="s">
        <v>889</v>
      </c>
      <c r="C30" s="719" t="s">
        <v>890</v>
      </c>
      <c r="D30" s="718">
        <v>4206</v>
      </c>
      <c r="E30" s="718" t="s">
        <v>10</v>
      </c>
      <c r="F30" s="720">
        <v>1647.69</v>
      </c>
      <c r="G30" s="721">
        <f>ROUND(F30*D30,0)</f>
        <v>6930184</v>
      </c>
    </row>
    <row r="31" spans="1:7" s="704" customFormat="1" ht="75" x14ac:dyDescent="0.25">
      <c r="A31" s="717">
        <f t="shared" si="2"/>
        <v>24</v>
      </c>
      <c r="B31" s="718" t="s">
        <v>997</v>
      </c>
      <c r="C31" s="719" t="s">
        <v>998</v>
      </c>
      <c r="D31" s="718">
        <v>204</v>
      </c>
      <c r="E31" s="718" t="s">
        <v>10</v>
      </c>
      <c r="F31" s="720">
        <v>1507.66</v>
      </c>
      <c r="G31" s="721">
        <f>ROUND(F31*D31,0)</f>
        <v>307563</v>
      </c>
    </row>
    <row r="32" spans="1:7" s="704" customFormat="1" ht="60" x14ac:dyDescent="0.25">
      <c r="A32" s="717">
        <f t="shared" si="2"/>
        <v>25</v>
      </c>
      <c r="B32" s="718" t="s">
        <v>999</v>
      </c>
      <c r="C32" s="719" t="s">
        <v>1000</v>
      </c>
      <c r="D32" s="718">
        <v>1168</v>
      </c>
      <c r="E32" s="718" t="s">
        <v>287</v>
      </c>
      <c r="F32" s="720">
        <v>49.97</v>
      </c>
      <c r="G32" s="721">
        <f>ROUND(F32*D32,0)</f>
        <v>58365</v>
      </c>
    </row>
    <row r="33" spans="1:7" s="704" customFormat="1" x14ac:dyDescent="0.25">
      <c r="A33" s="717">
        <f t="shared" si="2"/>
        <v>26</v>
      </c>
      <c r="B33" s="718" t="s">
        <v>1001</v>
      </c>
      <c r="C33" s="719" t="s">
        <v>1002</v>
      </c>
      <c r="D33" s="718">
        <v>3380</v>
      </c>
      <c r="E33" s="718" t="s">
        <v>836</v>
      </c>
      <c r="F33" s="720">
        <v>3841.75</v>
      </c>
      <c r="G33" s="721">
        <f>ROUND(F33*D33/100,0)</f>
        <v>129851</v>
      </c>
    </row>
    <row r="34" spans="1:7" s="704" customFormat="1" ht="30" x14ac:dyDescent="0.25">
      <c r="A34" s="717">
        <f t="shared" si="2"/>
        <v>27</v>
      </c>
      <c r="B34" s="718" t="s">
        <v>1003</v>
      </c>
      <c r="C34" s="719" t="s">
        <v>1004</v>
      </c>
      <c r="D34" s="718">
        <v>4064</v>
      </c>
      <c r="E34" s="718" t="s">
        <v>10</v>
      </c>
      <c r="F34" s="720">
        <v>63.77</v>
      </c>
      <c r="G34" s="721">
        <f>ROUND(F34*D34,0)</f>
        <v>259161</v>
      </c>
    </row>
    <row r="35" spans="1:7" s="704" customFormat="1" ht="45" x14ac:dyDescent="0.25">
      <c r="A35" s="717">
        <f t="shared" si="2"/>
        <v>28</v>
      </c>
      <c r="B35" s="718" t="s">
        <v>891</v>
      </c>
      <c r="C35" s="719" t="s">
        <v>892</v>
      </c>
      <c r="D35" s="718"/>
      <c r="E35" s="718"/>
      <c r="F35" s="720"/>
      <c r="G35" s="721"/>
    </row>
    <row r="36" spans="1:7" s="704" customFormat="1" x14ac:dyDescent="0.25">
      <c r="A36" s="717" t="s">
        <v>415</v>
      </c>
      <c r="B36" s="718"/>
      <c r="C36" s="719" t="s">
        <v>893</v>
      </c>
      <c r="D36" s="718">
        <v>63178</v>
      </c>
      <c r="E36" s="718" t="s">
        <v>836</v>
      </c>
      <c r="F36" s="720">
        <v>2241.8000000000002</v>
      </c>
      <c r="G36" s="721">
        <f>ROUND(F36*D36/100,0)</f>
        <v>1416324</v>
      </c>
    </row>
    <row r="37" spans="1:7" s="704" customFormat="1" ht="30" x14ac:dyDescent="0.25">
      <c r="A37" s="717">
        <f>+A35+1</f>
        <v>29</v>
      </c>
      <c r="B37" s="718" t="s">
        <v>894</v>
      </c>
      <c r="C37" s="719" t="s">
        <v>895</v>
      </c>
      <c r="D37" s="718">
        <v>6317.8</v>
      </c>
      <c r="E37" s="718" t="s">
        <v>10</v>
      </c>
      <c r="F37" s="720">
        <v>104.15</v>
      </c>
      <c r="G37" s="721">
        <f>ROUND(F37*D37,0)</f>
        <v>657999</v>
      </c>
    </row>
    <row r="38" spans="1:7" s="704" customFormat="1" ht="120" x14ac:dyDescent="0.25">
      <c r="A38" s="717">
        <f>+A37+1</f>
        <v>30</v>
      </c>
      <c r="B38" s="718" t="s">
        <v>899</v>
      </c>
      <c r="C38" s="719" t="s">
        <v>1005</v>
      </c>
      <c r="D38" s="718">
        <v>73939</v>
      </c>
      <c r="E38" s="718" t="s">
        <v>836</v>
      </c>
      <c r="F38" s="720">
        <v>3444.38</v>
      </c>
      <c r="G38" s="721">
        <f>ROUND(F38*D38/100,0)</f>
        <v>2546740</v>
      </c>
    </row>
    <row r="39" spans="1:7" s="704" customFormat="1" ht="75" x14ac:dyDescent="0.25">
      <c r="A39" s="717">
        <f>+A38+1</f>
        <v>31</v>
      </c>
      <c r="B39" s="718" t="s">
        <v>901</v>
      </c>
      <c r="C39" s="719" t="s">
        <v>1006</v>
      </c>
      <c r="D39" s="718">
        <v>22842</v>
      </c>
      <c r="E39" s="718" t="s">
        <v>836</v>
      </c>
      <c r="F39" s="720">
        <v>2237.9499999999998</v>
      </c>
      <c r="G39" s="721">
        <f>ROUND(F39*D39/100,0)</f>
        <v>511193</v>
      </c>
    </row>
    <row r="40" spans="1:7" s="704" customFormat="1" ht="45" x14ac:dyDescent="0.25">
      <c r="A40" s="717">
        <f>+A39+1</f>
        <v>32</v>
      </c>
      <c r="B40" s="718" t="s">
        <v>903</v>
      </c>
      <c r="C40" s="719" t="s">
        <v>1007</v>
      </c>
      <c r="D40" s="718">
        <v>4762</v>
      </c>
      <c r="E40" s="718" t="s">
        <v>906</v>
      </c>
      <c r="F40" s="720">
        <v>28299.3</v>
      </c>
      <c r="G40" s="721">
        <f>ROUND(F40*D40/100,0)</f>
        <v>1347613</v>
      </c>
    </row>
    <row r="41" spans="1:7" s="704" customFormat="1" ht="90" x14ac:dyDescent="0.25">
      <c r="A41" s="717">
        <f>+A40+1</f>
        <v>33</v>
      </c>
      <c r="B41" s="718" t="s">
        <v>910</v>
      </c>
      <c r="C41" s="719" t="s">
        <v>911</v>
      </c>
      <c r="D41" s="718">
        <v>16405</v>
      </c>
      <c r="E41" s="718" t="s">
        <v>906</v>
      </c>
      <c r="F41" s="720">
        <v>2567.9499999999998</v>
      </c>
      <c r="G41" s="721">
        <f>ROUND(F41*D41/100,0)</f>
        <v>421272</v>
      </c>
    </row>
    <row r="42" spans="1:7" s="704" customFormat="1" ht="75" x14ac:dyDescent="0.25">
      <c r="A42" s="717">
        <f>+A41+1</f>
        <v>34</v>
      </c>
      <c r="B42" s="718" t="s">
        <v>912</v>
      </c>
      <c r="C42" s="719" t="s">
        <v>913</v>
      </c>
      <c r="D42" s="718">
        <v>5</v>
      </c>
      <c r="E42" s="718" t="s">
        <v>10</v>
      </c>
      <c r="F42" s="720">
        <v>535.70000000000005</v>
      </c>
      <c r="G42" s="721">
        <f>ROUND(F42*D42,0)</f>
        <v>2679</v>
      </c>
    </row>
    <row r="43" spans="1:7" s="704" customFormat="1" x14ac:dyDescent="0.25">
      <c r="A43" s="717" t="s">
        <v>415</v>
      </c>
      <c r="B43" s="718"/>
      <c r="C43" s="719" t="s">
        <v>1008</v>
      </c>
      <c r="D43" s="718"/>
      <c r="E43" s="718"/>
      <c r="F43" s="720"/>
      <c r="G43" s="721"/>
    </row>
    <row r="44" spans="1:7" s="704" customFormat="1" ht="45" x14ac:dyDescent="0.25">
      <c r="A44" s="717">
        <f>+A42+1</f>
        <v>35</v>
      </c>
      <c r="B44" s="718" t="s">
        <v>915</v>
      </c>
      <c r="C44" s="719" t="s">
        <v>916</v>
      </c>
      <c r="D44" s="718">
        <v>36292</v>
      </c>
      <c r="E44" s="718" t="s">
        <v>906</v>
      </c>
      <c r="F44" s="720">
        <v>27747.06</v>
      </c>
      <c r="G44" s="721">
        <f>ROUND(F44*D44/100,0)</f>
        <v>10069963</v>
      </c>
    </row>
    <row r="45" spans="1:7" s="704" customFormat="1" ht="60" x14ac:dyDescent="0.25">
      <c r="A45" s="717">
        <f t="shared" ref="A45:A52" si="3">+A44+1</f>
        <v>36</v>
      </c>
      <c r="B45" s="718" t="s">
        <v>1009</v>
      </c>
      <c r="C45" s="719" t="s">
        <v>1010</v>
      </c>
      <c r="D45" s="718">
        <v>6019</v>
      </c>
      <c r="E45" s="718" t="s">
        <v>836</v>
      </c>
      <c r="F45" s="720">
        <v>9427.84</v>
      </c>
      <c r="G45" s="721">
        <f>ROUND(F45*D45/100,0)</f>
        <v>567462</v>
      </c>
    </row>
    <row r="46" spans="1:7" s="704" customFormat="1" ht="30" x14ac:dyDescent="0.25">
      <c r="A46" s="717">
        <f t="shared" si="3"/>
        <v>37</v>
      </c>
      <c r="B46" s="718" t="s">
        <v>1011</v>
      </c>
      <c r="C46" s="719" t="s">
        <v>1012</v>
      </c>
      <c r="D46" s="718">
        <v>1931</v>
      </c>
      <c r="E46" s="718" t="s">
        <v>11</v>
      </c>
      <c r="F46" s="720">
        <v>176.47</v>
      </c>
      <c r="G46" s="721">
        <f>ROUND(F46*D46,0)</f>
        <v>340764</v>
      </c>
    </row>
    <row r="47" spans="1:7" s="704" customFormat="1" ht="75" x14ac:dyDescent="0.25">
      <c r="A47" s="717">
        <f t="shared" si="3"/>
        <v>38</v>
      </c>
      <c r="B47" s="718" t="s">
        <v>1013</v>
      </c>
      <c r="C47" s="719" t="s">
        <v>1014</v>
      </c>
      <c r="D47" s="718">
        <v>1238</v>
      </c>
      <c r="E47" s="718" t="s">
        <v>906</v>
      </c>
      <c r="F47" s="720">
        <v>65413.14</v>
      </c>
      <c r="G47" s="721">
        <f>ROUND(F47*D47/100,0)</f>
        <v>809815</v>
      </c>
    </row>
    <row r="48" spans="1:7" s="704" customFormat="1" ht="75" x14ac:dyDescent="0.25">
      <c r="A48" s="717">
        <f t="shared" si="3"/>
        <v>39</v>
      </c>
      <c r="B48" s="718" t="s">
        <v>1015</v>
      </c>
      <c r="C48" s="719" t="s">
        <v>1016</v>
      </c>
      <c r="D48" s="718">
        <v>493.63</v>
      </c>
      <c r="E48" s="718" t="s">
        <v>287</v>
      </c>
      <c r="F48" s="720">
        <v>297.01</v>
      </c>
      <c r="G48" s="721">
        <f>ROUND(F48*D48,0)</f>
        <v>146613</v>
      </c>
    </row>
    <row r="49" spans="1:7" s="704" customFormat="1" ht="45" x14ac:dyDescent="0.25">
      <c r="A49" s="717">
        <f t="shared" si="3"/>
        <v>40</v>
      </c>
      <c r="B49" s="718" t="s">
        <v>1017</v>
      </c>
      <c r="C49" s="719" t="s">
        <v>1018</v>
      </c>
      <c r="D49" s="718">
        <v>8657</v>
      </c>
      <c r="E49" s="718" t="s">
        <v>906</v>
      </c>
      <c r="F49" s="720">
        <v>3645.65</v>
      </c>
      <c r="G49" s="721">
        <f>ROUND(F49*D49/100,0)</f>
        <v>315604</v>
      </c>
    </row>
    <row r="50" spans="1:7" s="704" customFormat="1" ht="30" x14ac:dyDescent="0.25">
      <c r="A50" s="717">
        <f t="shared" si="3"/>
        <v>41</v>
      </c>
      <c r="B50" s="718" t="s">
        <v>1011</v>
      </c>
      <c r="C50" s="719" t="s">
        <v>1019</v>
      </c>
      <c r="D50" s="718">
        <v>10</v>
      </c>
      <c r="E50" s="718" t="s">
        <v>11</v>
      </c>
      <c r="F50" s="720">
        <v>176.47</v>
      </c>
      <c r="G50" s="721">
        <f>ROUND(F50*D50,0)</f>
        <v>1765</v>
      </c>
    </row>
    <row r="51" spans="1:7" s="704" customFormat="1" ht="45" x14ac:dyDescent="0.25">
      <c r="A51" s="717">
        <f t="shared" si="3"/>
        <v>42</v>
      </c>
      <c r="B51" s="718" t="s">
        <v>1020</v>
      </c>
      <c r="C51" s="719" t="s">
        <v>1021</v>
      </c>
      <c r="D51" s="718">
        <v>84</v>
      </c>
      <c r="E51" s="718" t="s">
        <v>105</v>
      </c>
      <c r="F51" s="720">
        <v>1080.2</v>
      </c>
      <c r="G51" s="721">
        <f>ROUND(F51*D51,0)</f>
        <v>90737</v>
      </c>
    </row>
    <row r="52" spans="1:7" s="704" customFormat="1" ht="105" x14ac:dyDescent="0.25">
      <c r="A52" s="717">
        <f t="shared" si="3"/>
        <v>43</v>
      </c>
      <c r="B52" s="718" t="s">
        <v>1022</v>
      </c>
      <c r="C52" s="719" t="s">
        <v>1023</v>
      </c>
      <c r="D52" s="718"/>
      <c r="E52" s="718"/>
      <c r="F52" s="720"/>
      <c r="G52" s="721"/>
    </row>
    <row r="53" spans="1:7" s="704" customFormat="1" ht="90" x14ac:dyDescent="0.25">
      <c r="A53" s="717"/>
      <c r="B53" s="718"/>
      <c r="C53" s="719" t="s">
        <v>1024</v>
      </c>
      <c r="D53" s="718">
        <v>80</v>
      </c>
      <c r="E53" s="718" t="s">
        <v>104</v>
      </c>
      <c r="F53" s="720">
        <v>351.54999999999995</v>
      </c>
      <c r="G53" s="721">
        <f>ROUND(F53*D53,0)</f>
        <v>28124</v>
      </c>
    </row>
    <row r="54" spans="1:7" s="704" customFormat="1" ht="15" customHeight="1" x14ac:dyDescent="0.25">
      <c r="A54" s="722" t="s">
        <v>926</v>
      </c>
      <c r="B54" s="723"/>
      <c r="C54" s="724"/>
      <c r="D54" s="723"/>
      <c r="E54" s="725"/>
      <c r="F54" s="726"/>
      <c r="G54" s="727"/>
    </row>
    <row r="55" spans="1:7" s="704" customFormat="1" ht="240" x14ac:dyDescent="0.25">
      <c r="A55" s="717">
        <f>+A52+1</f>
        <v>44</v>
      </c>
      <c r="B55" s="718" t="s">
        <v>927</v>
      </c>
      <c r="C55" s="719" t="s">
        <v>928</v>
      </c>
      <c r="D55" s="750"/>
      <c r="E55" s="718"/>
      <c r="F55" s="720" t="s">
        <v>929</v>
      </c>
      <c r="G55" s="721"/>
    </row>
    <row r="56" spans="1:7" s="704" customFormat="1" x14ac:dyDescent="0.25">
      <c r="A56" s="717" t="s">
        <v>415</v>
      </c>
      <c r="B56" s="718"/>
      <c r="C56" s="719" t="s">
        <v>930</v>
      </c>
      <c r="D56" s="750"/>
      <c r="E56" s="718" t="s">
        <v>11</v>
      </c>
      <c r="F56" s="720">
        <v>650</v>
      </c>
      <c r="G56" s="721">
        <f t="shared" ref="G56:G69" si="4">ROUND(F56*D56,0)</f>
        <v>0</v>
      </c>
    </row>
    <row r="57" spans="1:7" s="704" customFormat="1" ht="240" x14ac:dyDescent="0.25">
      <c r="A57" s="717">
        <f>+A55+1</f>
        <v>45</v>
      </c>
      <c r="B57" s="718" t="s">
        <v>927</v>
      </c>
      <c r="C57" s="719" t="s">
        <v>931</v>
      </c>
      <c r="D57" s="750"/>
      <c r="E57" s="718" t="s">
        <v>10</v>
      </c>
      <c r="F57" s="720">
        <v>700</v>
      </c>
      <c r="G57" s="721">
        <f t="shared" si="4"/>
        <v>0</v>
      </c>
    </row>
    <row r="58" spans="1:7" s="704" customFormat="1" ht="165" x14ac:dyDescent="0.25">
      <c r="A58" s="717">
        <f t="shared" ref="A58:A69" si="5">+A57+1</f>
        <v>46</v>
      </c>
      <c r="B58" s="718" t="s">
        <v>927</v>
      </c>
      <c r="C58" s="719" t="s">
        <v>932</v>
      </c>
      <c r="D58" s="718">
        <v>190</v>
      </c>
      <c r="E58" s="718" t="s">
        <v>10</v>
      </c>
      <c r="F58" s="720">
        <v>1600</v>
      </c>
      <c r="G58" s="721">
        <f t="shared" si="4"/>
        <v>304000</v>
      </c>
    </row>
    <row r="59" spans="1:7" s="704" customFormat="1" ht="150" x14ac:dyDescent="0.25">
      <c r="A59" s="717">
        <f t="shared" si="5"/>
        <v>47</v>
      </c>
      <c r="B59" s="718" t="s">
        <v>927</v>
      </c>
      <c r="C59" s="719" t="s">
        <v>933</v>
      </c>
      <c r="D59" s="718">
        <v>152</v>
      </c>
      <c r="E59" s="718" t="s">
        <v>10</v>
      </c>
      <c r="F59" s="720">
        <v>1300</v>
      </c>
      <c r="G59" s="721">
        <f t="shared" si="4"/>
        <v>197600</v>
      </c>
    </row>
    <row r="60" spans="1:7" s="704" customFormat="1" ht="75" x14ac:dyDescent="0.25">
      <c r="A60" s="717">
        <f t="shared" si="5"/>
        <v>48</v>
      </c>
      <c r="B60" s="718" t="s">
        <v>927</v>
      </c>
      <c r="C60" s="719" t="s">
        <v>935</v>
      </c>
      <c r="D60" s="718">
        <v>10057</v>
      </c>
      <c r="E60" s="718" t="s">
        <v>10</v>
      </c>
      <c r="F60" s="720">
        <v>260</v>
      </c>
      <c r="G60" s="721">
        <f t="shared" si="4"/>
        <v>2614820</v>
      </c>
    </row>
    <row r="61" spans="1:7" s="704" customFormat="1" ht="45" x14ac:dyDescent="0.25">
      <c r="A61" s="717">
        <f t="shared" si="5"/>
        <v>49</v>
      </c>
      <c r="B61" s="718" t="s">
        <v>1011</v>
      </c>
      <c r="C61" s="719" t="s">
        <v>1025</v>
      </c>
      <c r="D61" s="718">
        <v>10057</v>
      </c>
      <c r="E61" s="718" t="s">
        <v>11</v>
      </c>
      <c r="F61" s="720">
        <v>176.47</v>
      </c>
      <c r="G61" s="721">
        <f t="shared" si="4"/>
        <v>1774759</v>
      </c>
    </row>
    <row r="62" spans="1:7" s="704" customFormat="1" ht="90" x14ac:dyDescent="0.25">
      <c r="A62" s="717">
        <f t="shared" si="5"/>
        <v>50</v>
      </c>
      <c r="B62" s="718" t="s">
        <v>927</v>
      </c>
      <c r="C62" s="719" t="s">
        <v>936</v>
      </c>
      <c r="D62" s="718">
        <v>3628</v>
      </c>
      <c r="E62" s="718" t="s">
        <v>287</v>
      </c>
      <c r="F62" s="720">
        <v>50</v>
      </c>
      <c r="G62" s="721">
        <f t="shared" si="4"/>
        <v>181400</v>
      </c>
    </row>
    <row r="63" spans="1:7" s="704" customFormat="1" ht="60" x14ac:dyDescent="0.25">
      <c r="A63" s="717">
        <f t="shared" si="5"/>
        <v>51</v>
      </c>
      <c r="B63" s="718" t="s">
        <v>927</v>
      </c>
      <c r="C63" s="719" t="s">
        <v>1026</v>
      </c>
      <c r="D63" s="718">
        <v>38048</v>
      </c>
      <c r="E63" s="718" t="s">
        <v>10</v>
      </c>
      <c r="F63" s="720">
        <v>112.83364312267658</v>
      </c>
      <c r="G63" s="721">
        <f t="shared" si="4"/>
        <v>4293094</v>
      </c>
    </row>
    <row r="64" spans="1:7" s="704" customFormat="1" ht="75" x14ac:dyDescent="0.25">
      <c r="A64" s="717">
        <f t="shared" si="5"/>
        <v>52</v>
      </c>
      <c r="B64" s="718" t="s">
        <v>927</v>
      </c>
      <c r="C64" s="719" t="s">
        <v>1027</v>
      </c>
      <c r="D64" s="718">
        <v>1151</v>
      </c>
      <c r="E64" s="718" t="s">
        <v>10</v>
      </c>
      <c r="F64" s="720">
        <v>1200</v>
      </c>
      <c r="G64" s="721">
        <f t="shared" si="4"/>
        <v>1381200</v>
      </c>
    </row>
    <row r="65" spans="1:7" s="704" customFormat="1" ht="135" x14ac:dyDescent="0.25">
      <c r="A65" s="717">
        <f t="shared" si="5"/>
        <v>53</v>
      </c>
      <c r="B65" s="718" t="s">
        <v>927</v>
      </c>
      <c r="C65" s="719" t="s">
        <v>942</v>
      </c>
      <c r="D65" s="718">
        <v>24268</v>
      </c>
      <c r="E65" s="718" t="s">
        <v>10</v>
      </c>
      <c r="F65" s="720">
        <v>300</v>
      </c>
      <c r="G65" s="721">
        <f t="shared" si="4"/>
        <v>7280400</v>
      </c>
    </row>
    <row r="66" spans="1:7" s="704" customFormat="1" ht="45" x14ac:dyDescent="0.25">
      <c r="A66" s="717">
        <f t="shared" si="5"/>
        <v>54</v>
      </c>
      <c r="B66" s="718" t="s">
        <v>927</v>
      </c>
      <c r="C66" s="719" t="s">
        <v>1028</v>
      </c>
      <c r="D66" s="718">
        <v>5954</v>
      </c>
      <c r="E66" s="718" t="s">
        <v>105</v>
      </c>
      <c r="F66" s="720">
        <v>759.3457249070633</v>
      </c>
      <c r="G66" s="721">
        <f t="shared" si="4"/>
        <v>4521144</v>
      </c>
    </row>
    <row r="67" spans="1:7" s="704" customFormat="1" ht="75" x14ac:dyDescent="0.25">
      <c r="A67" s="717">
        <f t="shared" si="5"/>
        <v>55</v>
      </c>
      <c r="B67" s="718" t="s">
        <v>927</v>
      </c>
      <c r="C67" s="719" t="s">
        <v>1029</v>
      </c>
      <c r="D67" s="718">
        <v>192</v>
      </c>
      <c r="E67" s="718" t="s">
        <v>105</v>
      </c>
      <c r="F67" s="720">
        <v>1094.2295539033457</v>
      </c>
      <c r="G67" s="721">
        <f t="shared" si="4"/>
        <v>210092</v>
      </c>
    </row>
    <row r="68" spans="1:7" s="704" customFormat="1" ht="90" x14ac:dyDescent="0.25">
      <c r="A68" s="717">
        <f t="shared" si="5"/>
        <v>56</v>
      </c>
      <c r="B68" s="718" t="s">
        <v>927</v>
      </c>
      <c r="C68" s="719" t="s">
        <v>1030</v>
      </c>
      <c r="D68" s="718">
        <v>125</v>
      </c>
      <c r="E68" s="718" t="s">
        <v>105</v>
      </c>
      <c r="F68" s="720">
        <v>430.70260223048325</v>
      </c>
      <c r="G68" s="721">
        <f t="shared" si="4"/>
        <v>53838</v>
      </c>
    </row>
    <row r="69" spans="1:7" s="704" customFormat="1" ht="105" x14ac:dyDescent="0.25">
      <c r="A69" s="717">
        <f t="shared" si="5"/>
        <v>57</v>
      </c>
      <c r="B69" s="718" t="s">
        <v>927</v>
      </c>
      <c r="C69" s="719" t="s">
        <v>1031</v>
      </c>
      <c r="D69" s="718">
        <v>16405</v>
      </c>
      <c r="E69" s="718" t="s">
        <v>105</v>
      </c>
      <c r="F69" s="720">
        <v>126.04553903345725</v>
      </c>
      <c r="G69" s="721">
        <f t="shared" si="4"/>
        <v>2067777</v>
      </c>
    </row>
    <row r="70" spans="1:7" s="704" customFormat="1" x14ac:dyDescent="0.25">
      <c r="A70" s="728"/>
      <c r="B70" s="729"/>
      <c r="C70" s="730"/>
      <c r="D70" s="729"/>
      <c r="E70" s="729"/>
      <c r="F70" s="731"/>
      <c r="G70" s="732"/>
    </row>
    <row r="71" spans="1:7" s="667" customFormat="1" ht="30" customHeight="1" x14ac:dyDescent="0.25">
      <c r="A71" s="772" t="s">
        <v>809</v>
      </c>
      <c r="B71" s="772"/>
      <c r="C71" s="772"/>
      <c r="D71" s="772"/>
      <c r="E71" s="772"/>
      <c r="F71" s="772"/>
      <c r="G71" s="733">
        <f>SUM(G7:G70)</f>
        <v>143694655</v>
      </c>
    </row>
    <row r="72" spans="1:7" s="738" customFormat="1" x14ac:dyDescent="0.25">
      <c r="A72" s="734"/>
      <c r="B72" s="735"/>
      <c r="C72" s="736"/>
      <c r="D72" s="735"/>
      <c r="E72" s="737"/>
    </row>
  </sheetData>
  <mergeCells count="9">
    <mergeCell ref="A71:F71"/>
    <mergeCell ref="A1:G1"/>
    <mergeCell ref="A3:A4"/>
    <mergeCell ref="B3:B4"/>
    <mergeCell ref="C3:C4"/>
    <mergeCell ref="D3:D4"/>
    <mergeCell ref="E3:E4"/>
    <mergeCell ref="F3:F4"/>
    <mergeCell ref="G3:G4"/>
  </mergeCells>
  <printOptions horizontalCentered="1"/>
  <pageMargins left="0.5" right="0" top="0.5" bottom="0.55000000000000004" header="0.17" footer="0"/>
  <pageSetup paperSize="9" scale="81" fitToHeight="0" orientation="portrait" r:id="rId1"/>
  <headerFooter alignWithMargins="0">
    <oddFooter>&amp;R&amp;8______________________________
&amp;A
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M92"/>
  <sheetViews>
    <sheetView view="pageBreakPreview" topLeftCell="A88" zoomScale="70" zoomScaleNormal="75" zoomScaleSheetLayoutView="70" workbookViewId="0">
      <selection activeCell="C5" sqref="C5"/>
    </sheetView>
  </sheetViews>
  <sheetFormatPr defaultRowHeight="14.25" x14ac:dyDescent="0.2"/>
  <cols>
    <col min="1" max="2" width="9.140625" style="693"/>
    <col min="3" max="3" width="57.85546875" style="698" customWidth="1"/>
    <col min="4" max="4" width="14.42578125" style="698" customWidth="1"/>
    <col min="5" max="5" width="10.28515625" style="698" customWidth="1"/>
    <col min="6" max="10" width="17.85546875" style="693" customWidth="1"/>
    <col min="11" max="258" width="9.140625" style="693"/>
    <col min="259" max="259" width="57.85546875" style="693" customWidth="1"/>
    <col min="260" max="260" width="14.42578125" style="693" customWidth="1"/>
    <col min="261" max="261" width="10.28515625" style="693" customWidth="1"/>
    <col min="262" max="266" width="17.85546875" style="693" customWidth="1"/>
    <col min="267" max="514" width="9.140625" style="693"/>
    <col min="515" max="515" width="57.85546875" style="693" customWidth="1"/>
    <col min="516" max="516" width="14.42578125" style="693" customWidth="1"/>
    <col min="517" max="517" width="10.28515625" style="693" customWidth="1"/>
    <col min="518" max="522" width="17.85546875" style="693" customWidth="1"/>
    <col min="523" max="770" width="9.140625" style="693"/>
    <col min="771" max="771" width="57.85546875" style="693" customWidth="1"/>
    <col min="772" max="772" width="14.42578125" style="693" customWidth="1"/>
    <col min="773" max="773" width="10.28515625" style="693" customWidth="1"/>
    <col min="774" max="778" width="17.85546875" style="693" customWidth="1"/>
    <col min="779" max="1026" width="9.140625" style="693"/>
    <col min="1027" max="1027" width="57.85546875" style="693" customWidth="1"/>
    <col min="1028" max="1028" width="14.42578125" style="693" customWidth="1"/>
    <col min="1029" max="1029" width="10.28515625" style="693" customWidth="1"/>
    <col min="1030" max="1034" width="17.85546875" style="693" customWidth="1"/>
    <col min="1035" max="1282" width="9.140625" style="693"/>
    <col min="1283" max="1283" width="57.85546875" style="693" customWidth="1"/>
    <col min="1284" max="1284" width="14.42578125" style="693" customWidth="1"/>
    <col min="1285" max="1285" width="10.28515625" style="693" customWidth="1"/>
    <col min="1286" max="1290" width="17.85546875" style="693" customWidth="1"/>
    <col min="1291" max="1538" width="9.140625" style="693"/>
    <col min="1539" max="1539" width="57.85546875" style="693" customWidth="1"/>
    <col min="1540" max="1540" width="14.42578125" style="693" customWidth="1"/>
    <col min="1541" max="1541" width="10.28515625" style="693" customWidth="1"/>
    <col min="1542" max="1546" width="17.85546875" style="693" customWidth="1"/>
    <col min="1547" max="1794" width="9.140625" style="693"/>
    <col min="1795" max="1795" width="57.85546875" style="693" customWidth="1"/>
    <col min="1796" max="1796" width="14.42578125" style="693" customWidth="1"/>
    <col min="1797" max="1797" width="10.28515625" style="693" customWidth="1"/>
    <col min="1798" max="1802" width="17.85546875" style="693" customWidth="1"/>
    <col min="1803" max="2050" width="9.140625" style="693"/>
    <col min="2051" max="2051" width="57.85546875" style="693" customWidth="1"/>
    <col min="2052" max="2052" width="14.42578125" style="693" customWidth="1"/>
    <col min="2053" max="2053" width="10.28515625" style="693" customWidth="1"/>
    <col min="2054" max="2058" width="17.85546875" style="693" customWidth="1"/>
    <col min="2059" max="2306" width="9.140625" style="693"/>
    <col min="2307" max="2307" width="57.85546875" style="693" customWidth="1"/>
    <col min="2308" max="2308" width="14.42578125" style="693" customWidth="1"/>
    <col min="2309" max="2309" width="10.28515625" style="693" customWidth="1"/>
    <col min="2310" max="2314" width="17.85546875" style="693" customWidth="1"/>
    <col min="2315" max="2562" width="9.140625" style="693"/>
    <col min="2563" max="2563" width="57.85546875" style="693" customWidth="1"/>
    <col min="2564" max="2564" width="14.42578125" style="693" customWidth="1"/>
    <col min="2565" max="2565" width="10.28515625" style="693" customWidth="1"/>
    <col min="2566" max="2570" width="17.85546875" style="693" customWidth="1"/>
    <col min="2571" max="2818" width="9.140625" style="693"/>
    <col min="2819" max="2819" width="57.85546875" style="693" customWidth="1"/>
    <col min="2820" max="2820" width="14.42578125" style="693" customWidth="1"/>
    <col min="2821" max="2821" width="10.28515625" style="693" customWidth="1"/>
    <col min="2822" max="2826" width="17.85546875" style="693" customWidth="1"/>
    <col min="2827" max="3074" width="9.140625" style="693"/>
    <col min="3075" max="3075" width="57.85546875" style="693" customWidth="1"/>
    <col min="3076" max="3076" width="14.42578125" style="693" customWidth="1"/>
    <col min="3077" max="3077" width="10.28515625" style="693" customWidth="1"/>
    <col min="3078" max="3082" width="17.85546875" style="693" customWidth="1"/>
    <col min="3083" max="3330" width="9.140625" style="693"/>
    <col min="3331" max="3331" width="57.85546875" style="693" customWidth="1"/>
    <col min="3332" max="3332" width="14.42578125" style="693" customWidth="1"/>
    <col min="3333" max="3333" width="10.28515625" style="693" customWidth="1"/>
    <col min="3334" max="3338" width="17.85546875" style="693" customWidth="1"/>
    <col min="3339" max="3586" width="9.140625" style="693"/>
    <col min="3587" max="3587" width="57.85546875" style="693" customWidth="1"/>
    <col min="3588" max="3588" width="14.42578125" style="693" customWidth="1"/>
    <col min="3589" max="3589" width="10.28515625" style="693" customWidth="1"/>
    <col min="3590" max="3594" width="17.85546875" style="693" customWidth="1"/>
    <col min="3595" max="3842" width="9.140625" style="693"/>
    <col min="3843" max="3843" width="57.85546875" style="693" customWidth="1"/>
    <col min="3844" max="3844" width="14.42578125" style="693" customWidth="1"/>
    <col min="3845" max="3845" width="10.28515625" style="693" customWidth="1"/>
    <col min="3846" max="3850" width="17.85546875" style="693" customWidth="1"/>
    <col min="3851" max="4098" width="9.140625" style="693"/>
    <col min="4099" max="4099" width="57.85546875" style="693" customWidth="1"/>
    <col min="4100" max="4100" width="14.42578125" style="693" customWidth="1"/>
    <col min="4101" max="4101" width="10.28515625" style="693" customWidth="1"/>
    <col min="4102" max="4106" width="17.85546875" style="693" customWidth="1"/>
    <col min="4107" max="4354" width="9.140625" style="693"/>
    <col min="4355" max="4355" width="57.85546875" style="693" customWidth="1"/>
    <col min="4356" max="4356" width="14.42578125" style="693" customWidth="1"/>
    <col min="4357" max="4357" width="10.28515625" style="693" customWidth="1"/>
    <col min="4358" max="4362" width="17.85546875" style="693" customWidth="1"/>
    <col min="4363" max="4610" width="9.140625" style="693"/>
    <col min="4611" max="4611" width="57.85546875" style="693" customWidth="1"/>
    <col min="4612" max="4612" width="14.42578125" style="693" customWidth="1"/>
    <col min="4613" max="4613" width="10.28515625" style="693" customWidth="1"/>
    <col min="4614" max="4618" width="17.85546875" style="693" customWidth="1"/>
    <col min="4619" max="4866" width="9.140625" style="693"/>
    <col min="4867" max="4867" width="57.85546875" style="693" customWidth="1"/>
    <col min="4868" max="4868" width="14.42578125" style="693" customWidth="1"/>
    <col min="4869" max="4869" width="10.28515625" style="693" customWidth="1"/>
    <col min="4870" max="4874" width="17.85546875" style="693" customWidth="1"/>
    <col min="4875" max="5122" width="9.140625" style="693"/>
    <col min="5123" max="5123" width="57.85546875" style="693" customWidth="1"/>
    <col min="5124" max="5124" width="14.42578125" style="693" customWidth="1"/>
    <col min="5125" max="5125" width="10.28515625" style="693" customWidth="1"/>
    <col min="5126" max="5130" width="17.85546875" style="693" customWidth="1"/>
    <col min="5131" max="5378" width="9.140625" style="693"/>
    <col min="5379" max="5379" width="57.85546875" style="693" customWidth="1"/>
    <col min="5380" max="5380" width="14.42578125" style="693" customWidth="1"/>
    <col min="5381" max="5381" width="10.28515625" style="693" customWidth="1"/>
    <col min="5382" max="5386" width="17.85546875" style="693" customWidth="1"/>
    <col min="5387" max="5634" width="9.140625" style="693"/>
    <col min="5635" max="5635" width="57.85546875" style="693" customWidth="1"/>
    <col min="5636" max="5636" width="14.42578125" style="693" customWidth="1"/>
    <col min="5637" max="5637" width="10.28515625" style="693" customWidth="1"/>
    <col min="5638" max="5642" width="17.85546875" style="693" customWidth="1"/>
    <col min="5643" max="5890" width="9.140625" style="693"/>
    <col min="5891" max="5891" width="57.85546875" style="693" customWidth="1"/>
    <col min="5892" max="5892" width="14.42578125" style="693" customWidth="1"/>
    <col min="5893" max="5893" width="10.28515625" style="693" customWidth="1"/>
    <col min="5894" max="5898" width="17.85546875" style="693" customWidth="1"/>
    <col min="5899" max="6146" width="9.140625" style="693"/>
    <col min="6147" max="6147" width="57.85546875" style="693" customWidth="1"/>
    <col min="6148" max="6148" width="14.42578125" style="693" customWidth="1"/>
    <col min="6149" max="6149" width="10.28515625" style="693" customWidth="1"/>
    <col min="6150" max="6154" width="17.85546875" style="693" customWidth="1"/>
    <col min="6155" max="6402" width="9.140625" style="693"/>
    <col min="6403" max="6403" width="57.85546875" style="693" customWidth="1"/>
    <col min="6404" max="6404" width="14.42578125" style="693" customWidth="1"/>
    <col min="6405" max="6405" width="10.28515625" style="693" customWidth="1"/>
    <col min="6406" max="6410" width="17.85546875" style="693" customWidth="1"/>
    <col min="6411" max="6658" width="9.140625" style="693"/>
    <col min="6659" max="6659" width="57.85546875" style="693" customWidth="1"/>
    <col min="6660" max="6660" width="14.42578125" style="693" customWidth="1"/>
    <col min="6661" max="6661" width="10.28515625" style="693" customWidth="1"/>
    <col min="6662" max="6666" width="17.85546875" style="693" customWidth="1"/>
    <col min="6667" max="6914" width="9.140625" style="693"/>
    <col min="6915" max="6915" width="57.85546875" style="693" customWidth="1"/>
    <col min="6916" max="6916" width="14.42578125" style="693" customWidth="1"/>
    <col min="6917" max="6917" width="10.28515625" style="693" customWidth="1"/>
    <col min="6918" max="6922" width="17.85546875" style="693" customWidth="1"/>
    <col min="6923" max="7170" width="9.140625" style="693"/>
    <col min="7171" max="7171" width="57.85546875" style="693" customWidth="1"/>
    <col min="7172" max="7172" width="14.42578125" style="693" customWidth="1"/>
    <col min="7173" max="7173" width="10.28515625" style="693" customWidth="1"/>
    <col min="7174" max="7178" width="17.85546875" style="693" customWidth="1"/>
    <col min="7179" max="7426" width="9.140625" style="693"/>
    <col min="7427" max="7427" width="57.85546875" style="693" customWidth="1"/>
    <col min="7428" max="7428" width="14.42578125" style="693" customWidth="1"/>
    <col min="7429" max="7429" width="10.28515625" style="693" customWidth="1"/>
    <col min="7430" max="7434" width="17.85546875" style="693" customWidth="1"/>
    <col min="7435" max="7682" width="9.140625" style="693"/>
    <col min="7683" max="7683" width="57.85546875" style="693" customWidth="1"/>
    <col min="7684" max="7684" width="14.42578125" style="693" customWidth="1"/>
    <col min="7685" max="7685" width="10.28515625" style="693" customWidth="1"/>
    <col min="7686" max="7690" width="17.85546875" style="693" customWidth="1"/>
    <col min="7691" max="7938" width="9.140625" style="693"/>
    <col min="7939" max="7939" width="57.85546875" style="693" customWidth="1"/>
    <col min="7940" max="7940" width="14.42578125" style="693" customWidth="1"/>
    <col min="7941" max="7941" width="10.28515625" style="693" customWidth="1"/>
    <col min="7942" max="7946" width="17.85546875" style="693" customWidth="1"/>
    <col min="7947" max="8194" width="9.140625" style="693"/>
    <col min="8195" max="8195" width="57.85546875" style="693" customWidth="1"/>
    <col min="8196" max="8196" width="14.42578125" style="693" customWidth="1"/>
    <col min="8197" max="8197" width="10.28515625" style="693" customWidth="1"/>
    <col min="8198" max="8202" width="17.85546875" style="693" customWidth="1"/>
    <col min="8203" max="8450" width="9.140625" style="693"/>
    <col min="8451" max="8451" width="57.85546875" style="693" customWidth="1"/>
    <col min="8452" max="8452" width="14.42578125" style="693" customWidth="1"/>
    <col min="8453" max="8453" width="10.28515625" style="693" customWidth="1"/>
    <col min="8454" max="8458" width="17.85546875" style="693" customWidth="1"/>
    <col min="8459" max="8706" width="9.140625" style="693"/>
    <col min="8707" max="8707" width="57.85546875" style="693" customWidth="1"/>
    <col min="8708" max="8708" width="14.42578125" style="693" customWidth="1"/>
    <col min="8709" max="8709" width="10.28515625" style="693" customWidth="1"/>
    <col min="8710" max="8714" width="17.85546875" style="693" customWidth="1"/>
    <col min="8715" max="8962" width="9.140625" style="693"/>
    <col min="8963" max="8963" width="57.85546875" style="693" customWidth="1"/>
    <col min="8964" max="8964" width="14.42578125" style="693" customWidth="1"/>
    <col min="8965" max="8965" width="10.28515625" style="693" customWidth="1"/>
    <col min="8966" max="8970" width="17.85546875" style="693" customWidth="1"/>
    <col min="8971" max="9218" width="9.140625" style="693"/>
    <col min="9219" max="9219" width="57.85546875" style="693" customWidth="1"/>
    <col min="9220" max="9220" width="14.42578125" style="693" customWidth="1"/>
    <col min="9221" max="9221" width="10.28515625" style="693" customWidth="1"/>
    <col min="9222" max="9226" width="17.85546875" style="693" customWidth="1"/>
    <col min="9227" max="9474" width="9.140625" style="693"/>
    <col min="9475" max="9475" width="57.85546875" style="693" customWidth="1"/>
    <col min="9476" max="9476" width="14.42578125" style="693" customWidth="1"/>
    <col min="9477" max="9477" width="10.28515625" style="693" customWidth="1"/>
    <col min="9478" max="9482" width="17.85546875" style="693" customWidth="1"/>
    <col min="9483" max="9730" width="9.140625" style="693"/>
    <col min="9731" max="9731" width="57.85546875" style="693" customWidth="1"/>
    <col min="9732" max="9732" width="14.42578125" style="693" customWidth="1"/>
    <col min="9733" max="9733" width="10.28515625" style="693" customWidth="1"/>
    <col min="9734" max="9738" width="17.85546875" style="693" customWidth="1"/>
    <col min="9739" max="9986" width="9.140625" style="693"/>
    <col min="9987" max="9987" width="57.85546875" style="693" customWidth="1"/>
    <col min="9988" max="9988" width="14.42578125" style="693" customWidth="1"/>
    <col min="9989" max="9989" width="10.28515625" style="693" customWidth="1"/>
    <col min="9990" max="9994" width="17.85546875" style="693" customWidth="1"/>
    <col min="9995" max="10242" width="9.140625" style="693"/>
    <col min="10243" max="10243" width="57.85546875" style="693" customWidth="1"/>
    <col min="10244" max="10244" width="14.42578125" style="693" customWidth="1"/>
    <col min="10245" max="10245" width="10.28515625" style="693" customWidth="1"/>
    <col min="10246" max="10250" width="17.85546875" style="693" customWidth="1"/>
    <col min="10251" max="10498" width="9.140625" style="693"/>
    <col min="10499" max="10499" width="57.85546875" style="693" customWidth="1"/>
    <col min="10500" max="10500" width="14.42578125" style="693" customWidth="1"/>
    <col min="10501" max="10501" width="10.28515625" style="693" customWidth="1"/>
    <col min="10502" max="10506" width="17.85546875" style="693" customWidth="1"/>
    <col min="10507" max="10754" width="9.140625" style="693"/>
    <col min="10755" max="10755" width="57.85546875" style="693" customWidth="1"/>
    <col min="10756" max="10756" width="14.42578125" style="693" customWidth="1"/>
    <col min="10757" max="10757" width="10.28515625" style="693" customWidth="1"/>
    <col min="10758" max="10762" width="17.85546875" style="693" customWidth="1"/>
    <col min="10763" max="11010" width="9.140625" style="693"/>
    <col min="11011" max="11011" width="57.85546875" style="693" customWidth="1"/>
    <col min="11012" max="11012" width="14.42578125" style="693" customWidth="1"/>
    <col min="11013" max="11013" width="10.28515625" style="693" customWidth="1"/>
    <col min="11014" max="11018" width="17.85546875" style="693" customWidth="1"/>
    <col min="11019" max="11266" width="9.140625" style="693"/>
    <col min="11267" max="11267" width="57.85546875" style="693" customWidth="1"/>
    <col min="11268" max="11268" width="14.42578125" style="693" customWidth="1"/>
    <col min="11269" max="11269" width="10.28515625" style="693" customWidth="1"/>
    <col min="11270" max="11274" width="17.85546875" style="693" customWidth="1"/>
    <col min="11275" max="11522" width="9.140625" style="693"/>
    <col min="11523" max="11523" width="57.85546875" style="693" customWidth="1"/>
    <col min="11524" max="11524" width="14.42578125" style="693" customWidth="1"/>
    <col min="11525" max="11525" width="10.28515625" style="693" customWidth="1"/>
    <col min="11526" max="11530" width="17.85546875" style="693" customWidth="1"/>
    <col min="11531" max="11778" width="9.140625" style="693"/>
    <col min="11779" max="11779" width="57.85546875" style="693" customWidth="1"/>
    <col min="11780" max="11780" width="14.42578125" style="693" customWidth="1"/>
    <col min="11781" max="11781" width="10.28515625" style="693" customWidth="1"/>
    <col min="11782" max="11786" width="17.85546875" style="693" customWidth="1"/>
    <col min="11787" max="12034" width="9.140625" style="693"/>
    <col min="12035" max="12035" width="57.85546875" style="693" customWidth="1"/>
    <col min="12036" max="12036" width="14.42578125" style="693" customWidth="1"/>
    <col min="12037" max="12037" width="10.28515625" style="693" customWidth="1"/>
    <col min="12038" max="12042" width="17.85546875" style="693" customWidth="1"/>
    <col min="12043" max="12290" width="9.140625" style="693"/>
    <col min="12291" max="12291" width="57.85546875" style="693" customWidth="1"/>
    <col min="12292" max="12292" width="14.42578125" style="693" customWidth="1"/>
    <col min="12293" max="12293" width="10.28515625" style="693" customWidth="1"/>
    <col min="12294" max="12298" width="17.85546875" style="693" customWidth="1"/>
    <col min="12299" max="12546" width="9.140625" style="693"/>
    <col min="12547" max="12547" width="57.85546875" style="693" customWidth="1"/>
    <col min="12548" max="12548" width="14.42578125" style="693" customWidth="1"/>
    <col min="12549" max="12549" width="10.28515625" style="693" customWidth="1"/>
    <col min="12550" max="12554" width="17.85546875" style="693" customWidth="1"/>
    <col min="12555" max="12802" width="9.140625" style="693"/>
    <col min="12803" max="12803" width="57.85546875" style="693" customWidth="1"/>
    <col min="12804" max="12804" width="14.42578125" style="693" customWidth="1"/>
    <col min="12805" max="12805" width="10.28515625" style="693" customWidth="1"/>
    <col min="12806" max="12810" width="17.85546875" style="693" customWidth="1"/>
    <col min="12811" max="13058" width="9.140625" style="693"/>
    <col min="13059" max="13059" width="57.85546875" style="693" customWidth="1"/>
    <col min="13060" max="13060" width="14.42578125" style="693" customWidth="1"/>
    <col min="13061" max="13061" width="10.28515625" style="693" customWidth="1"/>
    <col min="13062" max="13066" width="17.85546875" style="693" customWidth="1"/>
    <col min="13067" max="13314" width="9.140625" style="693"/>
    <col min="13315" max="13315" width="57.85546875" style="693" customWidth="1"/>
    <col min="13316" max="13316" width="14.42578125" style="693" customWidth="1"/>
    <col min="13317" max="13317" width="10.28515625" style="693" customWidth="1"/>
    <col min="13318" max="13322" width="17.85546875" style="693" customWidth="1"/>
    <col min="13323" max="13570" width="9.140625" style="693"/>
    <col min="13571" max="13571" width="57.85546875" style="693" customWidth="1"/>
    <col min="13572" max="13572" width="14.42578125" style="693" customWidth="1"/>
    <col min="13573" max="13573" width="10.28515625" style="693" customWidth="1"/>
    <col min="13574" max="13578" width="17.85546875" style="693" customWidth="1"/>
    <col min="13579" max="13826" width="9.140625" style="693"/>
    <col min="13827" max="13827" width="57.85546875" style="693" customWidth="1"/>
    <col min="13828" max="13828" width="14.42578125" style="693" customWidth="1"/>
    <col min="13829" max="13829" width="10.28515625" style="693" customWidth="1"/>
    <col min="13830" max="13834" width="17.85546875" style="693" customWidth="1"/>
    <col min="13835" max="14082" width="9.140625" style="693"/>
    <col min="14083" max="14083" width="57.85546875" style="693" customWidth="1"/>
    <col min="14084" max="14084" width="14.42578125" style="693" customWidth="1"/>
    <col min="14085" max="14085" width="10.28515625" style="693" customWidth="1"/>
    <col min="14086" max="14090" width="17.85546875" style="693" customWidth="1"/>
    <col min="14091" max="14338" width="9.140625" style="693"/>
    <col min="14339" max="14339" width="57.85546875" style="693" customWidth="1"/>
    <col min="14340" max="14340" width="14.42578125" style="693" customWidth="1"/>
    <col min="14341" max="14341" width="10.28515625" style="693" customWidth="1"/>
    <col min="14342" max="14346" width="17.85546875" style="693" customWidth="1"/>
    <col min="14347" max="14594" width="9.140625" style="693"/>
    <col min="14595" max="14595" width="57.85546875" style="693" customWidth="1"/>
    <col min="14596" max="14596" width="14.42578125" style="693" customWidth="1"/>
    <col min="14597" max="14597" width="10.28515625" style="693" customWidth="1"/>
    <col min="14598" max="14602" width="17.85546875" style="693" customWidth="1"/>
    <col min="14603" max="14850" width="9.140625" style="693"/>
    <col min="14851" max="14851" width="57.85546875" style="693" customWidth="1"/>
    <col min="14852" max="14852" width="14.42578125" style="693" customWidth="1"/>
    <col min="14853" max="14853" width="10.28515625" style="693" customWidth="1"/>
    <col min="14854" max="14858" width="17.85546875" style="693" customWidth="1"/>
    <col min="14859" max="15106" width="9.140625" style="693"/>
    <col min="15107" max="15107" width="57.85546875" style="693" customWidth="1"/>
    <col min="15108" max="15108" width="14.42578125" style="693" customWidth="1"/>
    <col min="15109" max="15109" width="10.28515625" style="693" customWidth="1"/>
    <col min="15110" max="15114" width="17.85546875" style="693" customWidth="1"/>
    <col min="15115" max="15362" width="9.140625" style="693"/>
    <col min="15363" max="15363" width="57.85546875" style="693" customWidth="1"/>
    <col min="15364" max="15364" width="14.42578125" style="693" customWidth="1"/>
    <col min="15365" max="15365" width="10.28515625" style="693" customWidth="1"/>
    <col min="15366" max="15370" width="17.85546875" style="693" customWidth="1"/>
    <col min="15371" max="15618" width="9.140625" style="693"/>
    <col min="15619" max="15619" width="57.85546875" style="693" customWidth="1"/>
    <col min="15620" max="15620" width="14.42578125" style="693" customWidth="1"/>
    <col min="15621" max="15621" width="10.28515625" style="693" customWidth="1"/>
    <col min="15622" max="15626" width="17.85546875" style="693" customWidth="1"/>
    <col min="15627" max="15874" width="9.140625" style="693"/>
    <col min="15875" max="15875" width="57.85546875" style="693" customWidth="1"/>
    <col min="15876" max="15876" width="14.42578125" style="693" customWidth="1"/>
    <col min="15877" max="15877" width="10.28515625" style="693" customWidth="1"/>
    <col min="15878" max="15882" width="17.85546875" style="693" customWidth="1"/>
    <col min="15883" max="16130" width="9.140625" style="693"/>
    <col min="16131" max="16131" width="57.85546875" style="693" customWidth="1"/>
    <col min="16132" max="16132" width="14.42578125" style="693" customWidth="1"/>
    <col min="16133" max="16133" width="10.28515625" style="693" customWidth="1"/>
    <col min="16134" max="16138" width="17.85546875" style="693" customWidth="1"/>
    <col min="16139" max="16384" width="9.140625" style="693"/>
  </cols>
  <sheetData>
    <row r="1" spans="1:10" s="686" customFormat="1" ht="27" x14ac:dyDescent="0.25">
      <c r="A1" s="768" t="s">
        <v>797</v>
      </c>
      <c r="B1" s="768"/>
      <c r="C1" s="768"/>
      <c r="D1" s="768"/>
      <c r="E1" s="768"/>
      <c r="F1" s="768"/>
      <c r="G1" s="768"/>
      <c r="H1" s="768"/>
      <c r="I1" s="768"/>
      <c r="J1" s="768"/>
    </row>
    <row r="2" spans="1:10" s="686" customFormat="1" ht="22.5" x14ac:dyDescent="0.25">
      <c r="A2" s="769" t="str">
        <f>Summary!B10</f>
        <v>EXTERNAL DEVELOPMENT</v>
      </c>
      <c r="B2" s="769"/>
      <c r="C2" s="769"/>
      <c r="D2" s="769"/>
      <c r="E2" s="769"/>
      <c r="F2" s="769"/>
      <c r="G2" s="769"/>
      <c r="H2" s="769"/>
      <c r="I2" s="769"/>
      <c r="J2" s="769"/>
    </row>
    <row r="3" spans="1:10" s="686" customFormat="1" ht="15" x14ac:dyDescent="0.25"/>
    <row r="4" spans="1:10" s="686" customFormat="1" ht="45" x14ac:dyDescent="0.25">
      <c r="A4" s="687" t="s">
        <v>798</v>
      </c>
      <c r="B4" s="687"/>
      <c r="C4" s="688" t="s">
        <v>0</v>
      </c>
      <c r="D4" s="688" t="s">
        <v>799</v>
      </c>
      <c r="E4" s="688" t="s">
        <v>2</v>
      </c>
      <c r="F4" s="688" t="s">
        <v>238</v>
      </c>
      <c r="G4" s="687" t="s">
        <v>800</v>
      </c>
      <c r="H4" s="687" t="s">
        <v>801</v>
      </c>
      <c r="I4" s="687" t="s">
        <v>802</v>
      </c>
      <c r="J4" s="687" t="s">
        <v>803</v>
      </c>
    </row>
    <row r="5" spans="1:10" ht="85.5" x14ac:dyDescent="0.2">
      <c r="A5" s="689">
        <f>'BOQ-EXT. DEVLOP. (Civil)'!A7</f>
        <v>1</v>
      </c>
      <c r="B5" s="689"/>
      <c r="C5" s="690" t="str">
        <f>'BOQ-EXT. DEVLOP. (Civil)'!C7</f>
        <v>Excavation
(Refer Spec's  Section # 2300)
Excavation in foundation of Building Bridges and other structures including dagbelling dressing,refilling around structure with excavated earth Watering and ramming lead upto 5 ft.</v>
      </c>
      <c r="D5" s="691">
        <f>'BOQ-EXT. DEVLOP. (Civil)'!D7</f>
        <v>32000</v>
      </c>
      <c r="E5" s="689" t="str">
        <f>'BOQ-EXT. DEVLOP. (Civil)'!E7</f>
        <v>‰Cft.</v>
      </c>
      <c r="F5" s="692"/>
      <c r="G5" s="692"/>
      <c r="H5" s="692"/>
      <c r="I5" s="692"/>
      <c r="J5" s="692"/>
    </row>
    <row r="6" spans="1:10" ht="99.75" x14ac:dyDescent="0.2">
      <c r="A6" s="689">
        <f>'BOQ-EXT. DEVLOP. (Civil)'!A8</f>
        <v>2</v>
      </c>
      <c r="B6" s="689"/>
      <c r="C6" s="690" t="str">
        <f>'BOQ-EXT. DEVLOP. (Civil)'!C8</f>
        <v>Termite Proofing
(Refer Spec's Section # 2360)
Providing Anti-termmite by spraying/sprinkling/spreading Neptachlar 0.5% Emulsion as on overall pre-construction treatment in slab type construction under the slab and along attached perches or entrances etc, complete as per directions of Engineer Incharge.</v>
      </c>
      <c r="D6" s="691">
        <f>'BOQ-EXT. DEVLOP. (Civil)'!D8</f>
        <v>425</v>
      </c>
      <c r="E6" s="689" t="str">
        <f>'BOQ-EXT. DEVLOP. (Civil)'!E8</f>
        <v>SFT</v>
      </c>
      <c r="F6" s="692"/>
      <c r="G6" s="692"/>
      <c r="H6" s="692"/>
      <c r="I6" s="692"/>
      <c r="J6" s="692"/>
    </row>
    <row r="7" spans="1:10" ht="71.25" x14ac:dyDescent="0.2">
      <c r="A7" s="689">
        <f>'BOQ-EXT. DEVLOP. (Civil)'!A9</f>
        <v>3</v>
      </c>
      <c r="B7" s="689"/>
      <c r="C7" s="690" t="str">
        <f>'BOQ-EXT. DEVLOP. (Civil)'!C9</f>
        <v>Earth Filling
(Refer Spec's  Section # 2300)
Earth work compaction (Soft, ordinary or hard soil).
Laying earth in 6" layers levelling % 0Cft.dressing and watering for compactionb etc. complete.</v>
      </c>
      <c r="D7" s="691">
        <f>'BOQ-EXT. DEVLOP. (Civil)'!D9</f>
        <v>99500</v>
      </c>
      <c r="E7" s="689" t="str">
        <f>'BOQ-EXT. DEVLOP. (Civil)'!E9</f>
        <v>‰Cft.</v>
      </c>
      <c r="F7" s="692"/>
      <c r="G7" s="692"/>
      <c r="H7" s="692"/>
      <c r="I7" s="692"/>
      <c r="J7" s="692"/>
    </row>
    <row r="8" spans="1:10" ht="114" x14ac:dyDescent="0.2">
      <c r="A8" s="689">
        <f>'BOQ-EXT. DEVLOP. (Civil)'!A10</f>
        <v>4</v>
      </c>
      <c r="B8" s="689"/>
      <c r="C8" s="690" t="str">
        <f>'BOQ-EXT. DEVLOP. (Civil)'!C10</f>
        <v>Stone Soling
(Refer Spec's  Section # 2505)
Providing  and  and  laying   stone  soling  with  broken stones  and  filling  the  voids  with  stone  metal  3/4"  to  1 1/2"   size   and   fine   sand,   well   rammed,   watered, consolidated    and    compacted    with    mechanical means. complete as per drawing and as directed by the Consultant</v>
      </c>
      <c r="D8" s="691"/>
      <c r="E8" s="689"/>
      <c r="F8" s="692"/>
      <c r="G8" s="692"/>
      <c r="H8" s="692"/>
      <c r="I8" s="692"/>
      <c r="J8" s="692"/>
    </row>
    <row r="9" spans="1:10" ht="28.5" x14ac:dyDescent="0.2">
      <c r="A9" s="689" t="str">
        <f>'BOQ-EXT. DEVLOP. (Civil)'!A11</f>
        <v>i</v>
      </c>
      <c r="B9" s="689"/>
      <c r="C9" s="690" t="str">
        <f>'BOQ-EXT. DEVLOP. (Civil)'!C11</f>
        <v>Stone filling dry hand packed as filling behind retaining walls or in pitching and aprons.</v>
      </c>
      <c r="D9" s="691">
        <f>'BOQ-EXT. DEVLOP. (Civil)'!D11</f>
        <v>31250</v>
      </c>
      <c r="E9" s="689" t="str">
        <f>'BOQ-EXT. DEVLOP. (Civil)'!E11</f>
        <v>%Cft.</v>
      </c>
      <c r="F9" s="692"/>
      <c r="G9" s="692"/>
      <c r="H9" s="692">
        <f>ROUND(D9*1.2,2)</f>
        <v>37500</v>
      </c>
      <c r="I9" s="692"/>
      <c r="J9" s="692"/>
    </row>
    <row r="10" spans="1:10" ht="256.5" x14ac:dyDescent="0.2">
      <c r="A10" s="689">
        <f>'BOQ-EXT. DEVLOP. (Civil)'!A12</f>
        <v>5</v>
      </c>
      <c r="B10" s="689"/>
      <c r="C10" s="690" t="str">
        <f>'BOQ-EXT. DEVLOP. (Civil)'!C12</f>
        <v>Water Bound Maccadum (For Road)
Providing  &amp;  laying  Water  Bound  Maccadum  with  the following items:
Spread Stone Ballast (Avg. size 2"), the loose material to be 4" in thickness and roll with 3-passes of 10 ton roller.
Spread   excavated   clay   on   stone   ballast.   Keep spreading the clay untill the clay fills all voids.
Ensure that the earth does not cover the stone ballast, if it does - broom finish the surface. Stone ballast should remain visible all the time.
Sprinkle  water  in  small  quantity  so  that  clay  layer becomes damp. Start compaction with 10 ton roller.
Add more clay, Sprinkle water &amp; compact untill move of the roller squeezez water out of  WBM.
Repeat steps (i) to (v) to achieve total thickness.
All   above   to   be   taken   as   a   complete   job   in accordance with relevant drawings and as directed by
the Consultants.</v>
      </c>
      <c r="D10" s="691">
        <f>'BOQ-EXT. DEVLOP. (Civil)'!D12</f>
        <v>6765</v>
      </c>
      <c r="E10" s="689" t="str">
        <f>'BOQ-EXT. DEVLOP. (Civil)'!E12</f>
        <v>%Cft.</v>
      </c>
      <c r="F10" s="692"/>
      <c r="G10" s="692"/>
      <c r="H10" s="692">
        <f>ROUND(D10*1.25,2)</f>
        <v>8456.25</v>
      </c>
      <c r="I10" s="692"/>
      <c r="J10" s="692"/>
    </row>
    <row r="11" spans="1:10" ht="114" x14ac:dyDescent="0.2">
      <c r="A11" s="689">
        <f>'BOQ-EXT. DEVLOP. (Civil)'!A13</f>
        <v>6</v>
      </c>
      <c r="B11" s="689"/>
      <c r="C11" s="690" t="str">
        <f>'BOQ-EXT. DEVLOP. (Civil)'!C13</f>
        <v>1:4:8 in Foundation
(Refer Specs. Section # 3300)
Providing and laying lean concrete having 1450 PSI cylindrical strength (ready mixed concrete) including
placing compacting finishing, curing complete, screening and washing of crushed stone aggregate excluding the cost of shuttering.
Ratio. 1: 4 :8</v>
      </c>
      <c r="D11" s="691">
        <f>'BOQ-EXT. DEVLOP. (Civil)'!D13</f>
        <v>3550</v>
      </c>
      <c r="E11" s="689" t="str">
        <f>'BOQ-EXT. DEVLOP. (Civil)'!E13</f>
        <v>%Cft.</v>
      </c>
      <c r="F11" s="692">
        <f>ROUND(((D11*1.54)/13)/1.25,2)</f>
        <v>336.43</v>
      </c>
      <c r="G11" s="692"/>
      <c r="H11" s="692"/>
      <c r="I11" s="692">
        <f>ROUND(F11*1.25*4,2)</f>
        <v>1682.15</v>
      </c>
      <c r="J11" s="692">
        <f>ROUND(F11*1.25*8,2)</f>
        <v>3364.3</v>
      </c>
    </row>
    <row r="12" spans="1:10" ht="114" x14ac:dyDescent="0.2">
      <c r="A12" s="689">
        <f>'BOQ-EXT. DEVLOP. (Civil)'!A14</f>
        <v>7</v>
      </c>
      <c r="B12" s="689"/>
      <c r="C12" s="690" t="str">
        <f>'BOQ-EXT. DEVLOP. (Civil)'!C14</f>
        <v>1:3:6 Cast - in - Situ
(Refer Specs. Section # 3300)
Providing and laying lean concrete having 2250 PSI cylindrical strength (ready mixed concrete) including
placing compacting finishing, curing complete, screening and washing of crushed stone aggregate excluding the cost of shuttering.
Ratio. 1:3 :6</v>
      </c>
      <c r="D12" s="691">
        <f>'BOQ-EXT. DEVLOP. (Civil)'!D14</f>
        <v>21500</v>
      </c>
      <c r="E12" s="689" t="str">
        <f>'BOQ-EXT. DEVLOP. (Civil)'!E14</f>
        <v>%Cft.</v>
      </c>
      <c r="F12" s="692">
        <f>ROUND(((D12*1.54)/10)/1.25,2)</f>
        <v>2648.8</v>
      </c>
      <c r="G12" s="692"/>
      <c r="H12" s="692"/>
      <c r="I12" s="692">
        <f>ROUND(F12*1.25*3,2)</f>
        <v>9933</v>
      </c>
      <c r="J12" s="692">
        <f>ROUND(F12*1.25*6,2)</f>
        <v>19866</v>
      </c>
    </row>
    <row r="13" spans="1:10" ht="85.5" x14ac:dyDescent="0.2">
      <c r="A13" s="689">
        <f>'BOQ-EXT. DEVLOP. (Civil)'!A15</f>
        <v>8</v>
      </c>
      <c r="B13" s="689"/>
      <c r="C13" s="690" t="str">
        <f>'BOQ-EXT. DEVLOP. (Civil)'!C15</f>
        <v>1:9 Sub Floor.
(Refer Specs. Section # 3300)
Cement concrete plain including placing compacting, finishing and curing, complete (including screening and washing at stone aggregate without shuttering.
Ratio. 1:3 :6</v>
      </c>
      <c r="D13" s="691"/>
      <c r="E13" s="689"/>
      <c r="F13" s="692"/>
      <c r="G13" s="692"/>
      <c r="H13" s="692"/>
      <c r="I13" s="692"/>
      <c r="J13" s="692"/>
    </row>
    <row r="14" spans="1:10" x14ac:dyDescent="0.2">
      <c r="A14" s="689" t="str">
        <f>'BOQ-EXT. DEVLOP. (Civil)'!A16</f>
        <v>i</v>
      </c>
      <c r="B14" s="689"/>
      <c r="C14" s="690" t="str">
        <f>'BOQ-EXT. DEVLOP. (Civil)'!C16</f>
        <v>3"th</v>
      </c>
      <c r="D14" s="691">
        <f>'BOQ-EXT. DEVLOP. (Civil)'!D16</f>
        <v>6250</v>
      </c>
      <c r="E14" s="689" t="str">
        <f>'BOQ-EXT. DEVLOP. (Civil)'!E16</f>
        <v>%Cft.</v>
      </c>
      <c r="F14" s="692">
        <f>ROUND(((D14*1.54)/10)/1.25,2)</f>
        <v>770</v>
      </c>
      <c r="G14" s="692"/>
      <c r="H14" s="692"/>
      <c r="I14" s="692">
        <f>ROUND(F14*1.25*3,2)</f>
        <v>2887.5</v>
      </c>
      <c r="J14" s="692">
        <f>ROUND(F14*1.25*6,2)</f>
        <v>5775</v>
      </c>
    </row>
    <row r="15" spans="1:10" x14ac:dyDescent="0.2">
      <c r="A15" s="689" t="str">
        <f>'BOQ-EXT. DEVLOP. (Civil)'!A17</f>
        <v>ii</v>
      </c>
      <c r="B15" s="689"/>
      <c r="C15" s="690" t="str">
        <f>'BOQ-EXT. DEVLOP. (Civil)'!C17</f>
        <v>2"th</v>
      </c>
      <c r="D15" s="691">
        <f>'BOQ-EXT. DEVLOP. (Civil)'!D17</f>
        <v>4250</v>
      </c>
      <c r="E15" s="689" t="str">
        <f>'BOQ-EXT. DEVLOP. (Civil)'!E17</f>
        <v>%Cft.</v>
      </c>
      <c r="F15" s="692">
        <f>ROUND(((D15*1.54)/10)/1.25,2)</f>
        <v>523.6</v>
      </c>
      <c r="G15" s="692"/>
      <c r="H15" s="692"/>
      <c r="I15" s="692">
        <f>ROUND(F15*1.25*3,2)</f>
        <v>1963.5</v>
      </c>
      <c r="J15" s="692">
        <f>ROUND(F15*1.25*6,2)</f>
        <v>3927</v>
      </c>
    </row>
    <row r="16" spans="1:10" ht="185.25" x14ac:dyDescent="0.2">
      <c r="A16" s="689">
        <f>'BOQ-EXT. DEVLOP. (Civil)'!A18</f>
        <v>9</v>
      </c>
      <c r="B16" s="689"/>
      <c r="C16" s="690" t="str">
        <f>'BOQ-EXT. DEVLOP. (Civil)'!C18</f>
        <v>Reinforced Cement Concrete (f'c 3.0 ksi, Cylindrical  Strength) (Refer Specs. Section # 3300)
Reinforced cement concrete work including all labour and material except the cost of steel reinforcement and its labour for bending and binding which will be paid separately. This rate also includes all kinds of forms moulds: lifting shuttering curing rendering and finishing the-exposed surface (including screening  and washing of shingle.)
R.C work in roof slab, beams columns rafts, lintels and other structural members laid in situ or precast laid in position complete in all respects.
Ratio (1: 2: 4) 90 Lbs.cement 2 Cft. Sand 4 Cft. Shingle 1/8" to 1/4" gauge.</v>
      </c>
      <c r="D16" s="691"/>
      <c r="E16" s="689"/>
      <c r="F16" s="692"/>
      <c r="G16" s="692"/>
      <c r="H16" s="692"/>
      <c r="I16" s="692"/>
      <c r="J16" s="692"/>
    </row>
    <row r="17" spans="1:12" x14ac:dyDescent="0.2">
      <c r="A17" s="689">
        <f>'BOQ-EXT. DEVLOP. (Civil)'!A19</f>
        <v>0</v>
      </c>
      <c r="B17" s="689"/>
      <c r="C17" s="690" t="str">
        <f>'BOQ-EXT. DEVLOP. (Civil)'!C19</f>
        <v>Upto Plinth Level (Using S.R. Cement)</v>
      </c>
      <c r="D17" s="691"/>
      <c r="E17" s="689"/>
      <c r="F17" s="692"/>
      <c r="G17" s="692"/>
      <c r="H17" s="692"/>
      <c r="I17" s="692"/>
      <c r="J17" s="692"/>
    </row>
    <row r="18" spans="1:12" x14ac:dyDescent="0.2">
      <c r="A18" s="689" t="str">
        <f>'BOQ-EXT. DEVLOP. (Civil)'!A20</f>
        <v>i</v>
      </c>
      <c r="B18" s="689"/>
      <c r="C18" s="690" t="str">
        <f>'BOQ-EXT. DEVLOP. (Civil)'!C20</f>
        <v>Footing</v>
      </c>
      <c r="D18" s="691">
        <f>'BOQ-EXT. DEVLOP. (Civil)'!D20</f>
        <v>575</v>
      </c>
      <c r="E18" s="689" t="str">
        <f>'BOQ-EXT. DEVLOP. (Civil)'!E20</f>
        <v>%Cft.</v>
      </c>
      <c r="F18" s="692">
        <f>ROUND(((D18*1.54)/7)/1.25,2)</f>
        <v>101.2</v>
      </c>
      <c r="G18" s="692"/>
      <c r="H18" s="692"/>
      <c r="I18" s="692">
        <f>ROUND(F18*1.25*2,2)</f>
        <v>253</v>
      </c>
      <c r="J18" s="692">
        <f>ROUND(F18*1.25*4,2)</f>
        <v>506</v>
      </c>
    </row>
    <row r="19" spans="1:12" x14ac:dyDescent="0.2">
      <c r="A19" s="689" t="str">
        <f>'BOQ-EXT. DEVLOP. (Civil)'!A21</f>
        <v>ii</v>
      </c>
      <c r="B19" s="689"/>
      <c r="C19" s="690" t="str">
        <f>'BOQ-EXT. DEVLOP. (Civil)'!C21</f>
        <v>Plinth Beams</v>
      </c>
      <c r="D19" s="691">
        <f>'BOQ-EXT. DEVLOP. (Civil)'!D21</f>
        <v>875</v>
      </c>
      <c r="E19" s="689" t="str">
        <f>'BOQ-EXT. DEVLOP. (Civil)'!E21</f>
        <v>%Cft.</v>
      </c>
      <c r="F19" s="692">
        <f>ROUND(((D19*1.54)/7)/1.25,2)</f>
        <v>154</v>
      </c>
      <c r="G19" s="692"/>
      <c r="H19" s="692"/>
      <c r="I19" s="692">
        <f>ROUND(F19*1.25*2,2)</f>
        <v>385</v>
      </c>
      <c r="J19" s="692">
        <f>ROUND(F19*1.25*4,2)</f>
        <v>770</v>
      </c>
    </row>
    <row r="20" spans="1:12" x14ac:dyDescent="0.2">
      <c r="A20" s="689" t="str">
        <f>'BOQ-EXT. DEVLOP. (Civil)'!A22</f>
        <v>iii</v>
      </c>
      <c r="B20" s="689"/>
      <c r="C20" s="690" t="str">
        <f>'BOQ-EXT. DEVLOP. (Civil)'!C22</f>
        <v>Column</v>
      </c>
      <c r="D20" s="691">
        <f>'BOQ-EXT. DEVLOP. (Civil)'!D22</f>
        <v>60</v>
      </c>
      <c r="E20" s="689" t="str">
        <f>'BOQ-EXT. DEVLOP. (Civil)'!E22</f>
        <v>%Cft.</v>
      </c>
      <c r="F20" s="692">
        <f>ROUND(((D20*1.54)/7)/1.25,2)</f>
        <v>10.56</v>
      </c>
      <c r="G20" s="692"/>
      <c r="H20" s="692"/>
      <c r="I20" s="692">
        <f>ROUND(F20*1.25*2,2)</f>
        <v>26.4</v>
      </c>
      <c r="J20" s="692">
        <f>ROUND(F20*1.25*4,2)</f>
        <v>52.8</v>
      </c>
    </row>
    <row r="21" spans="1:12" x14ac:dyDescent="0.2">
      <c r="A21" s="689" t="str">
        <f>'BOQ-EXT. DEVLOP. (Civil)'!A23</f>
        <v>iv</v>
      </c>
      <c r="B21" s="689"/>
      <c r="C21" s="690" t="str">
        <f>'BOQ-EXT. DEVLOP. (Civil)'!C23</f>
        <v>SOG 4" Thick</v>
      </c>
      <c r="D21" s="691">
        <f>'BOQ-EXT. DEVLOP. (Civil)'!D23</f>
        <v>700</v>
      </c>
      <c r="E21" s="689" t="str">
        <f>'BOQ-EXT. DEVLOP. (Civil)'!E23</f>
        <v>%Cft.</v>
      </c>
      <c r="F21" s="692">
        <f>ROUND(((D21*1.54)/7)/1.25,2)</f>
        <v>123.2</v>
      </c>
      <c r="G21" s="692"/>
      <c r="H21" s="692"/>
      <c r="I21" s="692">
        <f>ROUND(F21*1.25*2,2)</f>
        <v>308</v>
      </c>
      <c r="J21" s="692">
        <f>ROUND(F21*1.25*4,2)</f>
        <v>616</v>
      </c>
    </row>
    <row r="22" spans="1:12" x14ac:dyDescent="0.2">
      <c r="A22" s="689">
        <f>'BOQ-EXT. DEVLOP. (Civil)'!A24</f>
        <v>0</v>
      </c>
      <c r="B22" s="689"/>
      <c r="C22" s="690" t="str">
        <f>'BOQ-EXT. DEVLOP. (Civil)'!C24</f>
        <v>In Super Structure (Using O.P. Cement)</v>
      </c>
      <c r="D22" s="691"/>
      <c r="E22" s="689"/>
      <c r="F22" s="692"/>
      <c r="G22" s="692"/>
      <c r="H22" s="692"/>
      <c r="I22" s="692"/>
      <c r="J22" s="692"/>
    </row>
    <row r="23" spans="1:12" x14ac:dyDescent="0.2">
      <c r="A23" s="689" t="str">
        <f>'BOQ-EXT. DEVLOP. (Civil)'!A25</f>
        <v>i</v>
      </c>
      <c r="B23" s="689"/>
      <c r="C23" s="690" t="str">
        <f>'BOQ-EXT. DEVLOP. (Civil)'!C25</f>
        <v>Columns</v>
      </c>
      <c r="D23" s="691">
        <f>'BOQ-EXT. DEVLOP. (Civil)'!D25</f>
        <v>80</v>
      </c>
      <c r="E23" s="689" t="str">
        <f>'BOQ-EXT. DEVLOP. (Civil)'!E25</f>
        <v>%Cft.</v>
      </c>
      <c r="F23" s="692">
        <f>ROUND(((D23*1.54)/7)/1.25,2)</f>
        <v>14.08</v>
      </c>
      <c r="G23" s="692"/>
      <c r="H23" s="692"/>
      <c r="I23" s="692">
        <f>ROUND(F23*1.25*2,2)</f>
        <v>35.200000000000003</v>
      </c>
      <c r="J23" s="692">
        <f>ROUND(F23*1.25*4,2)</f>
        <v>70.400000000000006</v>
      </c>
    </row>
    <row r="24" spans="1:12" x14ac:dyDescent="0.2">
      <c r="A24" s="689" t="str">
        <f>'BOQ-EXT. DEVLOP. (Civil)'!A26</f>
        <v>ii</v>
      </c>
      <c r="B24" s="689"/>
      <c r="C24" s="690" t="str">
        <f>'BOQ-EXT. DEVLOP. (Civil)'!C26</f>
        <v>Beams</v>
      </c>
      <c r="D24" s="691">
        <f>'BOQ-EXT. DEVLOP. (Civil)'!D26</f>
        <v>90</v>
      </c>
      <c r="E24" s="689" t="str">
        <f>'BOQ-EXT. DEVLOP. (Civil)'!E26</f>
        <v>%Cft.</v>
      </c>
      <c r="F24" s="692">
        <f>ROUND(((D24*1.54)/7)/1.25,2)</f>
        <v>15.84</v>
      </c>
      <c r="G24" s="692"/>
      <c r="H24" s="692"/>
      <c r="I24" s="692">
        <f>ROUND(F24*1.25*2,2)</f>
        <v>39.6</v>
      </c>
      <c r="J24" s="692">
        <f>ROUND(F24*1.25*4,2)</f>
        <v>79.2</v>
      </c>
    </row>
    <row r="25" spans="1:12" x14ac:dyDescent="0.2">
      <c r="A25" s="689" t="str">
        <f>'BOQ-EXT. DEVLOP. (Civil)'!A27</f>
        <v>iii</v>
      </c>
      <c r="B25" s="689"/>
      <c r="C25" s="690" t="str">
        <f>'BOQ-EXT. DEVLOP. (Civil)'!C27</f>
        <v>Slab (6"thick)</v>
      </c>
      <c r="D25" s="691">
        <f>'BOQ-EXT. DEVLOP. (Civil)'!D27</f>
        <v>250</v>
      </c>
      <c r="E25" s="689" t="str">
        <f>'BOQ-EXT. DEVLOP. (Civil)'!E27</f>
        <v>%Cft.</v>
      </c>
      <c r="F25" s="692">
        <f>ROUND(((D25*1.54)/7)/1.25,2)</f>
        <v>44</v>
      </c>
      <c r="G25" s="692"/>
      <c r="H25" s="692"/>
      <c r="I25" s="692">
        <f>ROUND(F25*1.25*2,2)</f>
        <v>110</v>
      </c>
      <c r="J25" s="692">
        <f>ROUND(F25*1.25*4,2)</f>
        <v>220</v>
      </c>
    </row>
    <row r="26" spans="1:12" ht="85.5" x14ac:dyDescent="0.2">
      <c r="A26" s="689">
        <f>'BOQ-EXT. DEVLOP. (Civil)'!A28</f>
        <v>10</v>
      </c>
      <c r="B26" s="689"/>
      <c r="C26" s="690" t="str">
        <f>'BOQ-EXT. DEVLOP. (Civil)'!C28</f>
        <v>Reinforcement Bars
(Refer Specs. Section # 3300)
Fabrication of mild steel reinforcement for cement concrete including cutting,bending,laying in position, making joints and fastenings including cost of binding wire (also includes removeal of rast of bars.</v>
      </c>
      <c r="D26" s="691">
        <f>'BOQ-EXT. DEVLOP. (Civil)'!D28</f>
        <v>8</v>
      </c>
      <c r="E26" s="689" t="str">
        <f>'BOQ-EXT. DEVLOP. (Civil)'!E28</f>
        <v>Ton</v>
      </c>
      <c r="F26" s="692"/>
      <c r="G26" s="692">
        <f>D26</f>
        <v>8</v>
      </c>
      <c r="H26" s="692"/>
      <c r="I26" s="692"/>
      <c r="J26" s="692"/>
    </row>
    <row r="27" spans="1:12" ht="71.25" x14ac:dyDescent="0.2">
      <c r="A27" s="689">
        <f>'BOQ-EXT. DEVLOP. (Civil)'!A29</f>
        <v>11</v>
      </c>
      <c r="B27" s="689"/>
      <c r="C27" s="690" t="str">
        <f>'BOQ-EXT. DEVLOP. (Civil)'!C29</f>
        <v>Providing &amp; Fixing cement paving blocks flooring having size of 197 x 97 x 80 (mm) of City / Qudra / cobble shape with natural colours, having strength b/ w 5000 Psi to 8500 psi i/c filling the joints with hill sand and laying in specified manner / pattern and design etc: complete.</v>
      </c>
      <c r="D27" s="691">
        <f>'BOQ-EXT. DEVLOP. (Civil)'!D29</f>
        <v>12000</v>
      </c>
      <c r="E27" s="689" t="str">
        <f>'BOQ-EXT. DEVLOP. (Civil)'!E29</f>
        <v>Sqft</v>
      </c>
      <c r="F27" s="692">
        <f>ROUND(((D27*0.26*1.54)/4)/1.25,2)</f>
        <v>960.96</v>
      </c>
      <c r="G27" s="692"/>
      <c r="H27" s="692"/>
      <c r="I27" s="692">
        <f>ROUND(F27*1.25*1,2)</f>
        <v>1201.2</v>
      </c>
      <c r="J27" s="692">
        <f>ROUND(F27*1.25*2,2)</f>
        <v>2402.4</v>
      </c>
      <c r="L27" s="749">
        <f>0.08*3.281</f>
        <v>0.26247999999999999</v>
      </c>
    </row>
    <row r="28" spans="1:12" ht="85.5" x14ac:dyDescent="0.2">
      <c r="A28" s="689">
        <f>'BOQ-EXT. DEVLOP. (Civil)'!A30</f>
        <v>12</v>
      </c>
      <c r="B28" s="689"/>
      <c r="C28" s="690" t="str">
        <f>'BOQ-EXT. DEVLOP. (Civil)'!C30</f>
        <v>Block Masonry
(Refer Spec's Section # 4050 &amp; 4200)
Providing and laying solid concrete block wall (having strength  800  psi  minimum)  laid  in  1:4  cement  mortar including  curing,raking  out  of  joints  etc,  complete  as per drawings and as directed by the Consultants.</v>
      </c>
      <c r="D28" s="691"/>
      <c r="E28" s="689"/>
      <c r="F28" s="692"/>
      <c r="G28" s="692"/>
      <c r="H28" s="692"/>
      <c r="I28" s="692"/>
      <c r="J28" s="692"/>
    </row>
    <row r="29" spans="1:12" x14ac:dyDescent="0.2">
      <c r="A29" s="689" t="str">
        <f>'BOQ-EXT. DEVLOP. (Civil)'!A31</f>
        <v>i</v>
      </c>
      <c r="B29" s="689"/>
      <c r="C29" s="690" t="str">
        <f>'BOQ-EXT. DEVLOP. (Civil)'!C31</f>
        <v>8" thick</v>
      </c>
      <c r="D29" s="691">
        <f>'BOQ-EXT. DEVLOP. (Civil)'!D31</f>
        <v>60</v>
      </c>
      <c r="E29" s="689" t="str">
        <f>'BOQ-EXT. DEVLOP. (Civil)'!E31</f>
        <v>%Cft.</v>
      </c>
      <c r="F29" s="692">
        <f>ROUND(((D29*0.26*1.54)/5)/1.25,2)</f>
        <v>3.84</v>
      </c>
      <c r="G29" s="692"/>
      <c r="H29" s="692"/>
      <c r="I29" s="692">
        <f>ROUND(F29*1.25*4,2)</f>
        <v>19.2</v>
      </c>
      <c r="J29" s="692"/>
    </row>
    <row r="30" spans="1:12" x14ac:dyDescent="0.2">
      <c r="A30" s="689" t="str">
        <f>'BOQ-EXT. DEVLOP. (Civil)'!A32</f>
        <v>ii</v>
      </c>
      <c r="B30" s="689"/>
      <c r="C30" s="690" t="str">
        <f>'BOQ-EXT. DEVLOP. (Civil)'!C32</f>
        <v>4" thick</v>
      </c>
      <c r="D30" s="691">
        <f>'BOQ-EXT. DEVLOP. (Civil)'!D32</f>
        <v>26</v>
      </c>
      <c r="E30" s="689" t="str">
        <f>'BOQ-EXT. DEVLOP. (Civil)'!E32</f>
        <v>%Cft.</v>
      </c>
      <c r="F30" s="692">
        <f>ROUND(((D30*0.26*1.54)/5)/1.25,2)</f>
        <v>1.67</v>
      </c>
      <c r="G30" s="692"/>
      <c r="H30" s="692"/>
      <c r="I30" s="692">
        <f>ROUND(F30*1.25*4,2)</f>
        <v>8.35</v>
      </c>
      <c r="J30" s="692"/>
    </row>
    <row r="31" spans="1:12" ht="171" x14ac:dyDescent="0.2">
      <c r="A31" s="689">
        <f>'BOQ-EXT. DEVLOP. (Civil)'!A33</f>
        <v>13</v>
      </c>
      <c r="B31" s="689"/>
      <c r="C31" s="690" t="str">
        <f>'BOQ-EXT. DEVLOP. (Civil)'!C33</f>
        <v>Structural Steel Work
(Refer Spec's Section # 5120 &amp; 5500)
Providing,  fabricating and  fixing  Structural  Steel   using
M.S.  Girders/  Angles  /  Base  plates  /  Gusset  Plates  / Chequered   Plates   /   V-Plate   all   kind   of   Bolts   etc, welded properly with each other. (All welded joints to be  grinded  properly  to  have  smooth  finish:  All  M.S. members shall have sprayed-on Enamel paint finish over a base coat of Zinc chromate)  including all necessary hardware   and   fixing   arrangements   as   shown   on Drawings  /  Details,  Specifications  and  as  directed  by the Consultants.</v>
      </c>
      <c r="D31" s="691"/>
      <c r="E31" s="689"/>
      <c r="F31" s="692"/>
      <c r="G31" s="692"/>
      <c r="H31" s="692"/>
      <c r="I31" s="692"/>
      <c r="J31" s="692"/>
    </row>
    <row r="32" spans="1:12" x14ac:dyDescent="0.2">
      <c r="A32" s="689" t="str">
        <f>'BOQ-EXT. DEVLOP. (Civil)'!A34</f>
        <v>i</v>
      </c>
      <c r="B32" s="689"/>
      <c r="C32" s="690" t="str">
        <f>'BOQ-EXT. DEVLOP. (Civil)'!C34</f>
        <v>For Photo Volatile Solar System</v>
      </c>
      <c r="D32" s="691">
        <f>'BOQ-EXT. DEVLOP. (Civil)'!D34</f>
        <v>22</v>
      </c>
      <c r="E32" s="689" t="str">
        <f>'BOQ-EXT. DEVLOP. (Civil)'!E34</f>
        <v>Ton.</v>
      </c>
      <c r="F32" s="692"/>
      <c r="G32" s="692">
        <f>D32</f>
        <v>22</v>
      </c>
      <c r="H32" s="692"/>
      <c r="I32" s="692"/>
      <c r="J32" s="692"/>
    </row>
    <row r="33" spans="1:13" ht="171" x14ac:dyDescent="0.2">
      <c r="A33" s="689">
        <f>'BOQ-EXT. DEVLOP. (Civil)'!A35</f>
        <v>14</v>
      </c>
      <c r="B33" s="689"/>
      <c r="C33" s="690" t="str">
        <f>'BOQ-EXT. DEVLOP. (Civil)'!C35</f>
        <v>M.S. Gates 
(Refer Spec's Section # 5120 &amp; 5500)
Providing,  fabricating  and  fixing  Metal  gates  frame hollow tube vertical posts at each ends. The shutter to be  made  up   horizonital  M.S.  solid  bar  @  4"  equal distances, welded with vertical post. 1" x 1" vertical M.S. solid bars to be inserted &amp; welded in horizontal bar holes @ 4" c/c.  with all necessary fixing arrangements, wheel, stainless    steel    track,    Lock,    flanges    &amp;    anchor bolts.Including applying 2 coats of approved color zinc chromate. complete in all respect as per drawings &amp; as directed by the consultant.</v>
      </c>
      <c r="D33" s="691">
        <f>'BOQ-EXT. DEVLOP. (Civil)'!D35</f>
        <v>1000</v>
      </c>
      <c r="E33" s="689" t="str">
        <f>'BOQ-EXT. DEVLOP. (Civil)'!E35</f>
        <v>Kg.</v>
      </c>
      <c r="F33" s="692"/>
      <c r="G33" s="692">
        <f>D33/1000</f>
        <v>1</v>
      </c>
      <c r="H33" s="692"/>
      <c r="I33" s="692"/>
      <c r="J33" s="692"/>
    </row>
    <row r="34" spans="1:13" ht="114" x14ac:dyDescent="0.2">
      <c r="A34" s="689">
        <f>'BOQ-EXT. DEVLOP. (Civil)'!A36</f>
        <v>15</v>
      </c>
      <c r="B34" s="689"/>
      <c r="C34" s="690" t="str">
        <f>'BOQ-EXT. DEVLOP. (Civil)'!C36</f>
        <v>Barbed wire
(Refer Spec's Section # 5120 &amp; 5500)
Providing , fabricating and fixing barbed wire on outer periphery,  using  2''  x  2''x  1/4"thick  M.S.  angle (vertical) @ 10'-0" c/c and barbed wire (horizontal) @ 9" c/c.    fixed  with  M.S.  angle  including  all  necessary hardware and fixing arrangemnts as per drawings and
as directed by the Consultants.</v>
      </c>
      <c r="D34" s="691">
        <f>'BOQ-EXT. DEVLOP. (Civil)'!D36</f>
        <v>2450</v>
      </c>
      <c r="E34" s="689" t="str">
        <f>'BOQ-EXT. DEVLOP. (Civil)'!E36</f>
        <v>Rft.</v>
      </c>
      <c r="F34" s="692"/>
      <c r="G34" s="692">
        <f>ROUND(D34*1.53/1000,2)</f>
        <v>3.75</v>
      </c>
      <c r="H34" s="692"/>
      <c r="I34" s="692"/>
      <c r="J34" s="692"/>
      <c r="K34" s="693">
        <f>0.33</f>
        <v>0.33</v>
      </c>
      <c r="L34" s="693">
        <f>1/4/12</f>
        <v>2.0833333333333332E-2</v>
      </c>
      <c r="M34" s="749">
        <f>K34*L34*490/2.204</f>
        <v>1.5284709618874772</v>
      </c>
    </row>
    <row r="35" spans="1:13" ht="85.5" x14ac:dyDescent="0.2">
      <c r="A35" s="689">
        <f>'BOQ-EXT. DEVLOP. (Civil)'!A37</f>
        <v>16</v>
      </c>
      <c r="B35" s="689"/>
      <c r="C35" s="690" t="str">
        <f>'BOQ-EXT. DEVLOP. (Civil)'!C37</f>
        <v>Damp Proof Course (Bitumen Coating). (Refer Specs. Section # 7100)
Providing and applying 1/8" thick damp proof course using AHS hycarb bitumen (60 lbs/100 Sft) on top of interior  and  exterior  Plinth  beams,  complete  as  per drawing and as directed by the Consultants.</v>
      </c>
      <c r="D35" s="691">
        <f>'BOQ-EXT. DEVLOP. (Civil)'!D37</f>
        <v>435</v>
      </c>
      <c r="E35" s="689" t="str">
        <f>'BOQ-EXT. DEVLOP. (Civil)'!E37</f>
        <v>%Sft.</v>
      </c>
      <c r="F35" s="692"/>
      <c r="G35" s="692"/>
      <c r="H35" s="692"/>
      <c r="I35" s="692"/>
      <c r="J35" s="692"/>
    </row>
    <row r="36" spans="1:13" ht="42.75" x14ac:dyDescent="0.2">
      <c r="A36" s="689">
        <f>'BOQ-EXT. DEVLOP. (Civil)'!A38</f>
        <v>17</v>
      </c>
      <c r="B36" s="689"/>
      <c r="C36" s="690" t="str">
        <f>'BOQ-EXT. DEVLOP. (Civil)'!C38</f>
        <v>Bitumen Coating 
(Refer Specs. Section # 7100)
Bitumen coating to plastered or cement concrete surface.</v>
      </c>
      <c r="D36" s="691">
        <f>'BOQ-EXT. DEVLOP. (Civil)'!D38</f>
        <v>2000</v>
      </c>
      <c r="E36" s="689" t="str">
        <f>'BOQ-EXT. DEVLOP. (Civil)'!E38</f>
        <v>%Sft.</v>
      </c>
      <c r="F36" s="692"/>
      <c r="G36" s="692"/>
      <c r="H36" s="692"/>
      <c r="I36" s="692"/>
      <c r="J36" s="692"/>
    </row>
    <row r="37" spans="1:13" ht="99.75" x14ac:dyDescent="0.2">
      <c r="A37" s="689">
        <f>'BOQ-EXT. DEVLOP. (Civil)'!A39</f>
        <v>18</v>
      </c>
      <c r="B37" s="689"/>
      <c r="C37" s="690" t="str">
        <f>'BOQ-EXT. DEVLOP. (Civil)'!C39</f>
        <v>Water Proofing Under SOG / Rip Rap Stone Floor (Refer Specs. Section # 7100)
Providing and applying hot bitumen of grade 80-100 having   coverage   of   60lbs/100   Sft   over   screed icluding  6  mill  thick  polythene  sheet  over  bitumen coating, complete as per drawing and as directed
by the Consultant</v>
      </c>
      <c r="D37" s="691"/>
      <c r="E37" s="689"/>
      <c r="F37" s="692"/>
      <c r="G37" s="692"/>
      <c r="H37" s="692"/>
      <c r="I37" s="692"/>
      <c r="J37" s="692"/>
    </row>
    <row r="38" spans="1:13" x14ac:dyDescent="0.2">
      <c r="A38" s="689" t="str">
        <f>'BOQ-EXT. DEVLOP. (Civil)'!A40</f>
        <v>i</v>
      </c>
      <c r="B38" s="689"/>
      <c r="C38" s="690" t="str">
        <f>'BOQ-EXT. DEVLOP. (Civil)'!C40</f>
        <v>Under SOG</v>
      </c>
      <c r="D38" s="691">
        <f>'BOQ-EXT. DEVLOP. (Civil)'!D40</f>
        <v>2150</v>
      </c>
      <c r="E38" s="689" t="str">
        <f>'BOQ-EXT. DEVLOP. (Civil)'!E40</f>
        <v>%Sft.</v>
      </c>
      <c r="F38" s="692"/>
      <c r="G38" s="692"/>
      <c r="H38" s="692"/>
      <c r="I38" s="692"/>
      <c r="J38" s="692"/>
    </row>
    <row r="39" spans="1:13" x14ac:dyDescent="0.2">
      <c r="A39" s="689" t="str">
        <f>'BOQ-EXT. DEVLOP. (Civil)'!A41</f>
        <v>ii</v>
      </c>
      <c r="B39" s="689"/>
      <c r="C39" s="690" t="str">
        <f>'BOQ-EXT. DEVLOP. (Civil)'!C41</f>
        <v>Under Stone Floor</v>
      </c>
      <c r="D39" s="691">
        <f>'BOQ-EXT. DEVLOP. (Civil)'!D41</f>
        <v>25000</v>
      </c>
      <c r="E39" s="689" t="str">
        <f>'BOQ-EXT. DEVLOP. (Civil)'!E41</f>
        <v>%Sft.</v>
      </c>
      <c r="F39" s="692"/>
      <c r="G39" s="692"/>
      <c r="H39" s="692"/>
      <c r="I39" s="692"/>
      <c r="J39" s="692"/>
    </row>
    <row r="40" spans="1:13" ht="114" x14ac:dyDescent="0.2">
      <c r="A40" s="689">
        <f>'BOQ-EXT. DEVLOP. (Civil)'!A42</f>
        <v>19</v>
      </c>
      <c r="B40" s="689"/>
      <c r="C40" s="690" t="str">
        <f>'BOQ-EXT. DEVLOP. (Civil)'!C42</f>
        <v>Metal Door Frames 
(Refer Specs. Section # 8100)
Provinding and fixing G.I frames/Choukhats of size 7" x 2" or 4 1/2" x 3" for windows using 20 guage G.I sheet I/c welded hinges and fixing at site with necessary hold fasts, filling with cement sand slurry of ratio 1:6 and repairing the jambs. The cost also i/c all carriage, tools and plants used in making and fixing.</v>
      </c>
      <c r="D40" s="691"/>
      <c r="E40" s="689"/>
      <c r="F40" s="692"/>
      <c r="G40" s="692"/>
      <c r="H40" s="692"/>
      <c r="I40" s="692"/>
      <c r="J40" s="692"/>
    </row>
    <row r="41" spans="1:13" x14ac:dyDescent="0.2">
      <c r="A41" s="689" t="str">
        <f>'BOQ-EXT. DEVLOP. (Civil)'!A43</f>
        <v>i</v>
      </c>
      <c r="B41" s="689"/>
      <c r="C41" s="690" t="str">
        <f>'BOQ-EXT. DEVLOP. (Civil)'!C43</f>
        <v>Size: 8" x 2"</v>
      </c>
      <c r="D41" s="691">
        <f>'BOQ-EXT. DEVLOP. (Civil)'!D43</f>
        <v>40</v>
      </c>
      <c r="E41" s="689" t="str">
        <f>'BOQ-EXT. DEVLOP. (Civil)'!E43</f>
        <v>Rft.</v>
      </c>
      <c r="F41" s="692"/>
      <c r="G41" s="692"/>
      <c r="H41" s="692"/>
      <c r="I41" s="692"/>
      <c r="J41" s="692"/>
    </row>
    <row r="42" spans="1:13" ht="128.25" x14ac:dyDescent="0.2">
      <c r="A42" s="689">
        <f>'BOQ-EXT. DEVLOP. (Civil)'!A44</f>
        <v>20</v>
      </c>
      <c r="B42" s="689"/>
      <c r="C42" s="690" t="str">
        <f>'BOQ-EXT. DEVLOP. (Civil)'!C44</f>
        <v>Solid Core Door  
(Refer Specs. Section # 8200)
Providing and fixing in position doors, windows and ventilators of 1st. Class deodar wood frames and 1-1/2" thick Teak wood ply shutters of 2nd class deodar wood skeleton (solid) styles and rails core of partal wood and Teak ply wood  (3-ply) on both sides i/c hold fasts, hinges, iron tower bolts, handles and cleats with cord etc. complete.</v>
      </c>
      <c r="D42" s="691"/>
      <c r="E42" s="689"/>
      <c r="F42" s="692"/>
      <c r="G42" s="692"/>
      <c r="H42" s="692"/>
      <c r="I42" s="692"/>
      <c r="J42" s="692"/>
    </row>
    <row r="43" spans="1:13" x14ac:dyDescent="0.2">
      <c r="A43" s="689" t="str">
        <f>'BOQ-EXT. DEVLOP. (Civil)'!A45</f>
        <v>i</v>
      </c>
      <c r="B43" s="689"/>
      <c r="C43" s="690" t="str">
        <f>'BOQ-EXT. DEVLOP. (Civil)'!C45</f>
        <v>D1   = 3'-3" x 7'-0"</v>
      </c>
      <c r="D43" s="691">
        <f>'BOQ-EXT. DEVLOP. (Civil)'!D45</f>
        <v>23</v>
      </c>
      <c r="E43" s="689" t="str">
        <f>'BOQ-EXT. DEVLOP. (Civil)'!E45</f>
        <v>Sft.</v>
      </c>
      <c r="F43" s="692"/>
      <c r="G43" s="692"/>
      <c r="H43" s="692"/>
      <c r="I43" s="692"/>
      <c r="J43" s="692"/>
    </row>
    <row r="44" spans="1:13" x14ac:dyDescent="0.2">
      <c r="A44" s="689" t="str">
        <f>'BOQ-EXT. DEVLOP. (Civil)'!A46</f>
        <v>ii</v>
      </c>
      <c r="B44" s="689"/>
      <c r="C44" s="690" t="str">
        <f>'BOQ-EXT. DEVLOP. (Civil)'!C46</f>
        <v>D2   = 2'-9" x 7'-0"</v>
      </c>
      <c r="D44" s="691">
        <f>'BOQ-EXT. DEVLOP. (Civil)'!D46</f>
        <v>19</v>
      </c>
      <c r="E44" s="689" t="str">
        <f>'BOQ-EXT. DEVLOP. (Civil)'!E46</f>
        <v>Sft.</v>
      </c>
      <c r="F44" s="692"/>
      <c r="G44" s="692"/>
      <c r="H44" s="692"/>
      <c r="I44" s="692"/>
      <c r="J44" s="692"/>
    </row>
    <row r="45" spans="1:13" ht="128.25" x14ac:dyDescent="0.2">
      <c r="A45" s="689">
        <f>'BOQ-EXT. DEVLOP. (Civil)'!A47</f>
        <v>21</v>
      </c>
      <c r="B45" s="689"/>
      <c r="C45" s="690" t="str">
        <f>'BOQ-EXT. DEVLOP. (Civil)'!C47</f>
        <v>Aluminum Windows / Ventilators (Refer Spec's Section # 8520)
Providing  and  fixing  aluminum  glazed  windows and ventilators using natural anodized aluminum (openable/fixed)  with  fly  proof  shutters  section as  approved  by  the  Architects  including  6mm thick   clear   glass   with   all   necessary   fixing arrangents      including      approved      quality hardwares,  handles,  latches  etc.  Complete  as per drawing and as directed by Consultants.</v>
      </c>
      <c r="D45" s="691">
        <f>'BOQ-EXT. DEVLOP. (Civil)'!D47</f>
        <v>45</v>
      </c>
      <c r="E45" s="689" t="str">
        <f>'BOQ-EXT. DEVLOP. (Civil)'!E47</f>
        <v>Sft.</v>
      </c>
      <c r="F45" s="692"/>
      <c r="G45" s="692"/>
      <c r="H45" s="692"/>
      <c r="I45" s="692"/>
      <c r="J45" s="692"/>
    </row>
    <row r="46" spans="1:13" ht="42.75" x14ac:dyDescent="0.2">
      <c r="A46" s="689">
        <f>'BOQ-EXT. DEVLOP. (Civil)'!A48</f>
        <v>22</v>
      </c>
      <c r="B46" s="689"/>
      <c r="C46" s="690" t="str">
        <f>'BOQ-EXT. DEVLOP. (Civil)'!C48</f>
        <v>Internal Plaster
(Refer Specs. Section #. 9200)
Cement Plaster 1:5 upto 12' height.</v>
      </c>
      <c r="D46" s="691">
        <f>'BOQ-EXT. DEVLOP. (Civil)'!D48</f>
        <v>700</v>
      </c>
      <c r="E46" s="747" t="str">
        <f>'BOQ-EXT. DEVLOP. (Civil)'!E48</f>
        <v>%Sft.</v>
      </c>
      <c r="F46" s="748">
        <f>ROUND(D46*(1/2/12)*1.54/6/1.25,2)</f>
        <v>5.99</v>
      </c>
      <c r="G46" s="748"/>
      <c r="H46" s="748"/>
      <c r="I46" s="748">
        <f>ROUND(F46*1.25*5,2)</f>
        <v>37.44</v>
      </c>
      <c r="J46" s="748"/>
      <c r="K46" s="693">
        <v>0.5</v>
      </c>
      <c r="L46" s="693">
        <f>0.5*0.415</f>
        <v>0.20749999999999999</v>
      </c>
      <c r="M46" s="749">
        <f>L46+K46</f>
        <v>0.70750000000000002</v>
      </c>
    </row>
    <row r="47" spans="1:13" ht="28.5" x14ac:dyDescent="0.2">
      <c r="A47" s="689">
        <f>'BOQ-EXT. DEVLOP. (Civil)'!A49</f>
        <v>23</v>
      </c>
      <c r="B47" s="689"/>
      <c r="C47" s="690" t="str">
        <f>'BOQ-EXT. DEVLOP. (Civil)'!C49</f>
        <v>Aluminum wire guage 144 mesh P.Square fixed to chowkats</v>
      </c>
      <c r="D47" s="691">
        <f>'BOQ-EXT. DEVLOP. (Civil)'!D49</f>
        <v>70</v>
      </c>
      <c r="E47" s="689" t="str">
        <f>'BOQ-EXT. DEVLOP. (Civil)'!E49</f>
        <v>Sft.</v>
      </c>
      <c r="F47" s="748"/>
      <c r="G47" s="748"/>
      <c r="H47" s="748"/>
      <c r="I47" s="748"/>
      <c r="J47" s="692"/>
    </row>
    <row r="48" spans="1:13" ht="42.75" x14ac:dyDescent="0.2">
      <c r="A48" s="689">
        <f>'BOQ-EXT. DEVLOP. (Civil)'!A50</f>
        <v>24</v>
      </c>
      <c r="B48" s="689"/>
      <c r="C48" s="690" t="str">
        <f>'BOQ-EXT. DEVLOP. (Civil)'!C50</f>
        <v>External Plaster 
(Refer Specs. Section #. 9200)
Cement plaster 1:4 upto 12' height.</v>
      </c>
      <c r="D48" s="691"/>
      <c r="E48" s="689"/>
      <c r="F48" s="692"/>
      <c r="G48" s="692"/>
      <c r="H48" s="692"/>
      <c r="I48" s="692"/>
      <c r="J48" s="692"/>
    </row>
    <row r="49" spans="1:10" x14ac:dyDescent="0.2">
      <c r="A49" s="689" t="str">
        <f>'BOQ-EXT. DEVLOP. (Civil)'!A51</f>
        <v>i</v>
      </c>
      <c r="B49" s="689"/>
      <c r="C49" s="690" t="str">
        <f>'BOQ-EXT. DEVLOP. (Civil)'!C51</f>
        <v>3/4" thick.</v>
      </c>
      <c r="D49" s="691">
        <f>'BOQ-EXT. DEVLOP. (Civil)'!D51</f>
        <v>200</v>
      </c>
      <c r="E49" s="689" t="str">
        <f>'BOQ-EXT. DEVLOP. (Civil)'!E51</f>
        <v>%Sft.</v>
      </c>
      <c r="F49" s="748">
        <f>ROUND(D49*(3/4/12)*1.54/5/1.25,2)</f>
        <v>3.08</v>
      </c>
      <c r="G49" s="748"/>
      <c r="H49" s="748"/>
      <c r="I49" s="748">
        <f>ROUND(F49*1.25*4,2)</f>
        <v>15.4</v>
      </c>
      <c r="J49" s="692"/>
    </row>
    <row r="50" spans="1:10" ht="99.75" x14ac:dyDescent="0.2">
      <c r="A50" s="689">
        <f>'BOQ-EXT. DEVLOP. (Civil)'!A52</f>
        <v>25</v>
      </c>
      <c r="B50" s="689"/>
      <c r="C50" s="690" t="str">
        <f>'BOQ-EXT. DEVLOP. (Civil)'!C52</f>
        <v>Matt Enamel Paint on Walls (Refer Specs. Section # 9900)
Preparing the surface and painting with matt finish I/c rubbing the surface with Bathy (silicon carbide rubbing brick) filling the voids with zink/chalk/ plaster of paris mixture, applying first coat premix, making the surface smooth and then painting 3 coats  with matt finish of approved make etc: complete .(new surface). Three Coats</v>
      </c>
      <c r="D50" s="691">
        <f>'BOQ-EXT. DEVLOP. (Civil)'!D52</f>
        <v>300</v>
      </c>
      <c r="E50" s="689" t="str">
        <f>'BOQ-EXT. DEVLOP. (Civil)'!E52</f>
        <v>%Sft.</v>
      </c>
      <c r="F50" s="692"/>
      <c r="G50" s="692"/>
      <c r="H50" s="692"/>
      <c r="I50" s="692"/>
      <c r="J50" s="692"/>
    </row>
    <row r="51" spans="1:10" ht="85.5" x14ac:dyDescent="0.2">
      <c r="A51" s="689">
        <f>'BOQ-EXT. DEVLOP. (Civil)'!A53</f>
        <v>26</v>
      </c>
      <c r="B51" s="689"/>
      <c r="C51" s="690" t="str">
        <f>'BOQ-EXT. DEVLOP. (Civil)'!C53</f>
        <v>Plastic Emulsion Paint on Ceiling (Refer Specs. Section # 9900)
Preparing the surface and painting with plastic emulsion paint of approved make  I/c rubbing the surface with sand Paper,filling the voids with chalk/ plaster of paris and then painting etc complete.Three Coats</v>
      </c>
      <c r="D51" s="691">
        <f>'BOQ-EXT. DEVLOP. (Civil)'!D53</f>
        <v>400</v>
      </c>
      <c r="E51" s="689" t="str">
        <f>'BOQ-EXT. DEVLOP. (Civil)'!E53</f>
        <v>%Sft.</v>
      </c>
      <c r="F51" s="692"/>
      <c r="G51" s="692"/>
      <c r="H51" s="692"/>
      <c r="I51" s="692"/>
      <c r="J51" s="692"/>
    </row>
    <row r="52" spans="1:10" ht="85.5" x14ac:dyDescent="0.2">
      <c r="A52" s="689">
        <f>'BOQ-EXT. DEVLOP. (Civil)'!A54</f>
        <v>27</v>
      </c>
      <c r="B52" s="689"/>
      <c r="C52" s="690" t="str">
        <f>'BOQ-EXT. DEVLOP. (Civil)'!C54</f>
        <v>External Painting / Weather Shield  (Refer Specs. Section # 9900)
Preparing the surface and painting with weather coat I/c rubbing the surface with rubbing brick /sand Paper,filling the voids with chalk/ plaster of Paris and then painting with weather coat of approved make. Three Coats</v>
      </c>
      <c r="D52" s="691">
        <f>'BOQ-EXT. DEVLOP. (Civil)'!D54</f>
        <v>200</v>
      </c>
      <c r="E52" s="689" t="str">
        <f>'BOQ-EXT. DEVLOP. (Civil)'!E54</f>
        <v>%Sft.</v>
      </c>
      <c r="F52" s="692"/>
      <c r="G52" s="692"/>
      <c r="H52" s="692"/>
      <c r="I52" s="692"/>
      <c r="J52" s="692"/>
    </row>
    <row r="53" spans="1:10" ht="128.25" x14ac:dyDescent="0.2">
      <c r="A53" s="689">
        <f>'BOQ-EXT. DEVLOP. (Civil)'!A55</f>
        <v>28</v>
      </c>
      <c r="B53" s="689"/>
      <c r="C53" s="690" t="str">
        <f>'BOQ-EXT. DEVLOP. (Civil)'!C55</f>
        <v>Glazed Porcelain Tiles Dado (Refer Specs. Section # 9300)
Providing  and  laying  Porcelain  Tiles  dado  using following  sizes  (colour  and  shade as  approved by the  Architect)  to  be  laid  over  1/2"  thick  cement sand scratched plaster  1:5 (1-cement, 5-fine sand) including  setting  the  tiles  with  grey  cement  slurry jointing,  cutting,  washing  the  tiles  with  matching colour  cement  slurry,  curing  and  cleaning  etc., complete  as  per  drawing  and  as  directed  by  the</v>
      </c>
      <c r="D53" s="691">
        <f>'BOQ-EXT. DEVLOP. (Civil)'!D55</f>
        <v>140</v>
      </c>
      <c r="E53" s="689" t="str">
        <f>'BOQ-EXT. DEVLOP. (Civil)'!E55</f>
        <v>%Sft.</v>
      </c>
      <c r="F53" s="748">
        <f>ROUND(D53*(1/2/12)*1.54/6/1.25,2)</f>
        <v>1.2</v>
      </c>
      <c r="G53" s="748"/>
      <c r="H53" s="748"/>
      <c r="I53" s="748">
        <f>ROUND(F53*1.25*5,2)</f>
        <v>7.5</v>
      </c>
      <c r="J53" s="692"/>
    </row>
    <row r="54" spans="1:10" ht="114" x14ac:dyDescent="0.2">
      <c r="A54" s="689">
        <f>'BOQ-EXT. DEVLOP. (Civil)'!A56</f>
        <v>0</v>
      </c>
      <c r="B54" s="689"/>
      <c r="C54" s="690" t="str">
        <f>'BOQ-EXT. DEVLOP. (Civil)'!C56</f>
        <v>Matt Porcelain Tile Flooring. (Refer Specs. Section #. 9300)
Providing   and   laying   porcelain   tiles   floor  using following  sizes  Matt  finish  (Colour  and  shade  as approved  by  the  Architect)  to  be  laid  over  2 3/4"thick cement sand (1:5) mortar bed   including setting and  jointing and washing the tiles with white cement slurry etc. as per drawings and as directed
by the Consultants</v>
      </c>
      <c r="D54" s="691"/>
      <c r="E54" s="689"/>
      <c r="F54" s="692"/>
      <c r="G54" s="692"/>
      <c r="H54" s="692"/>
      <c r="I54" s="692"/>
      <c r="J54" s="692"/>
    </row>
    <row r="55" spans="1:10" x14ac:dyDescent="0.2">
      <c r="A55" s="689">
        <f>'BOQ-EXT. DEVLOP. (Civil)'!A57</f>
        <v>29</v>
      </c>
      <c r="B55" s="689"/>
      <c r="C55" s="690" t="str">
        <f>'BOQ-EXT. DEVLOP. (Civil)'!C57</f>
        <v>8" x 8" toilet</v>
      </c>
      <c r="D55" s="691">
        <f>'BOQ-EXT. DEVLOP. (Civil)'!D57</f>
        <v>30</v>
      </c>
      <c r="E55" s="689" t="str">
        <f>'BOQ-EXT. DEVLOP. (Civil)'!E57</f>
        <v>%Sft.</v>
      </c>
      <c r="F55" s="748">
        <f>ROUND(D55*(3/4/12)*1.54/6/1.25,2)</f>
        <v>0.39</v>
      </c>
      <c r="G55" s="748"/>
      <c r="H55" s="748"/>
      <c r="I55" s="748">
        <f>ROUND(F55*1.25*5,2)</f>
        <v>2.44</v>
      </c>
      <c r="J55" s="692"/>
    </row>
    <row r="56" spans="1:10" ht="71.25" x14ac:dyDescent="0.2">
      <c r="A56" s="689">
        <f>'BOQ-EXT. DEVLOP. (Civil)'!A58</f>
        <v>30</v>
      </c>
      <c r="B56" s="689"/>
      <c r="C56" s="690" t="str">
        <f>'BOQ-EXT. DEVLOP. (Civil)'!C58</f>
        <v>Cement Concrete Floor (Refer Specs. Section # 9740)
Cement concrete plain including placing compacting, finishing and curing, complete (including screening and washing at stone aggregate without shuttering.
Ratio. 1:3 :6</v>
      </c>
      <c r="D56" s="691">
        <f>'BOQ-EXT. DEVLOP. (Civil)'!D58</f>
        <v>366</v>
      </c>
      <c r="E56" s="689" t="str">
        <f>'BOQ-EXT. DEVLOP. (Civil)'!E58</f>
        <v>%Cft.</v>
      </c>
      <c r="F56" s="692">
        <f>ROUND(D56*1.54/10/1.25,2)</f>
        <v>45.09</v>
      </c>
      <c r="G56" s="692"/>
      <c r="H56" s="692"/>
      <c r="I56" s="692">
        <f>ROUND(F56*1.25*3,2)</f>
        <v>169.09</v>
      </c>
      <c r="J56" s="692">
        <f>ROUND(I56*2,2)</f>
        <v>338.18</v>
      </c>
    </row>
    <row r="57" spans="1:10" ht="85.5" x14ac:dyDescent="0.2">
      <c r="A57" s="689">
        <f>'BOQ-EXT. DEVLOP. (Civil)'!A59</f>
        <v>31</v>
      </c>
      <c r="B57" s="689"/>
      <c r="C57" s="690" t="str">
        <f>'BOQ-EXT. DEVLOP. (Civil)'!C59</f>
        <v>Washed Terrazo in Situ Flooring (Refer Specs. Section # 9400) 
Providing   and   laying   3/4"   thick   grey   cement Washed  Terrazo  laid  over  2"  thick  cement  sand mortar, Complete as per drawing, and as directed
by the Consultants.</v>
      </c>
      <c r="D57" s="691">
        <f>'BOQ-EXT. DEVLOP. (Civil)'!D59</f>
        <v>3500</v>
      </c>
      <c r="E57" s="689" t="str">
        <f>'BOQ-EXT. DEVLOP. (Civil)'!E59</f>
        <v>%Sft.</v>
      </c>
      <c r="F57" s="748">
        <f>ROUND(D57*(2.75/12)*1.54/4/1.25,2)</f>
        <v>247.04</v>
      </c>
      <c r="G57" s="748"/>
      <c r="H57" s="748"/>
      <c r="I57" s="748">
        <f>ROUND(F57*1.25*3,2)</f>
        <v>926.4</v>
      </c>
      <c r="J57" s="692"/>
    </row>
    <row r="58" spans="1:10" ht="71.25" x14ac:dyDescent="0.2">
      <c r="A58" s="689">
        <f>'BOQ-EXT. DEVLOP. (Civil)'!A60</f>
        <v>32</v>
      </c>
      <c r="B58" s="689"/>
      <c r="C58" s="690" t="str">
        <f>'BOQ-EXT. DEVLOP. (Civil)'!C60</f>
        <v>Rip Rap Stone 
Stone Pitching hand packed with surface levelled off to the Correct Section with hammer dressed Stone and voids filled in 1:8 Cement mortar in floors of bridges and along hands and in aprons etc. including all lead and lift.</v>
      </c>
      <c r="D58" s="691">
        <f>'BOQ-EXT. DEVLOP. (Civil)'!D60</f>
        <v>12500</v>
      </c>
      <c r="E58" s="689" t="str">
        <f>'BOQ-EXT. DEVLOP. (Civil)'!E60</f>
        <v>%Cft.</v>
      </c>
      <c r="F58" s="748">
        <f>ROUND(D58*(25%)*1.54/9/1.25,2)</f>
        <v>427.78</v>
      </c>
      <c r="G58" s="748"/>
      <c r="H58" s="748"/>
      <c r="I58" s="748">
        <f>ROUND(F58*1.25*8,2)</f>
        <v>4277.8</v>
      </c>
      <c r="J58" s="692"/>
    </row>
    <row r="59" spans="1:10" ht="99.75" x14ac:dyDescent="0.2">
      <c r="A59" s="689">
        <f>'BOQ-EXT. DEVLOP. (Civil)'!A61</f>
        <v>33</v>
      </c>
      <c r="B59" s="689"/>
      <c r="C59" s="690" t="str">
        <f>'BOQ-EXT. DEVLOP. (Civil)'!C61</f>
        <v>Excavation
(Refer Spec's  Section # 2300)
Excavation in foundation of Building Bridges and other structures including dagbelling dressing,refilling around structure with excavated earth Watering and ramming lead upto 5 ft.
In ordinary soil.</v>
      </c>
      <c r="D59" s="691">
        <f>'BOQ-EXT. DEVLOP. (Civil)'!D61</f>
        <v>6605.8395499999997</v>
      </c>
      <c r="E59" s="689" t="str">
        <f>'BOQ-EXT. DEVLOP. (Civil)'!E61</f>
        <v>‰Cft.</v>
      </c>
      <c r="F59" s="692"/>
      <c r="G59" s="692"/>
      <c r="H59" s="692"/>
      <c r="I59" s="692"/>
      <c r="J59" s="692"/>
    </row>
    <row r="60" spans="1:10" ht="99.75" x14ac:dyDescent="0.2">
      <c r="A60" s="689">
        <f>'BOQ-EXT. DEVLOP. (Civil)'!A62</f>
        <v>34</v>
      </c>
      <c r="B60" s="689"/>
      <c r="C60" s="690" t="str">
        <f>'BOQ-EXT. DEVLOP. (Civil)'!C62</f>
        <v>Termite Proofing
(Refer Spec's Section # 2360)
Providing Anti-termmite by spraying/sprinkling/spreading Neptachlar 0.5% Emulsion as on overall pre-construction treatment in slab type construction under the slab and along attached perches or entrances etc, complete as per directions of Engineer Incharge</v>
      </c>
      <c r="D60" s="691">
        <f>'BOQ-EXT. DEVLOP. (Civil)'!D62</f>
        <v>356</v>
      </c>
      <c r="E60" s="689" t="str">
        <f>'BOQ-EXT. DEVLOP. (Civil)'!E62</f>
        <v>Sft.</v>
      </c>
      <c r="F60" s="692"/>
      <c r="G60" s="692"/>
      <c r="H60" s="692"/>
      <c r="I60" s="692"/>
      <c r="J60" s="692"/>
    </row>
    <row r="61" spans="1:10" ht="71.25" x14ac:dyDescent="0.2">
      <c r="A61" s="689">
        <f>'BOQ-EXT. DEVLOP. (Civil)'!A63</f>
        <v>35</v>
      </c>
      <c r="B61" s="689"/>
      <c r="C61" s="690" t="str">
        <f>'BOQ-EXT. DEVLOP. (Civil)'!C63</f>
        <v>Earth Filling
(Refer Spec's  Section # 2300)
Earth work compaction (Soft, ordinary or hard soil).
Laying earth in 6" layers levelling % 0Cft.dressing and watering for compactionb etc. complete.</v>
      </c>
      <c r="D61" s="691">
        <f>'BOQ-EXT. DEVLOP. (Civil)'!D63</f>
        <v>3500</v>
      </c>
      <c r="E61" s="689" t="str">
        <f>'BOQ-EXT. DEVLOP. (Civil)'!E63</f>
        <v>‰Cft.</v>
      </c>
      <c r="F61" s="692"/>
      <c r="G61" s="692"/>
      <c r="H61" s="692"/>
      <c r="I61" s="692"/>
      <c r="J61" s="692"/>
    </row>
    <row r="62" spans="1:10" ht="42.75" x14ac:dyDescent="0.2">
      <c r="A62" s="689">
        <f>'BOQ-EXT. DEVLOP. (Civil)'!A64</f>
        <v>36</v>
      </c>
      <c r="B62" s="689"/>
      <c r="C62" s="690" t="str">
        <f>'BOQ-EXT. DEVLOP. (Civil)'!C64</f>
        <v>Filling,watering and ramming earth under floor with new earth (Excavated from outside) lead upto one chain and lift upto 5 feet. Brough from out Side</v>
      </c>
      <c r="D62" s="691">
        <f>'BOQ-EXT. DEVLOP. (Civil)'!D64</f>
        <v>3500</v>
      </c>
      <c r="E62" s="689" t="str">
        <f>'BOQ-EXT. DEVLOP. (Civil)'!E64</f>
        <v>‰Cft.</v>
      </c>
      <c r="F62" s="748"/>
      <c r="G62" s="748"/>
      <c r="H62" s="748"/>
      <c r="I62" s="748"/>
      <c r="J62" s="692"/>
    </row>
    <row r="63" spans="1:10" ht="57" x14ac:dyDescent="0.2">
      <c r="A63" s="689">
        <f>'BOQ-EXT. DEVLOP. (Civil)'!A65</f>
        <v>37</v>
      </c>
      <c r="B63" s="689"/>
      <c r="C63" s="690" t="str">
        <f>'BOQ-EXT. DEVLOP. (Civil)'!C65</f>
        <v>Stone Soling
(Refer Spec's  Section # 2505)
Stone filling dry hand packed as filling behind retaining walls or in pitching and aprons.</v>
      </c>
      <c r="D63" s="691">
        <f>'BOQ-EXT. DEVLOP. (Civil)'!D65</f>
        <v>356</v>
      </c>
      <c r="E63" s="689" t="str">
        <f>'BOQ-EXT. DEVLOP. (Civil)'!E65</f>
        <v>%Cft.</v>
      </c>
      <c r="F63" s="692"/>
      <c r="G63" s="692"/>
      <c r="H63" s="692">
        <f>D63*1.25</f>
        <v>445</v>
      </c>
      <c r="I63" s="692"/>
      <c r="J63" s="692"/>
    </row>
    <row r="64" spans="1:10" ht="85.5" x14ac:dyDescent="0.2">
      <c r="A64" s="689">
        <f>'BOQ-EXT. DEVLOP. (Civil)'!A66</f>
        <v>38</v>
      </c>
      <c r="B64" s="689"/>
      <c r="C64" s="690" t="str">
        <f>'BOQ-EXT. DEVLOP. (Civil)'!C66</f>
        <v>1:4:8 in Foundation
(Refer Specs. Section # 3300)
Cement concrete plain including placing compacting, finishing and curing, complete (including screening and washing at stone aggregate without shuttering.
Ratio. 1: 4 :8</v>
      </c>
      <c r="D64" s="691">
        <f>'BOQ-EXT. DEVLOP. (Civil)'!D66</f>
        <v>234.99504999999999</v>
      </c>
      <c r="E64" s="689" t="str">
        <f>'BOQ-EXT. DEVLOP. (Civil)'!E66</f>
        <v>%Cft.</v>
      </c>
      <c r="F64" s="692">
        <f>ROUND(((D64*1.54)/13)/1.25,2)</f>
        <v>22.27</v>
      </c>
      <c r="G64" s="692"/>
      <c r="H64" s="692"/>
      <c r="I64" s="692">
        <f>ROUND(F64*1.25*4,2)</f>
        <v>111.35</v>
      </c>
      <c r="J64" s="692">
        <f>ROUND(F64*1.25*8,2)</f>
        <v>222.7</v>
      </c>
    </row>
    <row r="65" spans="1:13" ht="185.25" x14ac:dyDescent="0.2">
      <c r="A65" s="689">
        <f>'BOQ-EXT. DEVLOP. (Civil)'!A67</f>
        <v>39</v>
      </c>
      <c r="B65" s="689"/>
      <c r="C65" s="690" t="str">
        <f>'BOQ-EXT. DEVLOP. (Civil)'!C67</f>
        <v>Reinforced Cement Concrete  (f'c 3.0 ksi, Cylindrical  Strength) (Refer Specs. Section # 3300)
Reinforced cement concrete work including all labour and material except the cost of steel reinforcement and its labour for bending and binding which will be paid separately. This rate also includes all kinds of forms moulds: lifting shuttering curing rendering and finishing the-exposed surface (including screening  and washing of shingle.)
R.C work in roof slab, beams columns rafts, lintels and other structural members laid in situ or precast laid in position complete in all respects.
Ratio (1: 2: 4) 90 Lbs.cement 2 Cft. Sand 4 Cft. Shingle 1/8" to 1/4" gauge.</v>
      </c>
      <c r="D65" s="691">
        <f>'BOQ-EXT. DEVLOP. (Civil)'!D67</f>
        <v>1109.0764260000001</v>
      </c>
      <c r="E65" s="689" t="str">
        <f>'BOQ-EXT. DEVLOP. (Civil)'!E67</f>
        <v>%Cft.</v>
      </c>
      <c r="F65" s="692">
        <f>ROUND(((D65*1.54)/7)/1.25,2)</f>
        <v>195.2</v>
      </c>
      <c r="G65" s="692"/>
      <c r="H65" s="692"/>
      <c r="I65" s="692">
        <f>ROUND(F65*1.25*2,2)</f>
        <v>488</v>
      </c>
      <c r="J65" s="692">
        <f>ROUND(F65*1.25*4,2)</f>
        <v>976</v>
      </c>
    </row>
    <row r="66" spans="1:13" ht="85.5" x14ac:dyDescent="0.2">
      <c r="A66" s="689">
        <f>'BOQ-EXT. DEVLOP. (Civil)'!A68</f>
        <v>40</v>
      </c>
      <c r="B66" s="689"/>
      <c r="C66" s="690" t="str">
        <f>'BOQ-EXT. DEVLOP. (Civil)'!C68</f>
        <v>Reinforcement Bars
(Refer Specs. Section # 3300)
Fabrication of mild steel reinforcement for cement concrete including cutting,bending,laying in position, making joints and fastenings including cost of binding wire (also includes removeal of rast of bars.</v>
      </c>
      <c r="D66" s="691">
        <f>'BOQ-EXT. DEVLOP. (Civil)'!D68</f>
        <v>4.5351734820392702</v>
      </c>
      <c r="E66" s="689" t="str">
        <f>'BOQ-EXT. DEVLOP. (Civil)'!E68</f>
        <v>Ton.</v>
      </c>
      <c r="F66" s="692"/>
      <c r="G66" s="692">
        <f>D66</f>
        <v>4.5351734820392702</v>
      </c>
      <c r="H66" s="692"/>
      <c r="I66" s="692"/>
      <c r="J66" s="692"/>
    </row>
    <row r="67" spans="1:13" ht="85.5" x14ac:dyDescent="0.2">
      <c r="A67" s="689">
        <f>'BOQ-EXT. DEVLOP. (Civil)'!A69</f>
        <v>41</v>
      </c>
      <c r="B67" s="689"/>
      <c r="C67" s="690" t="str">
        <f>'BOQ-EXT. DEVLOP. (Civil)'!C69</f>
        <v>Block Masonry
(Refer Spec's Section # 4050 &amp; 4200)
Providing and laying 1 :3 : 6 Cement concrete solid Block masorany wall above 6" in thickness set. In 1 : 6 cement mortar in G.F ground floor superstructure including raking out joints &amp; curing etc,</v>
      </c>
      <c r="D67" s="691"/>
      <c r="E67" s="689"/>
      <c r="F67" s="692"/>
      <c r="G67" s="692"/>
      <c r="H67" s="692"/>
      <c r="I67" s="692"/>
      <c r="J67" s="692"/>
    </row>
    <row r="68" spans="1:13" x14ac:dyDescent="0.2">
      <c r="A68" s="689" t="str">
        <f>'BOQ-EXT. DEVLOP. (Civil)'!A70</f>
        <v>i</v>
      </c>
      <c r="B68" s="689"/>
      <c r="C68" s="690" t="str">
        <f>'BOQ-EXT. DEVLOP. (Civil)'!C70</f>
        <v>6" thick</v>
      </c>
      <c r="D68" s="691">
        <f>'BOQ-EXT. DEVLOP. (Civil)'!D70</f>
        <v>125</v>
      </c>
      <c r="E68" s="689" t="str">
        <f>'BOQ-EXT. DEVLOP. (Civil)'!E70</f>
        <v>%Cft.</v>
      </c>
      <c r="F68" s="692">
        <f>ROUND(((D68*1.54)/10)/1.25,2)</f>
        <v>15.4</v>
      </c>
      <c r="G68" s="692"/>
      <c r="H68" s="692"/>
      <c r="I68" s="692">
        <f>ROUND(F68*1.25*3,2)</f>
        <v>57.75</v>
      </c>
      <c r="J68" s="692">
        <f>ROUND(F68*1.25*6,2)</f>
        <v>115.5</v>
      </c>
    </row>
    <row r="69" spans="1:13" ht="42.75" x14ac:dyDescent="0.2">
      <c r="A69" s="689">
        <f>'BOQ-EXT. DEVLOP. (Civil)'!A71</f>
        <v>42</v>
      </c>
      <c r="B69" s="689"/>
      <c r="C69" s="690" t="str">
        <f>'BOQ-EXT. DEVLOP. (Civil)'!C71</f>
        <v>Internal Plaster
(Refer Specs. Section #.
 Cement Plaster 1:5 upto 12' height.</v>
      </c>
      <c r="D69" s="691"/>
      <c r="E69" s="689"/>
      <c r="F69" s="692"/>
      <c r="G69" s="692"/>
      <c r="H69" s="692"/>
      <c r="I69" s="692"/>
      <c r="J69" s="692"/>
    </row>
    <row r="70" spans="1:13" x14ac:dyDescent="0.2">
      <c r="A70" s="689">
        <f>'BOQ-EXT. DEVLOP. (Civil)'!A72</f>
        <v>0</v>
      </c>
      <c r="B70" s="689"/>
      <c r="C70" s="690" t="str">
        <f>'BOQ-EXT. DEVLOP. (Civil)'!C72</f>
        <v>1/2" thick.</v>
      </c>
      <c r="D70" s="691">
        <f>'BOQ-EXT. DEVLOP. (Civil)'!D72</f>
        <v>624</v>
      </c>
      <c r="E70" s="689" t="str">
        <f>'BOQ-EXT. DEVLOP. (Civil)'!E72</f>
        <v>%Sft.</v>
      </c>
      <c r="F70" s="748">
        <f>ROUND(D70*(1/2/12)*1.54/6/1.25,2)</f>
        <v>5.34</v>
      </c>
      <c r="G70" s="748"/>
      <c r="H70" s="748"/>
      <c r="I70" s="748">
        <f>ROUND(F70*1.25*5,2)</f>
        <v>33.380000000000003</v>
      </c>
      <c r="J70" s="692"/>
    </row>
    <row r="71" spans="1:13" ht="28.5" x14ac:dyDescent="0.2">
      <c r="A71" s="689">
        <f>'BOQ-EXT. DEVLOP. (Civil)'!A73</f>
        <v>43</v>
      </c>
      <c r="B71" s="689"/>
      <c r="C71" s="690" t="str">
        <f>'BOQ-EXT. DEVLOP. (Civil)'!C73</f>
        <v>Aluminum wire guage 144 mesh P.Square fixed to chowkats</v>
      </c>
      <c r="D71" s="691">
        <f>'BOQ-EXT. DEVLOP. (Civil)'!D73</f>
        <v>62.400000000000006</v>
      </c>
      <c r="E71" s="689" t="str">
        <f>'BOQ-EXT. DEVLOP. (Civil)'!E73</f>
        <v>Sft.</v>
      </c>
      <c r="F71" s="692"/>
      <c r="G71" s="692"/>
      <c r="H71" s="692"/>
      <c r="I71" s="692"/>
      <c r="J71" s="692"/>
    </row>
    <row r="72" spans="1:13" x14ac:dyDescent="0.2">
      <c r="A72" s="689" t="str">
        <f>'BOQ-EXT. DEVLOP. (Civil)'!A74</f>
        <v>NON-SCHEDULE ITEMS</v>
      </c>
      <c r="B72" s="689"/>
      <c r="C72" s="690"/>
      <c r="D72" s="691"/>
      <c r="E72" s="689"/>
      <c r="F72" s="692"/>
      <c r="G72" s="692"/>
      <c r="H72" s="692"/>
      <c r="I72" s="692"/>
      <c r="J72" s="692"/>
    </row>
    <row r="73" spans="1:13" ht="28.5" x14ac:dyDescent="0.2">
      <c r="A73" s="689">
        <f>'BOQ-EXT. DEVLOP. (Civil)'!A75</f>
        <v>44</v>
      </c>
      <c r="B73" s="689"/>
      <c r="C73" s="690" t="str">
        <f>'BOQ-EXT. DEVLOP. (Civil)'!C75</f>
        <v>Providing and fixing of boundary walll fence as per drawing complete in all respect.</v>
      </c>
      <c r="D73" s="691">
        <f>'BOQ-EXT. DEVLOP. (Civil)'!D75</f>
        <v>2000</v>
      </c>
      <c r="E73" s="689" t="str">
        <f>'BOQ-EXT. DEVLOP. (Civil)'!E75</f>
        <v>Rft</v>
      </c>
      <c r="F73" s="692"/>
      <c r="G73" s="692"/>
      <c r="H73" s="692"/>
      <c r="I73" s="692"/>
      <c r="J73" s="692"/>
    </row>
    <row r="74" spans="1:13" ht="213.75" x14ac:dyDescent="0.2">
      <c r="A74" s="689">
        <f>'BOQ-EXT. DEVLOP. (Civil)'!A76</f>
        <v>45</v>
      </c>
      <c r="B74" s="689"/>
      <c r="C74" s="690" t="str">
        <f>'BOQ-EXT. DEVLOP. (Civil)'!C76</f>
        <v>Ramed Earth Reinforced Wall / Column (Refer Spec's Section # 3330)
Providing  and  laying  12"  thick  Solid  Rammed Earth Reinforced Wall to be made-up of a damp mixture   of    approved   soil,   cement,   pigment (Bayer) and admixtures blend to be consistant for all  work  and  to  be  poured  into  an  external supported Torsion box that moulds the shape of a wall section creating a solid wall of earth. Wall to be reinforced horizontally and vertically with steel bars as shown on drawings. The wall to be built verticaly in layers not excceding 12" in height well rammed / compressed (mechanically) including consolidation, curing, removal of form work etc. Complete as per Drawings, Specifications and as directed by the Consultants.
(Including Steel bars)</v>
      </c>
      <c r="D74" s="691"/>
      <c r="E74" s="689"/>
      <c r="F74" s="692"/>
      <c r="G74" s="692"/>
      <c r="H74" s="692"/>
      <c r="I74" s="692"/>
      <c r="J74" s="692"/>
    </row>
    <row r="75" spans="1:13" x14ac:dyDescent="0.2">
      <c r="A75" s="689">
        <f>'BOQ-EXT. DEVLOP. (Civil)'!A77</f>
        <v>0</v>
      </c>
      <c r="B75" s="689"/>
      <c r="C75" s="690" t="str">
        <f>'BOQ-EXT. DEVLOP. (Civil)'!C77</f>
        <v>Above Grade</v>
      </c>
      <c r="D75" s="691">
        <f>'BOQ-EXT. DEVLOP. (Civil)'!D77</f>
        <v>865</v>
      </c>
      <c r="E75" s="689" t="str">
        <f>'BOQ-EXT. DEVLOP. (Civil)'!E77</f>
        <v>Cft.</v>
      </c>
      <c r="F75" s="692"/>
      <c r="G75" s="692"/>
      <c r="H75" s="692"/>
      <c r="I75" s="692"/>
      <c r="J75" s="692"/>
    </row>
    <row r="76" spans="1:13" ht="242.25" x14ac:dyDescent="0.2">
      <c r="A76" s="689">
        <f>'BOQ-EXT. DEVLOP. (Civil)'!A78</f>
        <v>46</v>
      </c>
      <c r="B76" s="689"/>
      <c r="C76" s="690" t="str">
        <f>'BOQ-EXT. DEVLOP. (Civil)'!C78</f>
        <v>Ramed Earth Wall Cladding
(Refer Specs. Section # 3330, 4050 &amp; 4200)
Providing and laying 5" thick Solid Rammed Earth Wall   cladding   on   already   laid   block   walls insulated with 2 1/2" thick insulation board factory applied   facing   of   Aluminum   or   Kraft   paper including metal lathing to board to be made-up of  a  damp  mixture  of   approved  soil,  cement, pigment  (Bayer)  and  admixtures  blend  to  be consistant for all work and to be poured into an external  supported  Torsion  box  that  moulds  the shape  of  a  wall  section  creating  a  solid  wall  of earth. The wall to be built verticaly in layers not excceding    12"    in    height    well    rammed    / compressed          (mechanically)          including consolidation, curing, removal of form work etc. complete as per Drawings, Specifications and as directed   by   the   Consultants.   (Including   Steel
bars)</v>
      </c>
      <c r="D76" s="691">
        <f>'BOQ-EXT. DEVLOP. (Civil)'!D78</f>
        <v>160</v>
      </c>
      <c r="E76" s="689" t="str">
        <f>'BOQ-EXT. DEVLOP. (Civil)'!E78</f>
        <v>Sft.</v>
      </c>
      <c r="F76" s="692"/>
      <c r="G76" s="692"/>
      <c r="H76" s="692"/>
      <c r="I76" s="692"/>
      <c r="J76" s="692"/>
    </row>
    <row r="77" spans="1:13" ht="99.75" x14ac:dyDescent="0.2">
      <c r="A77" s="689">
        <f>'BOQ-EXT. DEVLOP. (Civil)'!A79</f>
        <v>47</v>
      </c>
      <c r="B77" s="689"/>
      <c r="C77" s="690" t="str">
        <f>'BOQ-EXT. DEVLOP. (Civil)'!C79</f>
        <v>Water Proofing for Wet Areas  (Refer Specs. Section # 7100)
Providing    and    applying    Acrylic    based    water Proofing, Brush bond of FOSROC or Brushcrete of FEB or   approved   equivalent   in   two   coats   including primer   coat.   Complete   as   per   drawing   and   as
directed by the Consultants</v>
      </c>
      <c r="D77" s="691">
        <f>'BOQ-EXT. DEVLOP. (Civil)'!D79</f>
        <v>30</v>
      </c>
      <c r="E77" s="689" t="str">
        <f>'BOQ-EXT. DEVLOP. (Civil)'!E79</f>
        <v>SFT</v>
      </c>
      <c r="F77" s="692"/>
      <c r="G77" s="692"/>
      <c r="H77" s="692"/>
      <c r="I77" s="692"/>
      <c r="J77" s="692"/>
    </row>
    <row r="78" spans="1:13" ht="156.75" x14ac:dyDescent="0.2">
      <c r="A78" s="689">
        <f>'BOQ-EXT. DEVLOP. (Civil)'!A80</f>
        <v>48</v>
      </c>
      <c r="B78" s="689"/>
      <c r="C78" s="690" t="str">
        <f>'BOQ-EXT. DEVLOP. (Civil)'!C80</f>
        <v>Roofing Treatment
(Refer Specs. Section # 7560)
Providing  and  laying  roofing  treatment  over  flat  roof consisting of laying 2" thick (average) C.C. 1:2:4 screed laid in required slope, applying hot bitumen of grade 80- 100 having coverage of 60lbs/100 Sft over screed icluding 2"  thick  heavy  density  polystyrene  board  (  32  kg/cum) insulation  over  bitumen,  having  6  mill  thick  polythene sheet  over  polystyrene  board,  and  finally  laying  12"x12" Clay  Tile  finished,  complete  as  per  drawing  and  as directed by the Consultant.</v>
      </c>
      <c r="D78" s="691">
        <f>'BOQ-EXT. DEVLOP. (Civil)'!D80</f>
        <v>425</v>
      </c>
      <c r="E78" s="747" t="str">
        <f>'BOQ-EXT. DEVLOP. (Civil)'!E80</f>
        <v>Sft.</v>
      </c>
      <c r="F78" s="748">
        <f>ROUND(D78*0.5*1.54/7/1.25,2)</f>
        <v>37.4</v>
      </c>
      <c r="G78" s="748"/>
      <c r="H78" s="748"/>
      <c r="I78" s="748">
        <f>ROUND(F78*1.25*2,2)</f>
        <v>93.5</v>
      </c>
      <c r="J78" s="748">
        <f>ROUND(I78*2,2)</f>
        <v>187</v>
      </c>
      <c r="K78" s="693">
        <v>0.5</v>
      </c>
      <c r="L78" s="693">
        <f>0.5*0.415</f>
        <v>0.20749999999999999</v>
      </c>
      <c r="M78" s="749">
        <f>L78+K78</f>
        <v>0.70750000000000002</v>
      </c>
    </row>
    <row r="79" spans="1:13" ht="99.75" x14ac:dyDescent="0.2">
      <c r="A79" s="689">
        <f>'BOQ-EXT. DEVLOP. (Civil)'!A81</f>
        <v>49</v>
      </c>
      <c r="B79" s="689"/>
      <c r="C79" s="690" t="str">
        <f>'BOQ-EXT. DEVLOP. (Civil)'!C81</f>
        <v>Sealant (Pointing Mastics) (Refer Specs. Section # 7900)
Providing    and    applying    sealant    of    approved manufacturer  to  provide  a  positive  barrier  against penetration  of  air  and  moisture  at  periphery  of Aluminum/Wooden  Doors,  Windows  and  Ventilators and    wherever    required    as    directed    by    the
Consultant</v>
      </c>
      <c r="D79" s="691">
        <f>'BOQ-EXT. DEVLOP. (Civil)'!D81</f>
        <v>55</v>
      </c>
      <c r="E79" s="689" t="str">
        <f>'BOQ-EXT. DEVLOP. (Civil)'!E81</f>
        <v>Rft.</v>
      </c>
      <c r="F79" s="748"/>
      <c r="G79" s="748"/>
      <c r="H79" s="748"/>
      <c r="I79" s="748"/>
      <c r="J79" s="692"/>
    </row>
    <row r="80" spans="1:13" ht="71.25" x14ac:dyDescent="0.2">
      <c r="A80" s="689">
        <f>'BOQ-EXT. DEVLOP. (Civil)'!A82</f>
        <v>50</v>
      </c>
      <c r="B80" s="689"/>
      <c r="C80" s="690" t="str">
        <f>'BOQ-EXT. DEVLOP. (Civil)'!C82</f>
        <v>Loose Gravel Filling
Providing and spreading  Loose Gravel filling 1 1/2" and 2" down gauge in c.c. channel, complete as per drawing and as directed by the Consultants.
(4" Thick Layer)</v>
      </c>
      <c r="D80" s="691">
        <f>'BOQ-EXT. DEVLOP. (Civil)'!D82</f>
        <v>20500</v>
      </c>
      <c r="E80" s="689" t="str">
        <f>'BOQ-EXT. DEVLOP. (Civil)'!E82</f>
        <v>SFT</v>
      </c>
      <c r="F80" s="692"/>
      <c r="G80" s="692"/>
      <c r="H80" s="692"/>
      <c r="I80" s="692"/>
      <c r="J80" s="692">
        <f>D80*0.17</f>
        <v>3485.0000000000005</v>
      </c>
    </row>
    <row r="81" spans="1:10" ht="57" x14ac:dyDescent="0.2">
      <c r="A81" s="689">
        <f>'BOQ-EXT. DEVLOP. (Civil)'!A83</f>
        <v>51</v>
      </c>
      <c r="B81" s="689"/>
      <c r="C81" s="690" t="str">
        <f>'BOQ-EXT. DEVLOP. (Civil)'!C83</f>
        <v>PLANTATION
Providing   and   Planting   following   Trees   with making Pits and filling  Sweet Earth as approved by the Architect or Consultant.</v>
      </c>
      <c r="D81" s="691"/>
      <c r="E81" s="689"/>
      <c r="F81" s="692"/>
      <c r="G81" s="692"/>
      <c r="H81" s="692"/>
      <c r="I81" s="692"/>
      <c r="J81" s="692"/>
    </row>
    <row r="82" spans="1:10" x14ac:dyDescent="0.2">
      <c r="A82" s="689" t="str">
        <f>'BOQ-EXT. DEVLOP. (Civil)'!A84</f>
        <v>i</v>
      </c>
      <c r="B82" s="689"/>
      <c r="C82" s="690" t="str">
        <f>'BOQ-EXT. DEVLOP. (Civil)'!C84</f>
        <v>Ficus  9'-0" to 10'-0" high</v>
      </c>
      <c r="D82" s="691">
        <f>'BOQ-EXT. DEVLOP. (Civil)'!D84</f>
        <v>50</v>
      </c>
      <c r="E82" s="689" t="str">
        <f>'BOQ-EXT. DEVLOP. (Civil)'!E84</f>
        <v>No</v>
      </c>
      <c r="F82" s="692"/>
      <c r="G82" s="692"/>
      <c r="H82" s="692"/>
      <c r="I82" s="692"/>
      <c r="J82" s="692"/>
    </row>
    <row r="83" spans="1:10" ht="71.25" x14ac:dyDescent="0.2">
      <c r="A83" s="689">
        <f>'BOQ-EXT. DEVLOP. (Civil)'!A85</f>
        <v>52</v>
      </c>
      <c r="B83" s="689"/>
      <c r="C83" s="690" t="str">
        <f>'BOQ-EXT. DEVLOP. (Civil)'!C85</f>
        <v>Grass
Providing  and  Planting  Grass  and  manure  as approved  by  the  Architect  including  making burm where ever required including sweet earth filling  up  to 1'-0"  depth and as directed  by the Consultants</v>
      </c>
      <c r="D83" s="691">
        <f>'BOQ-EXT. DEVLOP. (Civil)'!D85</f>
        <v>500</v>
      </c>
      <c r="E83" s="689" t="str">
        <f>'BOQ-EXT. DEVLOP. (Civil)'!E85</f>
        <v>Sft.</v>
      </c>
      <c r="F83" s="692"/>
      <c r="G83" s="692"/>
      <c r="H83" s="692"/>
      <c r="I83" s="692"/>
      <c r="J83" s="692"/>
    </row>
    <row r="84" spans="1:10" ht="57" x14ac:dyDescent="0.2">
      <c r="A84" s="689">
        <f>'BOQ-EXT. DEVLOP. (Civil)'!A86</f>
        <v>53</v>
      </c>
      <c r="B84" s="689"/>
      <c r="C84" s="690" t="str">
        <f>'BOQ-EXT. DEVLOP. (Civil)'!C86</f>
        <v>Ground Cover
Providing   and   Planting   Ground   covers   and manure as approved by the Architect including sweet earth filling up to 9"depth and as directed by the Consultants.</v>
      </c>
      <c r="D84" s="691">
        <f>'BOQ-EXT. DEVLOP. (Civil)'!D86</f>
        <v>100</v>
      </c>
      <c r="E84" s="689" t="str">
        <f>'BOQ-EXT. DEVLOP. (Civil)'!E86</f>
        <v>Sft.</v>
      </c>
      <c r="F84" s="692"/>
      <c r="G84" s="692"/>
      <c r="H84" s="692"/>
      <c r="I84" s="692"/>
      <c r="J84" s="692"/>
    </row>
    <row r="85" spans="1:10" ht="57" x14ac:dyDescent="0.2">
      <c r="A85" s="689">
        <f>'BOQ-EXT. DEVLOP. (Civil)'!A87</f>
        <v>54</v>
      </c>
      <c r="B85" s="689"/>
      <c r="C85" s="690" t="str">
        <f>'BOQ-EXT. DEVLOP. (Civil)'!C87</f>
        <v>Chlerodendron
Providing   and   Planting   Chlerodendron   and manure as approved by the Architect including sweet   earth   filling   up   to   24"depth   and   as directed by the Consultants.</v>
      </c>
      <c r="D85" s="691">
        <f>'BOQ-EXT. DEVLOP. (Civil)'!D87</f>
        <v>2500</v>
      </c>
      <c r="E85" s="689" t="str">
        <f>'BOQ-EXT. DEVLOP. (Civil)'!E87</f>
        <v>Rft.</v>
      </c>
      <c r="F85" s="692"/>
      <c r="G85" s="692"/>
      <c r="H85" s="692"/>
      <c r="I85" s="692"/>
      <c r="J85" s="692"/>
    </row>
    <row r="86" spans="1:10" ht="71.25" x14ac:dyDescent="0.2">
      <c r="A86" s="689">
        <f>'BOQ-EXT. DEVLOP. (Civil)'!A88</f>
        <v>55</v>
      </c>
      <c r="B86" s="689"/>
      <c r="C86" s="690" t="str">
        <f>'BOQ-EXT. DEVLOP. (Civil)'!C88</f>
        <v>Stone Kerb
Providing and laying pre-cast concrete kerbs 12" wide   x   1'-6"   high   and    6"   thick   including excavation,    lean    concrete     with    leveling, finishing,    curing    etc.    as    directed    by    the Consultants</v>
      </c>
      <c r="D86" s="691">
        <f>'BOQ-EXT. DEVLOP. (Civil)'!D88</f>
        <v>2300</v>
      </c>
      <c r="E86" s="689" t="str">
        <f>'BOQ-EXT. DEVLOP. (Civil)'!E88</f>
        <v>Rft.</v>
      </c>
      <c r="F86" s="748">
        <f>ROUND(((D86*0.71*1.54/7/1.25)+(D86*1*0.25*1.54/13/1.25)+(D86*0.5*0.5*1.54/10/1.25)),2)</f>
        <v>412.74</v>
      </c>
      <c r="G86" s="748"/>
      <c r="H86" s="748"/>
      <c r="I86" s="748">
        <f>ROUND(((D86*0.71*1.54/7*2)+(D86*1*0.25*1.54/13*4)+(D86*0.5*0.5*1.54/10*3)),2)</f>
        <v>1256.6300000000001</v>
      </c>
      <c r="J86" s="748">
        <f>ROUND(I86*2,2)</f>
        <v>2513.2600000000002</v>
      </c>
    </row>
    <row r="87" spans="1:10" ht="156.75" x14ac:dyDescent="0.2">
      <c r="A87" s="689">
        <f>'BOQ-EXT. DEVLOP. (Civil)'!A89</f>
        <v>56</v>
      </c>
      <c r="B87" s="689"/>
      <c r="C87" s="690" t="str">
        <f>'BOQ-EXT. DEVLOP. (Civil)'!C89</f>
        <v>Providing/ laying/ fixing complete DRIP Irrigation SYSTEM to provide on Area 1500-2000 sqyd, with Motor  Pump ( 3HP) approved brand with complete accessories and PE DRIPPING PIPES 2 inches dia minimum 20 lines about 300ft length each or more as suitable complete Network. wholeGarden area should be covered for watering, before laying design &amp; drawings pump/ motor and pipe 
Including RCC UGWTank 1500 gallons &amp; POND 500 gallons with Water fall Fountains as mentioned in drawings  complete in all respect or as Directed by Engineer. Submit detailed design &amp; drawings prior to work for approval.</v>
      </c>
      <c r="D87" s="691">
        <f>'BOQ-EXT. DEVLOP. (Civil)'!D89</f>
        <v>1</v>
      </c>
      <c r="E87" s="689" t="str">
        <f>'BOQ-EXT. DEVLOP. (Civil)'!E89</f>
        <v>Lumsum</v>
      </c>
      <c r="F87" s="692"/>
      <c r="G87" s="692"/>
      <c r="H87" s="692"/>
      <c r="I87" s="692"/>
      <c r="J87" s="692"/>
    </row>
    <row r="88" spans="1:10" s="695" customFormat="1" ht="20.100000000000001" customHeight="1" x14ac:dyDescent="0.25">
      <c r="A88" s="765" t="s">
        <v>804</v>
      </c>
      <c r="B88" s="770"/>
      <c r="C88" s="770"/>
      <c r="D88" s="770"/>
      <c r="E88" s="771"/>
      <c r="F88" s="694">
        <f>SUM(F9:F87)</f>
        <v>7127.0999999999995</v>
      </c>
      <c r="G88" s="694">
        <f>SUM(G9:G87)</f>
        <v>39.285173482039269</v>
      </c>
      <c r="H88" s="694">
        <f>SUM(H9:H87)</f>
        <v>46401.25</v>
      </c>
      <c r="I88" s="694">
        <f>SUM(I9:I87)</f>
        <v>26328.780000000002</v>
      </c>
      <c r="J88" s="694">
        <f>SUM(J9:J87)</f>
        <v>45486.740000000005</v>
      </c>
    </row>
    <row r="89" spans="1:10" s="686" customFormat="1" ht="20.100000000000001" customHeight="1" x14ac:dyDescent="0.25">
      <c r="A89" s="765" t="s">
        <v>2</v>
      </c>
      <c r="B89" s="770"/>
      <c r="C89" s="766"/>
      <c r="D89" s="766"/>
      <c r="E89" s="767"/>
      <c r="F89" s="694" t="s">
        <v>805</v>
      </c>
      <c r="G89" s="694" t="s">
        <v>806</v>
      </c>
      <c r="H89" s="694" t="s">
        <v>807</v>
      </c>
      <c r="I89" s="694" t="s">
        <v>807</v>
      </c>
      <c r="J89" s="694" t="s">
        <v>807</v>
      </c>
    </row>
    <row r="90" spans="1:10" s="686" customFormat="1" ht="20.100000000000001" customHeight="1" x14ac:dyDescent="0.25">
      <c r="A90" s="765" t="s">
        <v>808</v>
      </c>
      <c r="B90" s="770"/>
      <c r="C90" s="766"/>
      <c r="D90" s="766"/>
      <c r="E90" s="767"/>
      <c r="F90" s="694">
        <v>325</v>
      </c>
      <c r="G90" s="694">
        <v>112000</v>
      </c>
      <c r="H90" s="694">
        <v>1273</v>
      </c>
      <c r="I90" s="694">
        <v>475</v>
      </c>
      <c r="J90" s="694">
        <v>1066</v>
      </c>
    </row>
    <row r="91" spans="1:10" s="695" customFormat="1" ht="20.100000000000001" customHeight="1" x14ac:dyDescent="0.25">
      <c r="A91" s="765" t="s">
        <v>809</v>
      </c>
      <c r="B91" s="770"/>
      <c r="C91" s="766"/>
      <c r="D91" s="766"/>
      <c r="E91" s="767"/>
      <c r="F91" s="696">
        <f>ROUND(F90*F88,2)</f>
        <v>2316307.5</v>
      </c>
      <c r="G91" s="696">
        <f>ROUND(G90*G88,2)</f>
        <v>4399939.43</v>
      </c>
      <c r="H91" s="696">
        <f>ROUND(H90*H88/100,2)</f>
        <v>590687.91</v>
      </c>
      <c r="I91" s="696">
        <f>ROUND(I90*I88/100,2)</f>
        <v>125061.71</v>
      </c>
      <c r="J91" s="696">
        <f>ROUND(J90*J88/100,2)</f>
        <v>484888.65</v>
      </c>
    </row>
    <row r="92" spans="1:10" s="695" customFormat="1" ht="20.100000000000001" customHeight="1" x14ac:dyDescent="0.25">
      <c r="A92" s="765" t="s">
        <v>810</v>
      </c>
      <c r="B92" s="770"/>
      <c r="C92" s="766"/>
      <c r="D92" s="766"/>
      <c r="E92" s="767"/>
      <c r="F92" s="696">
        <f>SUM(F91:J91)</f>
        <v>7916885.2000000002</v>
      </c>
      <c r="G92" s="697"/>
      <c r="H92" s="697"/>
      <c r="I92" s="697"/>
      <c r="J92" s="697"/>
    </row>
  </sheetData>
  <mergeCells count="7">
    <mergeCell ref="A92:E92"/>
    <mergeCell ref="A1:J1"/>
    <mergeCell ref="A2:J2"/>
    <mergeCell ref="A88:E88"/>
    <mergeCell ref="A89:E89"/>
    <mergeCell ref="A90:E90"/>
    <mergeCell ref="A91:E91"/>
  </mergeCells>
  <printOptions horizontalCentered="1"/>
  <pageMargins left="0.25" right="0.25" top="0.55000000000000004" bottom="0.25" header="0.15" footer="0.15"/>
  <pageSetup paperSize="9" scale="75" fitToHeight="0"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36</vt:i4>
      </vt:variant>
    </vt:vector>
  </HeadingPairs>
  <TitlesOfParts>
    <vt:vector size="56" baseType="lpstr">
      <vt:lpstr>Appendix C Building</vt:lpstr>
      <vt:lpstr>Summary</vt:lpstr>
      <vt:lpstr>Material Diff- Office Building</vt:lpstr>
      <vt:lpstr>BOQ-OFFICE BUILDING (Civil)</vt:lpstr>
      <vt:lpstr>Material Diff- Staff Build.</vt:lpstr>
      <vt:lpstr>BOQ-STAFF BUILDING (Civil)</vt:lpstr>
      <vt:lpstr>Material Diff- Audotorium</vt:lpstr>
      <vt:lpstr>BOQ-AUDOTORIUM(Civil)</vt:lpstr>
      <vt:lpstr>Material Diff- External Dev.</vt:lpstr>
      <vt:lpstr>BOQ-EXT. DEVLOP. (Civil)</vt:lpstr>
      <vt:lpstr>Mst-With Solar</vt:lpstr>
      <vt:lpstr>Mst-Without Solar</vt:lpstr>
      <vt:lpstr>Mst-Auditrium </vt:lpstr>
      <vt:lpstr>Mst-External</vt:lpstr>
      <vt:lpstr>Mst-Fountain</vt:lpstr>
      <vt:lpstr>Mst-Civil Storm Water </vt:lpstr>
      <vt:lpstr>Mst-TubeWell </vt:lpstr>
      <vt:lpstr>Mst-Civil UG TANK</vt:lpstr>
      <vt:lpstr>Mst-Fire FIghting Tank</vt:lpstr>
      <vt:lpstr>Mst-Septic Tank</vt:lpstr>
      <vt:lpstr>'Appendix C Building'!Print_Area</vt:lpstr>
      <vt:lpstr>'BOQ-AUDOTORIUM(Civil)'!Print_Area</vt:lpstr>
      <vt:lpstr>'BOQ-EXT. DEVLOP. (Civil)'!Print_Area</vt:lpstr>
      <vt:lpstr>'BOQ-OFFICE BUILDING (Civil)'!Print_Area</vt:lpstr>
      <vt:lpstr>'BOQ-STAFF BUILDING (Civil)'!Print_Area</vt:lpstr>
      <vt:lpstr>'Material Diff- Audotorium'!Print_Area</vt:lpstr>
      <vt:lpstr>'Material Diff- External Dev.'!Print_Area</vt:lpstr>
      <vt:lpstr>'Mst-Auditrium '!Print_Area</vt:lpstr>
      <vt:lpstr>'Mst-Civil Storm Water '!Print_Area</vt:lpstr>
      <vt:lpstr>'Mst-Civil UG TANK'!Print_Area</vt:lpstr>
      <vt:lpstr>'Mst-External'!Print_Area</vt:lpstr>
      <vt:lpstr>'Mst-Fire FIghting Tank'!Print_Area</vt:lpstr>
      <vt:lpstr>'Mst-Fountain'!Print_Area</vt:lpstr>
      <vt:lpstr>'Mst-Septic Tank'!Print_Area</vt:lpstr>
      <vt:lpstr>'Mst-TubeWell '!Print_Area</vt:lpstr>
      <vt:lpstr>'Mst-With Solar'!Print_Area</vt:lpstr>
      <vt:lpstr>'Mst-Without Solar'!Print_Area</vt:lpstr>
      <vt:lpstr>Summary!Print_Area</vt:lpstr>
      <vt:lpstr>'Appendix C Building'!Print_Titles</vt:lpstr>
      <vt:lpstr>'BOQ-AUDOTORIUM(Civil)'!Print_Titles</vt:lpstr>
      <vt:lpstr>'BOQ-EXT. DEVLOP. (Civil)'!Print_Titles</vt:lpstr>
      <vt:lpstr>'BOQ-OFFICE BUILDING (Civil)'!Print_Titles</vt:lpstr>
      <vt:lpstr>'BOQ-STAFF BUILDING (Civil)'!Print_Titles</vt:lpstr>
      <vt:lpstr>'Material Diff- Audotorium'!Print_Titles</vt:lpstr>
      <vt:lpstr>'Material Diff- External Dev.'!Print_Titles</vt:lpstr>
      <vt:lpstr>'Material Diff- Office Building'!Print_Titles</vt:lpstr>
      <vt:lpstr>'Mst-Auditrium '!Print_Titles</vt:lpstr>
      <vt:lpstr>'Mst-Civil Storm Water '!Print_Titles</vt:lpstr>
      <vt:lpstr>'Mst-Civil UG TANK'!Print_Titles</vt:lpstr>
      <vt:lpstr>'Mst-External'!Print_Titles</vt:lpstr>
      <vt:lpstr>'Mst-Fire FIghting Tank'!Print_Titles</vt:lpstr>
      <vt:lpstr>'Mst-Fountain'!Print_Titles</vt:lpstr>
      <vt:lpstr>'Mst-Septic Tank'!Print_Titles</vt:lpstr>
      <vt:lpstr>'Mst-TubeWell '!Print_Titles</vt:lpstr>
      <vt:lpstr>'Mst-With Solar'!Print_Titles</vt:lpstr>
      <vt:lpstr>'Mst-Without Solar'!Print_Titles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Touseef Ahmed Sheikh</dc:creator>
  <cp:lastModifiedBy>HOME</cp:lastModifiedBy>
  <cp:lastPrinted>2022-11-30T15:54:18Z</cp:lastPrinted>
  <dcterms:created xsi:type="dcterms:W3CDTF">2021-06-08T05:18:14Z</dcterms:created>
  <dcterms:modified xsi:type="dcterms:W3CDTF">2023-02-25T12:31:23Z</dcterms:modified>
</cp:coreProperties>
</file>