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77343B1-A1F4-486A-A49B-1E6F1F516C92}" xr6:coauthVersionLast="47" xr6:coauthVersionMax="47" xr10:uidLastSave="{00000000-0000-0000-0000-000000000000}"/>
  <bookViews>
    <workbookView xWindow="-108" yWindow="-108" windowWidth="23256" windowHeight="13176" firstSheet="1" activeTab="1" xr2:uid="{F7B50BF3-A801-47EC-918B-68DAE0971FF2}"/>
  </bookViews>
  <sheets>
    <sheet name="_CIQHiddenCacheSheet" sheetId="160" state="veryHidden" r:id="rId1"/>
    <sheet name="Walmart" sheetId="30" r:id="rId2"/>
    <sheet name="Costco" sheetId="50" r:id="rId3"/>
    <sheet name="Alibaba" sheetId="67" r:id="rId4"/>
    <sheet name="Carrefour " sheetId="81" r:id="rId5"/>
    <sheet name="Magazine Luiza" sheetId="95" r:id="rId6"/>
  </sheets>
  <definedNames>
    <definedName name="CIQWBGuid" hidden="1">"2554320c-052d-461a-8a85-404eea6059b7"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"02/25/2025 19:34:09"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95" l="1"/>
  <c r="I16" i="95"/>
  <c r="D16" i="95"/>
  <c r="E16" i="95"/>
  <c r="F16" i="95"/>
  <c r="F15" i="95"/>
  <c r="G15" i="95"/>
  <c r="H15" i="95"/>
  <c r="G16" i="95"/>
  <c r="I15" i="95"/>
  <c r="H27" i="95"/>
  <c r="I27" i="95"/>
  <c r="D15" i="95"/>
  <c r="E15" i="95"/>
  <c r="D27" i="95"/>
  <c r="E27" i="95"/>
  <c r="F27" i="95"/>
  <c r="G27" i="95"/>
  <c r="H24" i="95"/>
  <c r="H25" i="95"/>
  <c r="I24" i="95"/>
  <c r="I25" i="95"/>
  <c r="F24" i="95"/>
  <c r="E25" i="95"/>
  <c r="G22" i="95"/>
  <c r="H22" i="95"/>
  <c r="F25" i="95"/>
  <c r="G24" i="95"/>
  <c r="G25" i="95"/>
  <c r="D24" i="95"/>
  <c r="D25" i="95"/>
  <c r="E24" i="95"/>
  <c r="F22" i="95"/>
  <c r="I22" i="95"/>
  <c r="H20" i="95"/>
  <c r="I20" i="95"/>
  <c r="D22" i="95"/>
  <c r="E22" i="95"/>
  <c r="D20" i="95"/>
  <c r="F20" i="95"/>
  <c r="G20" i="95"/>
  <c r="H17" i="95"/>
  <c r="H18" i="95"/>
  <c r="E20" i="95"/>
  <c r="I17" i="95"/>
  <c r="I18" i="95"/>
  <c r="H19" i="95"/>
  <c r="H5" i="95" s="1"/>
  <c r="I19" i="95"/>
  <c r="I5" i="95" s="1"/>
  <c r="I11" i="95" s="1"/>
  <c r="H21" i="95"/>
  <c r="H6" i="95" s="1"/>
  <c r="I21" i="95"/>
  <c r="I6" i="95" s="1"/>
  <c r="H23" i="95"/>
  <c r="H7" i="95"/>
  <c r="I23" i="95"/>
  <c r="I7" i="95"/>
  <c r="D26" i="95"/>
  <c r="D8" i="95" s="1"/>
  <c r="E26" i="95"/>
  <c r="E8" i="95" s="1"/>
  <c r="F26" i="95"/>
  <c r="F8" i="95"/>
  <c r="G26" i="95"/>
  <c r="G8" i="95" s="1"/>
  <c r="H26" i="95"/>
  <c r="H8" i="95"/>
  <c r="I26" i="95"/>
  <c r="I8" i="95"/>
  <c r="H28" i="95"/>
  <c r="H9" i="95"/>
  <c r="I28" i="95"/>
  <c r="I9" i="95"/>
  <c r="F17" i="95"/>
  <c r="G15" i="81"/>
  <c r="D25" i="81"/>
  <c r="G15" i="67"/>
  <c r="D25" i="67"/>
  <c r="F18" i="67"/>
  <c r="I27" i="50"/>
  <c r="G22" i="50"/>
  <c r="D18" i="50"/>
  <c r="E27" i="30"/>
  <c r="I20" i="30"/>
  <c r="F18" i="95"/>
  <c r="D27" i="81"/>
  <c r="I17" i="81"/>
  <c r="H15" i="67"/>
  <c r="E24" i="67"/>
  <c r="G17" i="67"/>
  <c r="D15" i="50"/>
  <c r="H22" i="50"/>
  <c r="E17" i="50"/>
  <c r="F27" i="30"/>
  <c r="D22" i="30"/>
  <c r="G17" i="95"/>
  <c r="E27" i="81"/>
  <c r="I18" i="81"/>
  <c r="I15" i="67"/>
  <c r="E25" i="67"/>
  <c r="G18" i="67"/>
  <c r="E15" i="50"/>
  <c r="I22" i="50"/>
  <c r="E18" i="50"/>
  <c r="G27" i="30"/>
  <c r="E22" i="30"/>
  <c r="G18" i="95"/>
  <c r="F27" i="81"/>
  <c r="D22" i="81"/>
  <c r="D16" i="67"/>
  <c r="F24" i="67"/>
  <c r="H17" i="67"/>
  <c r="F15" i="50"/>
  <c r="D24" i="50"/>
  <c r="F17" i="50"/>
  <c r="G24" i="30"/>
  <c r="I17" i="30"/>
  <c r="D17" i="95"/>
  <c r="G27" i="81"/>
  <c r="E22" i="81"/>
  <c r="E16" i="67"/>
  <c r="F25" i="67"/>
  <c r="H18" i="67"/>
  <c r="I25" i="50"/>
  <c r="G20" i="50"/>
  <c r="F16" i="30"/>
  <c r="G25" i="30"/>
  <c r="I18" i="30"/>
  <c r="D18" i="95"/>
  <c r="H27" i="81"/>
  <c r="E18" i="95"/>
  <c r="H24" i="81"/>
  <c r="G17" i="81"/>
  <c r="D15" i="67"/>
  <c r="H22" i="67"/>
  <c r="E17" i="67"/>
  <c r="F27" i="50"/>
  <c r="D22" i="50"/>
  <c r="I16" i="30"/>
  <c r="I24" i="30"/>
  <c r="F20" i="30"/>
  <c r="G16" i="81"/>
  <c r="H25" i="81"/>
  <c r="G18" i="81"/>
  <c r="E15" i="67"/>
  <c r="I22" i="67"/>
  <c r="E18" i="67"/>
  <c r="G27" i="50"/>
  <c r="E22" i="50"/>
  <c r="G15" i="30"/>
  <c r="D25" i="30"/>
  <c r="F18" i="30"/>
  <c r="H25" i="50"/>
  <c r="D16" i="81"/>
  <c r="D22" i="67"/>
  <c r="H16" i="81"/>
  <c r="I24" i="81"/>
  <c r="H17" i="81"/>
  <c r="F15" i="67"/>
  <c r="D24" i="67"/>
  <c r="F17" i="67"/>
  <c r="G24" i="50"/>
  <c r="I17" i="50"/>
  <c r="H15" i="30"/>
  <c r="E24" i="30"/>
  <c r="G17" i="30"/>
  <c r="I16" i="81"/>
  <c r="I25" i="81"/>
  <c r="H18" i="81"/>
  <c r="I25" i="67"/>
  <c r="G20" i="67"/>
  <c r="F16" i="50"/>
  <c r="G25" i="50"/>
  <c r="I18" i="50"/>
  <c r="I15" i="30"/>
  <c r="E25" i="30"/>
  <c r="G18" i="30"/>
  <c r="E25" i="81"/>
  <c r="E27" i="67"/>
  <c r="H16" i="50"/>
  <c r="E16" i="30"/>
  <c r="F25" i="30"/>
  <c r="H18" i="30"/>
  <c r="F24" i="81"/>
  <c r="F27" i="67"/>
  <c r="I16" i="50"/>
  <c r="F20" i="50"/>
  <c r="H27" i="30"/>
  <c r="H15" i="81"/>
  <c r="E24" i="81"/>
  <c r="D17" i="81"/>
  <c r="D27" i="67"/>
  <c r="H20" i="67"/>
  <c r="G16" i="50"/>
  <c r="H24" i="50"/>
  <c r="D20" i="50"/>
  <c r="D16" i="30"/>
  <c r="F24" i="30"/>
  <c r="H17" i="30"/>
  <c r="I15" i="81"/>
  <c r="D18" i="81"/>
  <c r="I20" i="67"/>
  <c r="E20" i="50"/>
  <c r="E17" i="81"/>
  <c r="I24" i="50"/>
  <c r="D17" i="30"/>
  <c r="F22" i="30"/>
  <c r="I27" i="81"/>
  <c r="G22" i="81"/>
  <c r="E17" i="95"/>
  <c r="H27" i="67"/>
  <c r="I15" i="50"/>
  <c r="G16" i="30"/>
  <c r="E18" i="30"/>
  <c r="E16" i="50"/>
  <c r="F15" i="30"/>
  <c r="H25" i="67"/>
  <c r="D18" i="30"/>
  <c r="H15" i="50"/>
  <c r="E17" i="30"/>
  <c r="E16" i="81"/>
  <c r="I27" i="67"/>
  <c r="D16" i="50"/>
  <c r="H16" i="30"/>
  <c r="F17" i="30"/>
  <c r="F16" i="81"/>
  <c r="G27" i="67"/>
  <c r="I27" i="30"/>
  <c r="D25" i="50"/>
  <c r="H16" i="67"/>
  <c r="D15" i="81"/>
  <c r="G24" i="67"/>
  <c r="H27" i="50"/>
  <c r="D15" i="30"/>
  <c r="E15" i="81"/>
  <c r="G25" i="67"/>
  <c r="D27" i="50"/>
  <c r="E15" i="30"/>
  <c r="I25" i="30"/>
  <c r="F15" i="81"/>
  <c r="H24" i="67"/>
  <c r="E27" i="50"/>
  <c r="D17" i="50"/>
  <c r="G25" i="81"/>
  <c r="F25" i="81"/>
  <c r="I24" i="67"/>
  <c r="E24" i="50"/>
  <c r="D27" i="30"/>
  <c r="G24" i="81"/>
  <c r="F22" i="67"/>
  <c r="E25" i="50"/>
  <c r="H24" i="30"/>
  <c r="H22" i="81"/>
  <c r="G22" i="67"/>
  <c r="F24" i="50"/>
  <c r="H25" i="30"/>
  <c r="I22" i="81"/>
  <c r="E22" i="67"/>
  <c r="F25" i="50"/>
  <c r="G22" i="30"/>
  <c r="H18" i="50"/>
  <c r="D24" i="81"/>
  <c r="I17" i="67"/>
  <c r="F22" i="50"/>
  <c r="H22" i="30"/>
  <c r="F22" i="81"/>
  <c r="I18" i="67"/>
  <c r="H20" i="50"/>
  <c r="I22" i="30"/>
  <c r="F18" i="81"/>
  <c r="D20" i="67"/>
  <c r="I20" i="50"/>
  <c r="D24" i="30"/>
  <c r="E18" i="81"/>
  <c r="E20" i="67"/>
  <c r="F18" i="50"/>
  <c r="G20" i="30"/>
  <c r="F17" i="81"/>
  <c r="G17" i="50"/>
  <c r="H20" i="30"/>
  <c r="F16" i="67"/>
  <c r="D17" i="67"/>
  <c r="G18" i="50"/>
  <c r="G15" i="50"/>
  <c r="F20" i="67"/>
  <c r="D20" i="30"/>
  <c r="G16" i="67"/>
  <c r="D18" i="67"/>
  <c r="H17" i="50"/>
  <c r="E20" i="30"/>
  <c r="I16" i="67"/>
  <c r="E21" i="30" l="1"/>
  <c r="E6" i="30" s="1"/>
  <c r="H19" i="50"/>
  <c r="H5" i="50" s="1"/>
  <c r="D21" i="30"/>
  <c r="D6" i="30" s="1"/>
  <c r="F21" i="67"/>
  <c r="F6" i="67" s="1"/>
  <c r="D19" i="67"/>
  <c r="D5" i="67" s="1"/>
  <c r="D11" i="67" s="1"/>
  <c r="H21" i="30"/>
  <c r="H6" i="30" s="1"/>
  <c r="G19" i="50"/>
  <c r="G5" i="50" s="1"/>
  <c r="G11" i="50" s="1"/>
  <c r="F19" i="81"/>
  <c r="F5" i="81" s="1"/>
  <c r="G21" i="30"/>
  <c r="G6" i="30" s="1"/>
  <c r="E21" i="67"/>
  <c r="E6" i="67" s="1"/>
  <c r="E21" i="81"/>
  <c r="E6" i="81" s="1"/>
  <c r="D26" i="30"/>
  <c r="D8" i="30" s="1"/>
  <c r="I21" i="50"/>
  <c r="I6" i="50" s="1"/>
  <c r="D21" i="67"/>
  <c r="D6" i="67" s="1"/>
  <c r="F21" i="81"/>
  <c r="F6" i="81" s="1"/>
  <c r="I23" i="30"/>
  <c r="I7" i="30" s="1"/>
  <c r="H21" i="50"/>
  <c r="H6" i="50" s="1"/>
  <c r="F23" i="81"/>
  <c r="F7" i="81" s="1"/>
  <c r="H23" i="30"/>
  <c r="H7" i="30" s="1"/>
  <c r="F23" i="50"/>
  <c r="F7" i="50" s="1"/>
  <c r="I19" i="67"/>
  <c r="I5" i="67" s="1"/>
  <c r="D26" i="81"/>
  <c r="D8" i="81" s="1"/>
  <c r="G23" i="30"/>
  <c r="G7" i="30" s="1"/>
  <c r="E23" i="67"/>
  <c r="E7" i="67" s="1"/>
  <c r="I23" i="81"/>
  <c r="I7" i="81" s="1"/>
  <c r="F26" i="50"/>
  <c r="F8" i="50" s="1"/>
  <c r="G23" i="67"/>
  <c r="G7" i="67" s="1"/>
  <c r="H23" i="81"/>
  <c r="H7" i="81" s="1"/>
  <c r="H26" i="30"/>
  <c r="H8" i="30" s="1"/>
  <c r="F23" i="67"/>
  <c r="F7" i="67" s="1"/>
  <c r="G26" i="81"/>
  <c r="G8" i="81" s="1"/>
  <c r="D28" i="30"/>
  <c r="D9" i="30" s="1"/>
  <c r="E26" i="50"/>
  <c r="E8" i="50" s="1"/>
  <c r="I26" i="67"/>
  <c r="I8" i="67" s="1"/>
  <c r="D19" i="50"/>
  <c r="D5" i="50" s="1"/>
  <c r="E28" i="50"/>
  <c r="E9" i="50" s="1"/>
  <c r="H26" i="67"/>
  <c r="H8" i="67" s="1"/>
  <c r="D28" i="50"/>
  <c r="D9" i="50" s="1"/>
  <c r="H28" i="50"/>
  <c r="H9" i="50" s="1"/>
  <c r="G26" i="67"/>
  <c r="G8" i="67" s="1"/>
  <c r="I28" i="30"/>
  <c r="I9" i="30" s="1"/>
  <c r="G28" i="67"/>
  <c r="G9" i="67" s="1"/>
  <c r="F19" i="30"/>
  <c r="F5" i="30" s="1"/>
  <c r="I28" i="67"/>
  <c r="I9" i="67" s="1"/>
  <c r="E19" i="30"/>
  <c r="E5" i="30" s="1"/>
  <c r="E11" i="30" s="1"/>
  <c r="H28" i="67"/>
  <c r="H9" i="67" s="1"/>
  <c r="E19" i="95"/>
  <c r="E5" i="95" s="1"/>
  <c r="E11" i="95" s="1"/>
  <c r="G23" i="81"/>
  <c r="G7" i="81" s="1"/>
  <c r="I28" i="81"/>
  <c r="I9" i="81" s="1"/>
  <c r="F23" i="30"/>
  <c r="F7" i="30" s="1"/>
  <c r="D19" i="30"/>
  <c r="D5" i="30" s="1"/>
  <c r="I26" i="50"/>
  <c r="I8" i="50" s="1"/>
  <c r="E19" i="81"/>
  <c r="E5" i="81" s="1"/>
  <c r="E21" i="50"/>
  <c r="E6" i="50" s="1"/>
  <c r="I21" i="67"/>
  <c r="I6" i="67" s="1"/>
  <c r="D21" i="81"/>
  <c r="D6" i="81" s="1"/>
  <c r="H19" i="30"/>
  <c r="H5" i="30" s="1"/>
  <c r="F26" i="30"/>
  <c r="F8" i="30" s="1"/>
  <c r="D21" i="50"/>
  <c r="D6" i="50" s="1"/>
  <c r="H26" i="50"/>
  <c r="H8" i="50" s="1"/>
  <c r="H21" i="67"/>
  <c r="H6" i="67" s="1"/>
  <c r="D28" i="67"/>
  <c r="D9" i="67" s="1"/>
  <c r="D19" i="81"/>
  <c r="D5" i="81" s="1"/>
  <c r="E26" i="81"/>
  <c r="E8" i="81" s="1"/>
  <c r="H28" i="30"/>
  <c r="H9" i="30" s="1"/>
  <c r="F21" i="50"/>
  <c r="F6" i="50" s="1"/>
  <c r="F28" i="67"/>
  <c r="F9" i="67" s="1"/>
  <c r="F26" i="81"/>
  <c r="F8" i="81" s="1"/>
  <c r="E28" i="67"/>
  <c r="E9" i="67" s="1"/>
  <c r="G21" i="67"/>
  <c r="G6" i="67" s="1"/>
  <c r="H21" i="81"/>
  <c r="H6" i="81" s="1"/>
  <c r="G19" i="30"/>
  <c r="G5" i="30" s="1"/>
  <c r="E26" i="30"/>
  <c r="E8" i="30" s="1"/>
  <c r="I19" i="50"/>
  <c r="I5" i="50" s="1"/>
  <c r="G26" i="50"/>
  <c r="G8" i="50" s="1"/>
  <c r="F19" i="67"/>
  <c r="F5" i="67" s="1"/>
  <c r="D26" i="67"/>
  <c r="D8" i="67" s="1"/>
  <c r="H19" i="81"/>
  <c r="H5" i="81" s="1"/>
  <c r="I26" i="81"/>
  <c r="I8" i="81" s="1"/>
  <c r="D23" i="67"/>
  <c r="D7" i="67" s="1"/>
  <c r="E23" i="50"/>
  <c r="E7" i="50" s="1"/>
  <c r="G28" i="50"/>
  <c r="G9" i="50" s="1"/>
  <c r="I23" i="67"/>
  <c r="I7" i="67" s="1"/>
  <c r="G21" i="81"/>
  <c r="G6" i="81" s="1"/>
  <c r="F21" i="30"/>
  <c r="F6" i="30" s="1"/>
  <c r="I26" i="30"/>
  <c r="I8" i="30" s="1"/>
  <c r="D23" i="50"/>
  <c r="D7" i="50" s="1"/>
  <c r="F28" i="50"/>
  <c r="F9" i="50" s="1"/>
  <c r="E19" i="67"/>
  <c r="E5" i="67" s="1"/>
  <c r="E11" i="67" s="1"/>
  <c r="H23" i="67"/>
  <c r="H7" i="67" s="1"/>
  <c r="G19" i="81"/>
  <c r="G5" i="81" s="1"/>
  <c r="H26" i="81"/>
  <c r="H8" i="81" s="1"/>
  <c r="E23" i="95"/>
  <c r="E7" i="95" s="1"/>
  <c r="E28" i="95"/>
  <c r="E9" i="95" s="1"/>
  <c r="E21" i="95"/>
  <c r="E6" i="95" s="1"/>
  <c r="H28" i="81"/>
  <c r="H9" i="81" s="1"/>
  <c r="D23" i="95"/>
  <c r="D7" i="95" s="1"/>
  <c r="D21" i="95"/>
  <c r="D6" i="95" s="1"/>
  <c r="D28" i="95"/>
  <c r="D9" i="95" s="1"/>
  <c r="G21" i="50"/>
  <c r="G6" i="50" s="1"/>
  <c r="E23" i="81"/>
  <c r="E7" i="81" s="1"/>
  <c r="G28" i="81"/>
  <c r="G9" i="81" s="1"/>
  <c r="D19" i="95"/>
  <c r="D5" i="95" s="1"/>
  <c r="D11" i="95" s="1"/>
  <c r="I19" i="30"/>
  <c r="I5" i="30" s="1"/>
  <c r="G26" i="30"/>
  <c r="G8" i="30" s="1"/>
  <c r="F19" i="50"/>
  <c r="F5" i="50" s="1"/>
  <c r="D26" i="50"/>
  <c r="D8" i="50" s="1"/>
  <c r="H19" i="67"/>
  <c r="H5" i="67" s="1"/>
  <c r="H11" i="67" s="1"/>
  <c r="F26" i="67"/>
  <c r="F8" i="67" s="1"/>
  <c r="D23" i="81"/>
  <c r="D7" i="81" s="1"/>
  <c r="F28" i="81"/>
  <c r="F9" i="81" s="1"/>
  <c r="G23" i="95"/>
  <c r="G7" i="95" s="1"/>
  <c r="G28" i="95"/>
  <c r="G9" i="95" s="1"/>
  <c r="G21" i="95"/>
  <c r="G6" i="95" s="1"/>
  <c r="E23" i="30"/>
  <c r="E7" i="30" s="1"/>
  <c r="G28" i="30"/>
  <c r="G9" i="30" s="1"/>
  <c r="I23" i="50"/>
  <c r="I7" i="50" s="1"/>
  <c r="I21" i="81"/>
  <c r="I6" i="81" s="1"/>
  <c r="E28" i="81"/>
  <c r="E9" i="81" s="1"/>
  <c r="G19" i="95"/>
  <c r="G5" i="95" s="1"/>
  <c r="G11" i="95" s="1"/>
  <c r="D23" i="30"/>
  <c r="D7" i="30" s="1"/>
  <c r="F28" i="30"/>
  <c r="F9" i="30" s="1"/>
  <c r="E19" i="50"/>
  <c r="E5" i="50" s="1"/>
  <c r="E11" i="50" s="1"/>
  <c r="H23" i="50"/>
  <c r="H7" i="50" s="1"/>
  <c r="G19" i="67"/>
  <c r="G5" i="67" s="1"/>
  <c r="E26" i="67"/>
  <c r="E8" i="67" s="1"/>
  <c r="I19" i="81"/>
  <c r="I5" i="81" s="1"/>
  <c r="D28" i="81"/>
  <c r="D9" i="81" s="1"/>
  <c r="F28" i="95"/>
  <c r="F9" i="95" s="1"/>
  <c r="F21" i="95"/>
  <c r="F6" i="95" s="1"/>
  <c r="F23" i="95"/>
  <c r="F7" i="95" s="1"/>
  <c r="I21" i="30"/>
  <c r="I6" i="30" s="1"/>
  <c r="E28" i="30"/>
  <c r="E9" i="30" s="1"/>
  <c r="G23" i="50"/>
  <c r="G7" i="50" s="1"/>
  <c r="I28" i="50"/>
  <c r="I9" i="50" s="1"/>
  <c r="F19" i="95"/>
  <c r="F5" i="95" s="1"/>
  <c r="H11" i="95"/>
  <c r="I11" i="81" l="1"/>
  <c r="F11" i="50"/>
  <c r="I11" i="30"/>
  <c r="D11" i="81"/>
  <c r="H11" i="81"/>
  <c r="H11" i="30"/>
  <c r="F11" i="95"/>
  <c r="F11" i="67"/>
  <c r="D11" i="50"/>
  <c r="I11" i="50"/>
  <c r="E11" i="81"/>
  <c r="G11" i="30"/>
  <c r="G11" i="81"/>
  <c r="D11" i="30"/>
  <c r="F11" i="81"/>
  <c r="G11" i="67"/>
  <c r="F11" i="30"/>
  <c r="H11" i="50"/>
  <c r="I11" i="6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7" authorId="0" shapeId="0" xr:uid="{E5561D87-51C7-4D2C-9AE0-D4806558178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Ask Sir If I need to calculate or can take from S&amp;P directly. 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7" authorId="0" shapeId="0" xr:uid="{005E9D18-AC9D-4EDE-B907-55FC9BBA8BE1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Ask Sir If I need to calculate or can take from S&amp;P directly.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7" authorId="0" shapeId="0" xr:uid="{B0AE262E-C1B6-43D0-BC8E-84D23D70EA24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Ask Sir If I need to calculate or can take from S&amp;P directly.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7" authorId="0" shapeId="0" xr:uid="{4C56DE02-9F18-413D-8F9C-817EAD230B63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Ask Sir If I need to calculate or can take from S&amp;P directly.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C17" authorId="0" shapeId="0" xr:uid="{1C898B76-AEB4-4B66-8EB3-09ED74484C0B}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Ask Sir If I need to calculate or can take from S&amp;P directly. 
</t>
        </r>
      </text>
    </comment>
  </commentList>
</comments>
</file>

<file path=xl/sharedStrings.xml><?xml version="1.0" encoding="utf-8"?>
<sst xmlns="http://schemas.openxmlformats.org/spreadsheetml/2006/main" count="276" uniqueCount="98">
  <si>
    <r>
      <t>Z-score  =  1.2 X</t>
    </r>
    <r>
      <rPr>
        <b/>
        <vertAlign val="subscript"/>
        <sz val="11"/>
        <color rgb="FF000000"/>
        <rFont val="Aptos Narrow"/>
        <family val="2"/>
      </rPr>
      <t>1</t>
    </r>
    <r>
      <rPr>
        <b/>
        <sz val="11"/>
        <color indexed="8"/>
        <rFont val="Aptos Narrow"/>
        <family val="2"/>
      </rPr>
      <t xml:space="preserve"> + 1.4 X</t>
    </r>
    <r>
      <rPr>
        <b/>
        <vertAlign val="subscript"/>
        <sz val="11"/>
        <color rgb="FF000000"/>
        <rFont val="Aptos Narrow"/>
        <family val="2"/>
      </rPr>
      <t>2</t>
    </r>
    <r>
      <rPr>
        <b/>
        <sz val="11"/>
        <color indexed="8"/>
        <rFont val="Aptos Narrow"/>
        <family val="2"/>
      </rPr>
      <t>+ 3.3 X</t>
    </r>
    <r>
      <rPr>
        <b/>
        <vertAlign val="subscript"/>
        <sz val="11"/>
        <color rgb="FF000000"/>
        <rFont val="Aptos Narrow"/>
        <family val="2"/>
      </rPr>
      <t>3</t>
    </r>
    <r>
      <rPr>
        <b/>
        <sz val="11"/>
        <color indexed="8"/>
        <rFont val="Aptos Narrow"/>
        <family val="2"/>
      </rPr>
      <t>+ 0.6 X</t>
    </r>
    <r>
      <rPr>
        <b/>
        <vertAlign val="subscript"/>
        <sz val="11"/>
        <color rgb="FF000000"/>
        <rFont val="Aptos Narrow"/>
        <family val="2"/>
      </rPr>
      <t>4</t>
    </r>
    <r>
      <rPr>
        <b/>
        <sz val="11"/>
        <color indexed="8"/>
        <rFont val="Aptos Narrow"/>
        <family val="2"/>
      </rPr>
      <t>+ 0.999 X</t>
    </r>
    <r>
      <rPr>
        <b/>
        <vertAlign val="subscript"/>
        <sz val="11"/>
        <color rgb="FF000000"/>
        <rFont val="Aptos Narrow"/>
        <family val="2"/>
      </rPr>
      <t>5</t>
    </r>
  </si>
  <si>
    <t>Coefficients</t>
  </si>
  <si>
    <t>Variables</t>
  </si>
  <si>
    <r>
      <t>X</t>
    </r>
    <r>
      <rPr>
        <vertAlign val="subscript"/>
        <sz val="11"/>
        <color indexed="8"/>
        <rFont val="Aptos Narrow"/>
        <family val="2"/>
      </rPr>
      <t>1</t>
    </r>
  </si>
  <si>
    <t>Working Capital / Total Assets</t>
  </si>
  <si>
    <r>
      <t>X</t>
    </r>
    <r>
      <rPr>
        <vertAlign val="subscript"/>
        <sz val="11"/>
        <color indexed="8"/>
        <rFont val="Aptos Narrow"/>
        <family val="2"/>
      </rPr>
      <t>2</t>
    </r>
  </si>
  <si>
    <t>Retained Earnings / Total Assets</t>
  </si>
  <si>
    <r>
      <t>X</t>
    </r>
    <r>
      <rPr>
        <vertAlign val="subscript"/>
        <sz val="11"/>
        <color indexed="8"/>
        <rFont val="Aptos Narrow"/>
        <family val="2"/>
      </rPr>
      <t>3</t>
    </r>
  </si>
  <si>
    <r>
      <t>X</t>
    </r>
    <r>
      <rPr>
        <vertAlign val="subscript"/>
        <sz val="11"/>
        <color indexed="8"/>
        <rFont val="Aptos Narrow"/>
        <family val="2"/>
      </rPr>
      <t>4</t>
    </r>
  </si>
  <si>
    <t>Market Value of Equity / Book Value of Liabilities</t>
  </si>
  <si>
    <r>
      <t>X</t>
    </r>
    <r>
      <rPr>
        <vertAlign val="subscript"/>
        <sz val="11"/>
        <color indexed="8"/>
        <rFont val="Aptos Narrow"/>
        <family val="2"/>
      </rPr>
      <t>5</t>
    </r>
  </si>
  <si>
    <t>Sales / Total Assets</t>
  </si>
  <si>
    <r>
      <rPr>
        <b/>
        <sz val="11"/>
        <color theme="0"/>
        <rFont val="Aptos Narrow"/>
        <family val="2"/>
      </rPr>
      <t>Altman Z- Score</t>
    </r>
    <r>
      <rPr>
        <b/>
        <sz val="11"/>
        <color indexed="8"/>
        <rFont val="Aptos Narrow"/>
        <family val="2"/>
      </rPr>
      <t xml:space="preserve"> </t>
    </r>
  </si>
  <si>
    <t>Balance</t>
  </si>
  <si>
    <t>Total Current Assets</t>
  </si>
  <si>
    <t>Total Current Liabilities</t>
  </si>
  <si>
    <t>Working Capital</t>
  </si>
  <si>
    <t>Total Assets</t>
  </si>
  <si>
    <r>
      <rPr>
        <b/>
        <sz val="11"/>
        <color theme="1"/>
        <rFont val="Aptos Narrow"/>
        <family val="2"/>
        <scheme val="minor"/>
      </rPr>
      <t>X</t>
    </r>
    <r>
      <rPr>
        <b/>
        <vertAlign val="subscript"/>
        <sz val="11"/>
        <color theme="1"/>
        <rFont val="Aptos Narrow"/>
        <family val="2"/>
        <scheme val="minor"/>
      </rPr>
      <t>1</t>
    </r>
  </si>
  <si>
    <t>Retained Earnings</t>
  </si>
  <si>
    <r>
      <rPr>
        <b/>
        <sz val="11"/>
        <color theme="1"/>
        <rFont val="Aptos Narrow"/>
        <family val="2"/>
        <scheme val="minor"/>
      </rPr>
      <t>X</t>
    </r>
    <r>
      <rPr>
        <b/>
        <vertAlign val="subscript"/>
        <sz val="11"/>
        <color theme="1"/>
        <rFont val="Aptos Narrow"/>
        <family val="2"/>
        <scheme val="minor"/>
      </rPr>
      <t>2</t>
    </r>
  </si>
  <si>
    <t>Income</t>
  </si>
  <si>
    <t>EBIT</t>
  </si>
  <si>
    <r>
      <rPr>
        <b/>
        <sz val="11"/>
        <color theme="1"/>
        <rFont val="Aptos Narrow"/>
        <family val="2"/>
        <scheme val="minor"/>
      </rPr>
      <t>X</t>
    </r>
    <r>
      <rPr>
        <b/>
        <vertAlign val="subscript"/>
        <sz val="11"/>
        <color theme="1"/>
        <rFont val="Aptos Narrow"/>
        <family val="2"/>
        <scheme val="minor"/>
      </rPr>
      <t>3</t>
    </r>
  </si>
  <si>
    <t xml:space="preserve">EBIT/ Total Assets </t>
  </si>
  <si>
    <t xml:space="preserve">Capitalisation </t>
  </si>
  <si>
    <t>Market Value of Equity</t>
  </si>
  <si>
    <t xml:space="preserve">Total Liabilities </t>
  </si>
  <si>
    <r>
      <rPr>
        <b/>
        <sz val="11"/>
        <color theme="1"/>
        <rFont val="Aptos Narrow"/>
        <family val="2"/>
        <scheme val="minor"/>
      </rPr>
      <t>X</t>
    </r>
    <r>
      <rPr>
        <b/>
        <vertAlign val="subscript"/>
        <sz val="11"/>
        <color theme="1"/>
        <rFont val="Aptos Narrow"/>
        <family val="2"/>
        <scheme val="minor"/>
      </rPr>
      <t>4</t>
    </r>
  </si>
  <si>
    <t>Total Revenue</t>
  </si>
  <si>
    <r>
      <rPr>
        <b/>
        <sz val="11"/>
        <color theme="1"/>
        <rFont val="Aptos Narrow"/>
        <family val="2"/>
        <scheme val="minor"/>
      </rPr>
      <t>X</t>
    </r>
    <r>
      <rPr>
        <b/>
        <vertAlign val="subscript"/>
        <sz val="11"/>
        <color theme="1"/>
        <rFont val="Aptos Narrow"/>
        <family val="2"/>
        <scheme val="minor"/>
      </rPr>
      <t>5</t>
    </r>
  </si>
  <si>
    <r>
      <t>*</t>
    </r>
    <r>
      <rPr>
        <i/>
        <sz val="11"/>
        <color theme="1"/>
        <rFont val="Aptos Narrow"/>
        <family val="2"/>
        <scheme val="minor"/>
      </rPr>
      <t>all values are expressed in $billions unless stated otherwise</t>
    </r>
  </si>
  <si>
    <t>Walmart Inc. NYSE:WMT</t>
  </si>
  <si>
    <t>BAABTANVU0QBSP////8BUAcBAAApQ0lRLkJPVkVTUEE6TUdMVTMuSVFfTUFSS0VUQ0FQLjMxLzEyLzIwMjQBAAAAp6VUAAIAAAAQNzczLjU2MDAzMzEwNzgzNQEGAAAABQAAAAExAQAAAAstMTk2NjkwMzc0NQMAAAADMTYwAgAAAAYxMDAwNTQEAAAAATAHAAAACjEyLzMxLzIwMjSiEh48DWPdCAQlnDwNY90IJkNJUS5CT1ZFU1BBOk1HTFUzLklRX1RPVEFMX0FTU0VUUy4yMDAwAQAAAKelVAACAAAACzYwMzIuNzM0MjU1AQgAAAAFAAAAAjI5AgAAAAQxMDA3AQAAAAstMTk1NTg1NzAxMgMAAAADMTYwBAAAAAEwBwAAAAkzLzE0LzIwMjUIAAAACjEyLzMxLzIwMjQJAAAAATCmkh48DWPdCAQlnDwNY90IJENJUS5CT1ZFU1BBOk1HTFUzLklRX1RPVEFMX0xJQUIuMjAwMAEAAACnpVQAAgAAAAs0MjAyLjU4OTU0MwEIAAAABQAAAAIyOQIAAAAEMTI3NgEAAAALLTE5NTU4NTcwMTIDAAAAAzE2MAQAAAABMAcAAAAJMy8xNC8yMDI1CAAAAAoxMi8zMS8yMDI0CQAAAAEwppIePA1j3QgEJZw8DWPdCCVDSVEuQk9WRVNQQTpNR0xVMy5JUV9XT1JLSU5HX0NBUC4yMDAwAQAAAKelVAACAAAACjQ1OS4yMjcxNTEBCAAAAAUAAAACMjkCAAAABDQxNjUBAAAACy0xOTU1ODU3MDEyAwAAAAMxNjAEAAAAATAHAAAACTMvMTQvMjAyNQgAAAAKMTIvMzEvMjAyNAkAAAABMKaSHjwNY90IBCWcPA1j3QgnQ0lRLkJPVkVTUEE6TUdM</t>
  </si>
  <si>
    <t>VTMuSVFfV09SS0lOR19DQVAuRlkyMDE5AQAAAKelVAACAAAACzEyMDMuNzQ1MTQ4AQgAAAAFAAAAATEBAAAACjIwODM3Mzk3MTgDAAAAAzE2MAIAAAAENDE2NQQAAAABMAcAAAAJMy8xNC8yMDI1CAAAAAoxMi8zMS8yMDE5CQAAAAEwppIePA1j3QgEJZw8DWPdCB5DSVEuQk9WRVNQQTpNR0xVMy5JUV9FQklULjIwMDABAAAAp6VUAAIAAAAJMjI4LjYxNzQ0AQgAAAAFAAAAAjI5AgAAAAM0MDABAAAACy0xOTU1ODU3MDEyAwAAAAMxNjAEAAAAATAHAAAACTMvMTQvMjAyNQgAAAAKMTIvMzEvMjAyNAkAAAABMKaSHjwNY90IBCWcPA1j3QgjQ0lRLkJPVkVTUEE6TUdMVTMuSVFfVE9UQUxfUkVWLjIwMDABAAAAp6VUAAIAAAALNjE1MC4xNTA4NjYBCAAAAAUAAAACMjkCAAAAAjI4AQAAAAstMTk1NTg1NzAxMgMAAAADMTYwBAAAAAEwBwAAAAkzLzE0LzIwMjUIAAAACjEyLzMxLzIwMjQJAAAAATCmkh48DWPdCAQlnDwNY90IIkNJUS5CT1ZFU1BBOk1HTFUzLklRX1RPVEFMX0NBLjIwMDABAAAAp6VUAAIAAAALMzE2MS4wNTc0MjIBCAAAAAUAAAACMjkCAAAABDEwMDgBAAAACy0xOTU1ODU3MDEyAwAAAAMxNjAEAAAAATAHAAAACTMvMTQvMjAyNQgAAAAKMTIvMzEvMjAyNAkAAAABMKaSHjwNY90IZgucPA1j3QgcQ0lRLkJPVkVTUEE6TUdMVTMuSVFfUkUuMjAwMAEAAACnpVQAAgAAAAkxNDYuNDg1MTUBCAAAAAUA</t>
  </si>
  <si>
    <t>AAACMjkCAAAABDEyMjIBAAAACy0xOTU1ODU3MDEyAwAAAAMxNjAEAAAAATAHAAAACTMvMTQvMjAyNQgAAAAKMTIvMzEvMjAyNAkAAAABMKaSHjwNY90IBCWcPA1j3QgkQ0lRLk5ZU0U6V01ULklRX01BUktFVENBUC4yOC8wMy8yMDE5AQAAAN/GBAACAAAADTI3ODczMi40MjM1MjEBBgAAAAUAAAABMQEAAAAKMTk1MTU0MTA0MQMAAAADMTYwAgAAAAYxMDAwNTQEAAAAATAHAAAACTMvMjgvMjAxOaISHjwNY90IUQGePA1j3QgkQ0lRLk5ZU0U6V01ULklRX01BUktFVENBUC4yMC8wMy8yMDIwAQAAAN/GBAACAAAADTMyMjc5NC42MzQ3NjMBBgAAAAUAAAABMQEAAAAKMjAyMzI1MTE0NQMAAAADMTYwAgAAAAYxMDAwNTQEAAAAATAHAAAACTMvMjAvMjAyMKISHjwNY90IBCWcPA1j3QgkQ0lRLk5ZU0U6V01ULklRX01BUktFVENBUC4xOS8wMy8yMDIxAQAAAN/GBAACAAAADTM3MTEyMS4wMjIyODIBBgAAAAUAAAABMQEAAAAKMjA4NTEzNDAzMgMAAAADMTYwAgAAAAYxMDAwNTQEAAAAATAHAAAACTMvMTkvMjAyMaISHjwNY90IBCWcPA1j3QgkQ0lRLk5ZU0U6V01ULklRX01BUktFVENBUC4xOC8wMy8yMDIyAQAAAN/GBAACAAAADTQwMDIxOC44MjkyNDIBBgAAAAUAAAABMQEAAAALLTIxMDc2ODYwMTADAAAAAzE2MAIAAAAGMTAwMDU0BAAAAAEwBwAAAAkzLzE4LzIwMjKiEh48DWPdCAQlnDwNY90IJENJUS5OWVNF</t>
  </si>
  <si>
    <t>OldNVC5JUV9NQVJLRVRDQVAuMTcvMDMvMjAyMwEAAADfxgQAAgAAAA0zNzU3NzQuNDMxNjY5AQYAAAAFAAAAATEBAAAACy0yMDU2NzE4MTMwAwAAAAMxNjACAAAABjEwMDA1NAQAAAABMAcAAAAJMy8xNy8yMDIzohIePA1j3QhRAZ48DWPdCCRDSVEuTllTRTpXTVQuSVFfTUFSS0VUQ0FQLjE1LzAzLzIwMjQBAAAA38YEAAIAAAANNDg4OTYyLjM5MzUzOAEGAAAABQAAAAExAQAAAAstMjAwNTkzMDk5NAMAAAADMTYwAgAAAAYxMDAwNTQEAAAAATAHAAAACTMvMTUvMjAyNKISHjwNY90IBCWcPA1j3QgpQ0lRLk5BU0RBUUdTOkNPU1QuSVFfTUFSS0VUQ0FQLjExLzEwLzIwMTkBAAAAkWoBAAIAAAAIMTMwODMyLjQBBgAAAAUAAAABMQEAAAAKMTk4NzM4MTAxMAMAAAADMTYwAgAAAAYxMDAwNTQEAAAAATAHAAAACjEwLzExLzIwMTmiEh48DWPdCAQlnDwNY90IKUNJUS5OQVNEQVFHUzpDT1NULklRX01BUktFVENBUC4wNy8xMC8yMDIwAQAAAJFqAQACAAAADTE2MDE3NC41OTgzNjIBBgAAAAUAAAABMQEAAAAKMjA2NDI2OTY3MgMAAAADMTYwAgAAAAYxMDAwNTQEAAAAATAHAAAACTEwLzcvMjAyMKISHjwNY90IUQGePA1j3QgpQ0lRLk5BU0RBUUdTOkNPU1QuSVFfTUFSS0VUQ0FQLjA2LzEwLzIwMjEBAAAAkWoBAAIAAAANMTk4NTI5LjExMTIzNQEGAAAABQAAAAExAQAAAAstMjEyNzUxNTc3NwMAAAADMTYwAgAA</t>
  </si>
  <si>
    <t>AAYxMDAwNTQEAAAAATAHAAAACTEwLzYvMjAyMaISHjwNY90IUQGePA1j3QgpQ0lRLk5BU0RBUUdTOkNPU1QuSVFfTUFSS0VUQ0FQLjA1LzEwLzIwMjIBAAAAkWoBAAIAAAANMjEyNTkxLjYyMjkyNgEGAAAABQAAAAExAQAAAAstMjA3NTM2MTcxMwMAAAADMTYwAgAAAAYxMDAwNTQEAAAAATAHAAAACTEwLzUvMjAyMqISHjwNY90IBCWcPA1j3QgpQ0lRLk5BU0RBUUdTOkNPU1QuSVFfTUFSS0VUQ0FQLjExLzEwLzIwMjMBAAAAkWoBAAIAAAANMjUwMzc4LjY0ODI3NwEGAAAABQAAAAExAQAAAAstMjAyNDIyOTY4NwMAAAADMTYwAgAAAAYxMDAwNTQEAAAAATAHAAAACjEwLzExLzIwMjOiEh48DWPdCAQlnDwNY90IKUNJUS5OQVNEQVFHUzpDT1NULklRX01BUktFVENBUC4wOS8xMC8yMDI0AQAAAJFqAQACAAAADTQwMjc5OC4xNTI0ODcBBgAAAAUAAAABMQEAAAALLTE5NzM5OTY4OTYDAAAAAzE2MAIAAAAGMTAwMDU0BAAAAAEwBwAAAAkxMC85LzIwMjSiEh48DWPdCFEBnjwNY90IKUNJUS5OWVNFOkJBQkEuSVFfTUFSS0VUQ0FQLjA1LzA2LzIwMTkuVVNEAQAAABElggICAAAADTM5NDgyNS41ODEyNDMBBgAAAAUAAAABMQEAAAAKMTk2NzQ3NDM1MQMAAAADMTYwAgAAAAYxMDAwNTQEAAAAATAHAAAACDYvNS8yMDE5ohIePA1j3QgEJZw8DWPdCClDSVEuTllTRTpCQUJBLklRX01BUktFVENBUC4wOS8wNy8yMDIw</t>
  </si>
  <si>
    <t>LlVTRAEAAAARJYICAgAAAA03MDc0ODUuNzg3NTYyAQYAAAAFAAAAATEBAAAACjIwNDQ5NTgyNDcDAAAAAzE2MAIAAAAGMTAwMDU0BAAAAAEwBwAAAAg3LzkvMjAyMKISHjwNY90IBCWcPA1j3QglQ0lRLk5ZU0U6QkFCQS5JUV9NQVJLRVRDQVAuMjcvMDcvMjAyMQEAAAARJYICAgAAAA01MDU3NzEuNjEyNjc1AQYAAAAFAAAAATEBAAAACy0yMTQxNTE5ODAwAwAAAAMxNjACAAAABjEwMDA1NAQAAAABMAcAAAAJNy8yNy8yMDIxohIePA1j3QgEJZw8DWPdCCVDSVEuTllTRTpCQUJBLklRX01BUktFVENBUC4yNi8wNy8yMDIyAQAAABElggICAAAADTI2ODYyNy4xNjM2NTgBBgAAAAUAAAABMQEAAAALLTIwODgxMDQxOTkDAAAAAzE2MAIAAAAGMTAwMDU0BAAAAAEwBwAAAAk3LzI2LzIwMjKiEh48DWPdCFEBnjwNY90IJUNJUS5OWVNFOkJBQkEuSVFfTUFSS0VUQ0FQLjIxLzA3LzIwMjMBAAAAESWCAgIAAAANMjM0NzM2LjY5MDAxOAEGAAAABQAAAAExAQAAAAstMjAzNzU0Nzk1NwMAAAADMTYwAgAAAAYxMDAwNTQEAAAAATAHAAAACTcvMjEvMjAyM6ISHjwNY90IUQGePA1j3QglQ0lRLk5ZU0U6QkFCQS5JUV9NQVJLRVRDQVAuMjMvMDUvMjAyNAEAAAARJYICAgAAAA0xOTUzODkuNDAyNDU5AQYAAAAFAAAAATEBAAAACy0xOTkyNDc1MTMxAwAAAAMxNjACAAAABjEwMDA1NAQAAAABMAcAAAAJNS8yMy8yMDI0ohIe</t>
  </si>
  <si>
    <t>PA1j3QhRAZ48DWPdCCVDSVEuRU5YVFBBOkNBLklRX01BUktFVENBUC4yMy8wMy8yMDIwAQAAAPZlAQACAAAAEDExNjA1Ljk1OTQ5MDg3NTQBBgAAAAUAAAABMQEAAAAKMjAyNTY2OTY5MQMAAAADMTYwAgAAAAYxMDAwNTQEAAAAATAHAAAACTMvMjMvMjAyMKISHjwNY90IUQGePA1j3QglQ0lRLkVOWFRQQTpDQS5JUV9NQVJLRVRDQVAuMDkvMDQvMjAyMQEAAAD2ZQEAAgAAABAxNDI5MC41Njk4OTE1NjI4AQYAAAAFAAAAATEBAAAACjIwODg1MDU2ODUDAAAAAzE2MAIAAAAGMTAwMDU0BAAAAAEwBwAAAAg0LzkvMjAyMaISHjwNY90IBCWcPA1j3QglQ0lRLkVOWFRQQTpDQS5JUV9NQVJLRVRDQVAuMTcvMDMvMjAyMgEAAAD2ZQEAAgAAABAxNTM5Ni4wNTgyNzQ0MTYyAQYAAAAFAAAAATEBAAAACy0yMTA3Nzg0NTc0AwAAAAMxNjACAAAABjEwMDA1NAQAAAABMAcAAAAJMy8xNy8yMDIyohIePA1j3QgEJZw8DWPdCCVDSVEuRU5YVFBBOkNBLklRX01BUktFVENBUC4wNy8wMy8yMDIzAQAAAPZlAQACAAAAEDEzOTc2LjIzMDkxNzAzMTkBBgAAAAUAAAABMQEAAAALLTIwNTYyODE0ODIDAAAAAzE2MAIAAAAGMTAwMDU0BAAAAAEwBwAAAAgzLzcvMjAyM6ISHjwNY90IUQGePA1j3QglQ0lRLkVOWFRQQTpDQS5JUV9NQVJLRVRDQVAuMDQvMDMvMjAyNAEAAAD2ZQEAAgAAAA8xMTU4My40OTg3Njg1MzMBBgAAAAUAAAAB</t>
  </si>
  <si>
    <t>MQEAAAALLTIwMDcwMTMyMjADAAAAAzE2MAIAAAAGMTAwMDU0BAAAAAEwBwAAAAgzLzQvMjAyNKISHjwNY90IBCWcPA1j3QglQ0lRLkVOWFRQQTpDQS5JUV9NQVJLRVRDQVAuMTkvMDIvMjAyNQEAAAD2ZQEAAgAAABA5MjEwLjQ1NDU2NDg3NzA4AQYAAAAFAAAAATEBAAAACy0xOTU2ODI1Mjc5AwAAAAMxNjACAAAABjEwMDA1NAQAAAABMAcAAAAJMi8xOS8yMDI1ohIePA1j3QgEJZw8DWPdCClDSVEuQk9WRVNQQTpNR0xVMy5JUV9NQVJLRVRDQVAuMTcvMDIvMjAyMAEAAACnpVQAAgAAABAyMjA3OC40OTE2NzQyNTQ4AQYAAAAFAAAAATEBAAAACjIwMTQ5OTE2MTgDAAAAAzE2MAIAAAAGMTAwMDU0BAAAAAEwBwAAAAkyLzE3LzIwMjCiEh48DWPdCAQlnDwNY90IKUNJUS5CT1ZFU1BBOk1HTFUzLklRX01BUktFVENBUC4wOC8wMy8yMDIxAQAAAKelVAACAAAAEDI2MTIxLjMyMDQwMTY2MzQBBgAAAAUAAAABMQEAAAAKMjA4Mzc0MDA2MgMAAAADMTYwAgAAAAYxMDAwNTQEAAAAATAHAAAACDMvOC8yMDIxohIePA1j3QgEJZw8DWPdCClDSVEuQk9WRVNQQTpNR0xVMy5JUV9NQVJLRVRDQVAuMTQvMDMvMjAyMgEAAACnpVQAAgAAABA2OTcxLjMxNDQ2MTQxMDE4AQYAAAAFAAAAATEBAAAACy0yMTA4NDE5MzAwAwAAAAMxNjACAAAABjEwMDA1NAQAAAABMAcAAAAJMy8xNC8yMDIyohIePA1j3QgEJZw8DWPdCClDSVEu</t>
  </si>
  <si>
    <t>Qk9WRVNQQTpNR0xVMy5JUV9NQVJLRVRDQVAuMjEvMDMvMjAyMwEAAACnpVQAAgAAABA0NzEzLjMwMzUzMjU3MzI0AQYAAAAFAAAAATEBAAAACy0yMDU2MzkzNDk1AwAAAAMxNjACAAAABjEwMDA1NAQAAAABMAcAAAAJMy8yMS8yMDIzohIePA1j3QgEJZw8DWPdCClDSVEuQk9WRVNQQTpNR0xVMy5JUV9NQVJLRVRDQVAuMDMvMDQvMjAyNAEAAACnpVQAAgAAABAyNDQyLjkxNDk1MTQ0NjIzAQYAAAAFAAAAATEBAAAACy0yMDAyNzU4NzgxAwAAAAMxNjACAAAABjEwMDA1NAQAAAABMAcAAAAINC8zLzIwMjSiEh48DWPdCAQlnDwNY90IIkNJUS5OWVNFOldNVC5JUV9XT1JLSU5HX0NBUC5GWTIwMTkBAAAA38YEAAIAAAAGLTE1NTgwAQgAAAAFAAAAATEBAAAACjIwODUxMzI5MzADAAAAAzE2MAIAAAAENDE2NQQAAAABMAcAAAAJMy8xNC8yMDI1CAAAAAkxLzMxLzIwMTkJAAAAATCiEh48DWPdCFEBnjwNY90II0NJUS5OWVNFOldNVC5JUV9UT1RBTF9BU1NFVFMuRlkyMDE5AQAAAN/GBAACAAAABjIxOTI5NQEIAAAABQAAAAExAQAAAAoyMDg1MTMyOTMwAwAAAAMxNjACAAAABDEwMDcEAAAAATAHAAAACTMvMTQvMjAyNQgAAAAJMS8zMS8yMDE5CQAAAAEwohIePA1j3QhRAZ48DWPdCCJDSVEuTllTRTpXTVQuSVFfV09SS0lOR19DQVAuRlkyMDIwAQAAAN/GBAACAAAABi0xNTk4NAEIAAAABQAAAAExAQAAAAstMjEw</t>
  </si>
  <si>
    <t>NzY4NjI5MQMAAAADMTYwAgAAAAQ0MTY1BAAAAAEwBwAAAAkzLzE0LzIwMjUIAAAACTEvMzEvMjAyMAkAAAABMKISHjwNY90IUQGePA1j3QgjQ0lRLk5ZU0U6V01ULklRX1RPVEFMX0FTU0VUUy5GWTIwMjABAAAA38YEAAIAAAAGMjM2NDk1AQgAAAAFAAAAATEBAAAACy0yMTA3Njg2MjkxAwAAAAMxNjACAAAABDEwMDcEAAAAATAHAAAACTMvMTQvMjAyNQgAAAAJMS8zMS8yMDIwCQAAAAEwohIePA1j3QhRAZ48DWPdCCJDSVEuTllTRTpXTVQuSVFfV09SS0lOR19DQVAuRlkyMDIxAQAAAN/GBAACAAAABS0yNTc4AQgAAAAFAAAAATEBAAAACy0yMDU2NzE4ODA3AwAAAAMxNjACAAAABDQxNjUEAAAAATAHAAAACTMvMTQvMjAyNQgAAAAJMS8zMS8yMDIxCQAAAAEwohIePA1j3QhRAZ48DWPdCCNDSVEuTllTRTpXTVQuSVFfVE9UQUxfQVNTRVRTLkZZMjAyMQEAAADfxgQAAgAAAAYyNTI0OTYBCAAAAAUAAAABMQEAAAALLTIwNTY3MTg4MDcDAAAAAzE2MAIAAAAEMTAwNwQAAAABMAcAAAAJMy8xNC8yMDI1CAAAAAkxLzMxLzIwMjEJAAAAATCiEh48DWPdCAQlnDwNY90IIkNJUS5OWVNFOldNVC5JUV9XT1JLSU5HX0NBUC5GWTIwMjIBAAAA38YEAAIAAAAFLTYzMDkBCAAAAAUAAAABMQEAAAALLTIwMDU5MzE3NjcDAAAAAzE2MAIAAAAENDE2NQQAAAABMAcAAAAJMy8xNC8yMDI1CAAAAAkxLzMxLzIwMjIJAAAAATCi</t>
  </si>
  <si>
    <t>Eh48DWPdCAQlnDwNY90II0NJUS5OWVNFOldNVC5JUV9UT1RBTF9BU1NFVFMuRlkyMDIyAQAAAN/GBAACAAAABjI0NDg2MAEIAAAABQAAAAExAQAAAAstMjAwNTkzMTc2NwMAAAADMTYwAgAAAAQxMDA3BAAAAAEwBwAAAAkzLzE0LzIwMjUIAAAACTEvMzEvMjAyMgkAAAABMKISHjwNY90IBCWcPA1j3QgiQ0lRLk5ZU0U6V01ULklRX1dPUktJTkdfQ0FQLkZZMjAyMwEAAADfxgQAAgAAAAYtMTY1NDMBCAAAAAUAAAABMQEAAAALLTIwMDU5MzE3NzYDAAAAAzE2MAIAAAAENDE2NQQAAAABMAcAAAAJMy8xNC8yMDI1CAAAAAkxLzMxLzIwMjMJAAAAATCiEh48DWPdCAQlnDwNY90II0NJUS5OWVNFOldNVC5JUV9UT1RBTF9BU1NFVFMuRlkyMDIzAQAAAN/GBAACAAAABjI0MzE5NwEIAAAABQAAAAExAQAAAAstMjAwNTkzMTc3NgMAAAADMTYwAgAAAAQxMDA3BAAAAAEwBwAAAAkzLzE0LzIwMjUIAAAACTEvMzEvMjAyMwkAAAABMKISHjwNY90IBCWcPA1j3QgiQ0lRLk5ZU0U6V01ULklRX1dPUktJTkdfQ0FQLkZZMjAyNAEAAADfxgQAAgAAAAYtMTU1MzgBCAAAAAUAAAABMQEAAAALLTIwMDU5MzE3NTYDAAAAAzE2MAIAAAAENDE2NQQAAAABMAcAAAAJMy8xNC8yMDI1CAAAAAkxLzMxLzIwMjQJAAAAATCiEh48DWPdCAQlnDwNY90II0NJUS5OWVNFOldNVC5JUV9UT1RBTF9BU1NFVFMuRlkyMDI0AQAAAN/GBAACAAAA</t>
  </si>
  <si>
    <t>BjI1MjM5OQEIAAAABQAAAAExAQAAAAstMjAwNTkzMTc1NgMAAAADMTYwAgAAAAQxMDA3BAAAAAEwBwAAAAkzLzE0LzIwMjUIAAAACTEvMzEvMjAyNAkAAAABMKISHjwNY90IBCWcPA1j3QgZQ0lRLk5ZU0U6V01ULklRX1JFLkZZMjAxOQEAAADfxgQAAgAAAAU4MDc4NQEIAAAABQAAAAExAQAAAAoyMDg1MTMyOTMwAwAAAAMxNjACAAAABDEyMjIEAAAAATAHAAAACTMvMTQvMjAyNQgAAAAJMS8zMS8yMDE5CQAAAAEwohIePA1j3QhRAZ48DWPdCBlDSVEuTllTRTpXTVQuSVFfUkUuRlkyMDIwAQAAAN/GBAACAAAABTgzOTQzAQgAAAAFAAAAATEBAAAACy0yMTA3Njg2MjkxAwAAAAMxNjACAAAABDEyMjIEAAAAATAHAAAACTMvMTQvMjAyNQgAAAAJMS8zMS8yMDIwCQAAAAEwohIePA1j3QhRAZ48DWPdCBlDSVEuTllTRTpXTVQuSVFfUkUuRlkyMDIxAQAAAN/GBAACAAAABTg4NzYzAQgAAAAFAAAAATEBAAAACy0yMDU2NzE4ODA3AwAAAAMxNjACAAAABDEyMjIEAAAAATAHAAAACTMvMTQvMjAyNQgAAAAJMS8zMS8yMDIxCQAAAAEwohIePA1j3QgEJZw8DWPdCBlDSVEuTllTRTpXTVQuSVFfUkUuRlkyMDIyAQAAAN/GBAACAAAABTg2OTA0AQgAAAAFAAAAATEBAAAACy0yMDA1OTMxNzY3AwAAAAMxNjACAAAABDEyMjIEAAAAATAHAAAACTMvMTQvMjAyNQgAAAAJMS8zMS8yMDIyCQAAAAEwohIePA1j3QhRAZ48DWPd</t>
  </si>
  <si>
    <t>CBlDSVEuTllTRTpXTVQuSVFfUkUuRlkyMDIzAQAAAN/GBAACAAAABTgzMTM1AQgAAAAFAAAAATEBAAAACy0yMDA1OTMxNzc2AwAAAAMxNjACAAAABDEyMjIEAAAAATAHAAAACTMvMTQvMjAyNQgAAAAJMS8zMS8yMDIzCQAAAAEwohIePA1j3QhRAZ48DWPdCBlDSVEuTllTRTpXTVQuSVFfUkUuRlkyMDI0AQAAAN/GBAACAAAABTg5ODE0AQgAAAAFAAAAATEBAAAACy0yMDA1OTMxNzU2AwAAAAMxNjACAAAABDEyMjIEAAAAATAHAAAACTMvMTQvMjAyNQgAAAAJMS8zMS8yMDI0CQAAAAEwohIePA1j3QgEJZw8DWPdCBtDSVEuTllTRTpXTVQuSVFfRUJJVC5GWTIwMTkBAAAA38YEAAIAAAAFMjE5NTcBCAAAAAUAAAABMQEAAAAKMjA4NTEzMjkzMAMAAAADMTYwAgAAAAM0MDAEAAAAATAHAAAACTMvMTQvMjAyNQgAAAAJMS8zMS8yMDE5CQAAAAEwohIePA1j3QgEJZw8DWPdCBtDSVEuTllTRTpXTVQuSVFfRUJJVC5GWTIwMjABAAAA38YEAAIAAAAFMjE0NjgBCAAAAAUAAAABMQEAAAALLTIxMDc2ODYyOTEDAAAAAzE2MAIAAAADNDAwBAAAAAEwBwAAAAkzLzE0LzIwMjUIAAAACTEvMzEvMjAyMAkAAAABMKISHjwNY90IBCWcPA1j3QgbQ0lRLk5ZU0U6V01ULklRX0VCSVQuRlkyMDIxAQAAAN/GBAACAAAABTIyNTQ4AQgAAAAFAAAAATEBAAAACy0yMDU2NzE4ODA3AwAAAAMxNjACAAAAAzQwMAQAAAABMAcAAAAJMy8x</t>
  </si>
  <si>
    <t>NC8yMDI1CAAAAAkxLzMxLzIwMjEJAAAAATCiEh48DWPdCFEBnjwNY90IG0NJUS5OWVNFOldNVC5JUV9FQklULkZZMjAyMgEAAADfxgQAAgAAAAUyNTk0MgEIAAAABQAAAAExAQAAAAstMjAwNTkzMTc2NwMAAAADMTYwAgAAAAM0MDAEAAAAATAHAAAACTMvMTQvMjAyNQgAAAAJMS8zMS8yMDIyCQAAAAEwohIePA1j3QhRAZ48DWPdCBtDSVEuTllTRTpXTVQuSVFfRUJJVC5GWTIwMjMBAAAA38YEAAIAAAAFMjQ1MjgBCAAAAAUAAAABMQEAAAALLTIwMDU5MzE3NzYDAAAAAzE2MAIAAAADNDAwBAAAAAEwBwAAAAkzLzE0LzIwMjUIAAAACTEvMzEvMjAyMwkAAAABMKISHjwNY90IUQGePA1j3QgbQ0lRLk5ZU0U6V01ULklRX0VCSVQuRlkyMDI0AQAAAN/GBAACAAAABTI3MDEyAQgAAAAFAAAAATEBAAAACy0yMDA1OTMxNzU2AwAAAAMxNjACAAAAAzQwMAQAAAABMAcAAAAJMy8xNC8yMDI1CAAAAAkxLzMxLzIwMjQJAAAAATCiEh48DWPdCFEBnjwNY90IIUNJUS5OWVNFOldNVC5JUV9UT1RBTF9MSUFCLkZZMjAxOQEAAADfxgQAAgAAAAYxMzk2NjEBCAAAAAUAAAABMQEAAAAKMjA4NTEzMjkzMAMAAAADMTYwAgAAAAQxMjc2BAAAAAEwBwAAAAkzLzE0LzIwMjUIAAAACTEvMzEvMjAxOQkAAAABMKISHjwNY90IBCWcPA1j3QghQ0lRLk5ZU0U6V01ULklRX1RPVEFMX0xJQUIuRlkyMDIwAQAAAN/GBAACAAAABjE1NDk0</t>
  </si>
  <si>
    <t>MwEIAAAABQAAAAExAQAAAAstMjEwNzY4NjI5MQMAAAADMTYwAgAAAAQxMjc2BAAAAAEwBwAAAAkzLzE0LzIwMjUIAAAACTEvMzEvMjAyMAkAAAABMKISHjwNY90IBCWcPA1j3QghQ0lRLk5ZU0U6V01ULklRX1RPVEFMX0xJQUIuRlkyMDIxAQAAAN/GBAACAAAABjE2NDk2NQEIAAAABQAAAAExAQAAAAstMjA1NjcxODgwNwMAAAADMTYwAgAAAAQxMjc2BAAAAAEwBwAAAAkzLzE0LzIwMjUIAAAACTEvMzEvMjAyMQkAAAABMKISHjwNY90IBCWcPA1j3QghQ0lRLk5ZU0U6V01ULklRX1RPVEFMX0xJQUIuRlkyMDIyAQAAAN/GBAACAAAABjE1Mjk2OQEIAAAABQAAAAExAQAAAAstMjAwNTkzMTc2NwMAAAADMTYwAgAAAAQxMjc2BAAAAAEwBwAAAAkzLzE0LzIwMjUIAAAACTEvMzEvMjAyMgkAAAABMKISHjwNY90IBCWcPA1j3QghQ0lRLk5ZU0U6V01ULklRX1RPVEFMX0xJQUIuRlkyMDIzAQAAAN/GBAACAAAABjE1OTIwNgEIAAAABQAAAAExAQAAAAstMjAwNTkzMTc3NgMAAAADMTYwAgAAAAQxMjc2BAAAAAEwBwAAAAkzLzE0LzIwMjUIAAAACTEvMzEvMjAyMwkAAAABMKISHjwNY90IUQGePA1j3QghQ0lRLk5ZU0U6V01ULklRX1RPVEFMX0xJQUIuRlkyMDI0AQAAAN/GBAACAAAABjE2MTgyOAEIAAAABQAAAAExAQAAAAstMjAwNTkzMTc1NgMAAAADMTYwAgAAAAQxMjc2BAAAAAEwBwAAAAkzLzE0LzIwMjUIAAAA</t>
  </si>
  <si>
    <t>CTEvMzEvMjAyNAkAAAABMKISHjwNY90IUQGePA1j3QggQ0lRLk5ZU0U6V01ULklRX1RPVEFMX1JFVi5GWTIwMTkBAAAA38YEAAIAAAAGNTE0NDA1AQgAAAAFAAAAATEBAAAACjIwODUxMzI5MzADAAAAAzE2MAIAAAACMjgEAAAAATAHAAAACTMvMTQvMjAyNQgAAAAJMS8zMS8yMDE5CQAAAAEwohIePA1j3QhRAZ48DWPdCCBDSVEuTllTRTpXTVQuSVFfVE9UQUxfUkVWLkZZMjAyMAEAAADfxgQAAgAAAAY1MjM5NjQBCAAAAAUAAAABMQEAAAALLTIxMDc2ODYyOTEDAAAAAzE2MAIAAAACMjgEAAAAATAHAAAACTMvMTQvMjAyNQgAAAAJMS8zMS8yMDIwCQAAAAEwohIePA1j3QgEJZw8DWPdCCBDSVEuTllTRTpXTVQuSVFfVE9UQUxfUkVWLkZZMjAyMQEAAADfxgQAAgAAAAY1NTkxNTEBCAAAAAUAAAABMQEAAAALLTIwNTY3MTg4MDcDAAAAAzE2MAIAAAACMjgEAAAAATAHAAAACTMvMTQvMjAyNQgAAAAJMS8zMS8yMDIxCQAAAAEwohIePA1j3QgEJZw8DWPdCCBDSVEuTllTRTpXTVQuSVFfVE9UQUxfUkVWLkZZMjAyMgEAAADfxgQAAgAAAAY1NzI3NTQBCAAAAAUAAAABMQEAAAALLTIwMDU5MzE3NjcDAAAAAzE2MAIAAAACMjgEAAAAATAHAAAACTMvMTQvMjAyNQgAAAAJMS8zMS8yMDIyCQAAAAEwohIePA1j3QgEJZw8DWPdCCBDSVEuTllTRTpXTVQuSVFfVE9UQUxfUkVWLkZZMjAyMwEAAADfxgQAAgAAAAY2MTEy</t>
  </si>
  <si>
    <t>ODkBCAAAAAUAAAABMQEAAAALLTIwMDU5MzE3NzYDAAAAAzE2MAIAAAACMjgEAAAAATAHAAAACTMvMTQvMjAyNQgAAAAJMS8zMS8yMDIzCQAAAAEwohIePA1j3QgEJZw8DWPdCCBDSVEuTllTRTpXTVQuSVFfVE9UQUxfUkVWLkZZMjAyNAEAAADfxgQAAgAAAAY2NDgxMjUBCAAAAAUAAAABMQEAAAALLTIwMDU5MzE3NTYDAAAAAzE2MAIAAAACMjgEAAAAATAHAAAACTMvMTQvMjAyNQgAAAAJMS8zMS8yMDI0CQAAAAEwohIePA1j3QhRAZ48DWPdCCZDSVEuTllTRTpXTVQuSVFfVE9UQUxfQ0EuRlkyMDE5Li4uLlVTRAEAAADfxgQAAgAAAAU2MTg5NwEIAAAABQAAAAExAQAAAAoyMDg1MTMyOTMwAwAAAAMxNjACAAAABDEwMDgEAAAAATAHAAAACTMvMTQvMjAyNQgAAAAJMS8zMS8yMDE5CQAAAAEwohIePA1j3QhRAZ48DWPdCB9DSVEuTllTRTpXTVQuSVFfVE9UQUxfQ0EuRlkyMDIwAQAAAN/GBAACAAAABTYxODA2AQgAAAAFAAAAATEBAAAACy0yMTA3Njg2MjkxAwAAAAMxNjACAAAABDEwMDgEAAAAATAHAAAACTMvMTQvMjAyNQgAAAAJMS8zMS8yMDIwCQAAAAEwohIePA1j3QhRAZ48DWPdCB9DSVEuTllTRTpXTVQuSVFfVE9UQUxfQ0EuRlkyMDIxAQAAAN/GBAACAAAABTkwMDY3AQgAAAAFAAAAATEBAAAACy0yMDU2NzE4ODA3AwAAAAMxNjACAAAABDEwMDgEAAAAATAHAAAACTMvMTQvMjAyNQgAAAAJMS8zMS8y</t>
  </si>
  <si>
    <t>MDIxCQAAAAEwohIePA1j3QhRAZ48DWPdCB9DSVEuTllTRTpXTVQuSVFfVE9UQUxfQ0EuRlkyMDIyAQAAAN/GBAACAAAABTgxMDcwAQgAAAAFAAAAATEBAAAACy0yMDA1OTMxNzY3AwAAAAMxNjACAAAABDEwMDgEAAAAATAHAAAACTMvMTQvMjAyNQgAAAAJMS8zMS8yMDIyCQAAAAEwohIePA1j3QgEJZw8DWPdCB9DSVEuTllTRTpXTVQuSVFfVE9UQUxfQ0EuRlkyMDIzAQAAAN/GBAACAAAABTc1NjU1AQgAAAAFAAAAATEBAAAACy0yMDA1OTMxNzc2AwAAAAMxNjACAAAABDEwMDgEAAAAATAHAAAACTMvMTQvMjAyNQgAAAAJMS8zMS8yMDIzCQAAAAEwohIePA1j3QgEJZw8DWPdCB9DSVEuTllTRTpXTVQuSVFfVE9UQUxfQ0EuRlkyMDI0AQAAAN/GBAACAAAABTc2ODc3AQgAAAAFAAAAATEBAAAACy0yMDA1OTMxNzU2AwAAAAMxNjACAAAABDEwMDgEAAAAATAHAAAACTMvMTQvMjAyNQgAAAAJMS8zMS8yMDI0CQAAAAEwohIePA1j3QgEJZw8DWPdCB9DSVEuTllTRTpXTVQuSVFfVE9UQUxfQ0wuRlkyMDE5AQAAAN/GBAACAAAABTc3NDc3AQgAAAAFAAAAATEBAAAACjIwODUxMzI5MzADAAAAAzE2MAIAAAAEMTAwOQQAAAABMAcAAAAJMy8xNC8yMDI1CAAAAAkxLzMxLzIwMTkJAAAAATCiEh48DWPdCAQlnDwNY90IH0NJUS5OWVNFOldNVC5JUV9UT1RBTF9DTC5GWTIwMjABAAAA38YEAAIAAAAFNzc3OTABCAAAAAUA</t>
  </si>
  <si>
    <t>AAABMQEAAAALLTIxMDc2ODYyOTEDAAAAAzE2MAIAAAAEMTAwOQQAAAABMAcAAAAJMy8xNC8yMDI1CAAAAAkxLzMxLzIwMjAJAAAAATCiEh48DWPdCAQlnDwNY90IH0NJUS5OWVNFOldNVC5JUV9UT1RBTF9DTC5GWTIwMjEBAAAA38YEAAIAAAAFOTI2NDUBCAAAAAUAAAABMQEAAAALLTIwNTY3MTg4MDcDAAAAAzE2MAIAAAAEMTAwOQQAAAABMAcAAAAJMy8xNC8yMDI1CAAAAAkxLzMxLzIwMjEJAAAAATCiEh48DWPdCAQlnDwNY90IH0NJUS5OWVNFOldNVC5JUV9UT1RBTF9DTC5GWTIwMjIBAAAA38YEAAIAAAAFODczNzkBCAAAAAUAAAABMQEAAAALLTIwMDU5MzE3NjcDAAAAAzE2MAIAAAAEMTAwOQQAAAABMAcAAAAJMy8xNC8yMDI1CAAAAAkxLzMxLzIwMjIJAAAAATCiEh48DWPdCFEBnjwNY90IH0NJUS5OWVNFOldNVC5JUV9UT1RBTF9DTC5GWTIwMjMBAAAA38YEAAIAAAAFOTIxOTgBCAAAAAUAAAABMQEAAAALLTIwMDU5MzE3NzYDAAAAAzE2MAIAAAAEMTAwOQQAAAABMAcAAAAJMy8xNC8yMDI1CAAAAAkxLzMxLzIwMjMJAAAAATCiEh48DWPdCFEBnjwNY90IH0NJUS5OWVNFOldNVC5JUV9UT1RBTF9DTC5GWTIwMjQBAAAA38YEAAIAAAAFOTI0MTUBCAAAAAUAAAABMQEAAAALLTIwMDU5MzE3NTYDAAAAAzE2MAIAAAAEMTAwOQQAAAABMAcAAAAJMy8xNC8yMDI1CAAAAAkxLzMxLzIwMjQJAAAAATCiEh48</t>
  </si>
  <si>
    <t>DWPdCAQlnDwNY90IJ0NJUS5OQVNEQVFHUzpDT1NULklRX1dPUktJTkdfQ0FQLkZZMjAxOQEAAACRagEAAgAAAAMyNDgBCAAAAAUAAAABMQEAAAALLTIxMjc1MTYwNDEDAAAAAzE2MAIAAAAENDE2NQQAAAABMAcAAAAJMy8xNC8yMDI1CAAAAAg5LzEvMjAxOQkAAAABMKISHjwNY90IUQGePA1j3QgoQ0lRLk5BU0RBUUdTOkNPU1QuSVFfVE9UQUxfQVNTRVRTLkZZMjAxOQEAAACRagEAAgAAAAU0NTQwMAEIAAAABQAAAAExAQAAAAstMjEyNzUxNjA0MQMAAAADMTYwAgAAAAQxMDA3BAAAAAEwBwAAAAkzLzE0LzIwMjUIAAAACDkvMS8yMDE5CQAAAAEwohIePA1j3QgEJZw8DWPdCCdDSVEuTkFTREFRR1M6Q09TVC5JUV9XT1JLSU5HX0NBUC5GWTIwMjABAAAAkWoBAAIAAAAEMzI3NgEIAAAABQAAAAExAQAAAAstMjA3NTM2Mjg5NAMAAAADMTYwAgAAAAQ0MTY1BAAAAAEwBwAAAAkzLzE0LzIwMjUIAAAACTgvMzAvMjAyMAkAAAABMKISHjwNY90IBCWcPA1j3QgoQ0lRLk5BU0RBUUdTOkNPU1QuSVFfVE9UQUxfQVNTRVRTLkZZMjAyMAEAAACRagEAAgAAAAU1NTU1NgEIAAAABQAAAAExAQAAAAstMjA3NTM2Mjg5NAMAAAADMTYwAgAAAAQxMDA3BAAAAAEwBwAAAAkzLzE0LzIwMjUIAAAACTgvMzAvMjAyMAkAAAABMKISHjwNY90IBCWcPA1j3QgnQ0lRLk5BU0RBUUdTOkNPU1QuSVFfV09SS0lOR19DQVAuRlkyMDIx</t>
  </si>
  <si>
    <t>AQAAAJFqAQACAAAAAjY0AQgAAAAFAAAAATEBAAAACy0yMDI0MjMxMzQ5AwAAAAMxNjACAAAABDQxNjUEAAAAATAHAAAACTMvMTQvMjAyNQgAAAAJOC8yOS8yMDIxCQAAAAEwohIePA1j3QgEJZw8DWPdCChDSVEuTkFTREFRR1M6Q09TVC5JUV9UT1RBTF9BU1NFVFMuRlkyMDIxAQAAAJFqAQACAAAABTU5MjY4AQgAAAAFAAAAATEBAAAACy0yMDI0MjMxMzQ5AwAAAAMxNjACAAAABDEwMDcEAAAAATAHAAAACTMvMTQvMjAyNQgAAAAJOC8yOS8yMDIxCQAAAAEwohIePA1j3QhRAZ48DWPdCCdDSVEuTkFTREFRR1M6Q09TVC5JUV9XT1JLSU5HX0NBUC5GWTIwMjIBAAAAkWoBAAIAAAADNjk4AQgAAAAFAAAAATEBAAAACy0xOTczOTk3MTkyAwAAAAMxNjACAAAABDQxNjUEAAAAATAHAAAACTMvMTQvMjAyNQgAAAAJOC8yOC8yMDIyCQAAAAEwohIePA1j3QhRAZ48DWPdCChDSVEuTkFTREFRR1M6Q09TVC5JUV9UT1RBTF9BU1NFVFMuRlkyMDIyAQAAAJFqAQACAAAABTY0MTY2AQgAAAAFAAAAATEBAAAACy0xOTczOTk3MTkyAwAAAAMxNjACAAAABDEwMDcEAAAAATAHAAAACTMvMTQvMjAyNQgAAAAJOC8yOC8yMDIyCQAAAAEwohIePA1j3QhRAZ48DWPdCCdDSVEuTkFTREFRR1M6Q09TVC5JUV9XT1JLSU5HX0NBUC5GWTIwMjMBAAAAkWoBAAIAAAAEMjI5NgEIAAAABQAAAAExAQAAAAstMTk3Mzk5NzE4NwMAAAADMTYw</t>
  </si>
  <si>
    <t>AgAAAAQ0MTY1BAAAAAEwBwAAAAkzLzE0LzIwMjUIAAAACDkvMy8yMDIzCQAAAAEwohIePA1j3QhRAZ48DWPdCChDSVEuTkFTREFRR1M6Q09TVC5JUV9UT1RBTF9BU1NFVFMuRlkyMDIzAQAAAJFqAQACAAAABTY4OTk0AQgAAAAFAAAAATEBAAAACy0xOTczOTk3MTg3AwAAAAMxNjACAAAABDEwMDcEAAAAATAHAAAACTMvMTQvMjAyNQgAAAAIOS8zLzIwMjMJAAAAATCiEh48DWPdCFEBnjwNY90IJ0NJUS5OQVNEQVFHUzpDT1NULklRX1dPUktJTkdfQ0FQLkZZMjAyNAEAAACRagEAAgAAAAUtMTIxOAEIAAAABQAAAAExAQAAAAstMTk3Mzk5NzE4NAMAAAADMTYwAgAAAAQ0MTY1BAAAAAEwBwAAAAkzLzE0LzIwMjUIAAAACDkvMS8yMDI0CQAAAAEwohIePA1j3QgEJZw8DWPdCChDSVEuTkFTREFRR1M6Q09TVC5JUV9UT1RBTF9BU1NFVFMuRlkyMDI0AQAAAJFqAQACAAAABTY5ODMxAQgAAAAFAAAAATEBAAAACy0xOTczOTk3MTg0AwAAAAMxNjACAAAABDEwMDcEAAAAATAHAAAACTMvMTQvMjAyNQgAAAAIOS8xLzIwMjQJAAAAATCiEh48DWPdCAQlnDwNY90IHkNJUS5OQVNEQVFHUzpDT1NULklRX1JFLkZZMjAxOQEAAACRagEAAgAAAAUxMDI1OAEIAAAABQAAAAExAQAAAAstMjEyNzUxNjA0MQMAAAADMTYwAgAAAAQxMjIyBAAAAAEwBwAAAAkzLzE0LzIwMjUIAAAACDkvMS8yMDE5CQAAAAEwohIePA1j3QgEJZw8</t>
  </si>
  <si>
    <t>DWPdCB5DSVEuTkFTREFRR1M6Q09TVC5JUV9SRS5GWTIwMjABAAAAkWoBAAIAAAAFMTI4NzkBCAAAAAUAAAABMQEAAAALLTIwNzUzNjI4OTQDAAAAAzE2MAIAAAAEMTIyMgQAAAABMAcAAAAJMy8xNC8yMDI1CAAAAAk4LzMwLzIwMjAJAAAAATCmkh48DWPdCFEBnjwNY90IHkNJUS5OQVNEQVFHUzpDT1NULklRX1JFLkZZMjAyMQEAAACRagEAAgAAAAUxMTY2NgEIAAAABQAAAAExAQAAAAstMjAyNDIzMTM0OQMAAAADMTYwAgAAAAQxMjIyBAAAAAEwBwAAAAkzLzE0LzIwMjUIAAAACTgvMjkvMjAyMQkAAAABMKaSHjwNY90IBCWcPA1j3QgeQ0lRLk5BU0RBUUdTOkNPU1QuSVFfUkUuRlkyMDIyAQAAAJFqAQACAAAABTE1NTg1AQgAAAAFAAAAATEBAAAACy0xOTczOTk3MTkyAwAAAAMxNjACAAAABDEyMjIEAAAAATAHAAAACTMvMTQvMjAyNQgAAAAJOC8yOC8yMDIyCQAAAAEwppIePA1j3QgEJZw8DWPdCB5DSVEuTkFTREFRR1M6Q09TVC5JUV9SRS5GWTIwMjMBAAAAkWoBAAIAAAAFMTk1MjEBCAAAAAUAAAABMQEAAAALLTE5NzM5OTcxODcDAAAAAzE2MAIAAAAEMTIyMgQAAAABMAcAAAAJMy8xNC8yMDI1CAAAAAg5LzMvMjAyMwkAAAABMKaSHjwNY90IUQGePA1j3QgeQ0lRLk5BU0RBUUdTOkNPU1QuSVFfUkUuRlkyMDI0AQAAAJFqAQACAAAABTE3NjE5AQgAAAAFAAAAATEBAAAACy0xOTczOTk3MTg0AwAAAAMx</t>
  </si>
  <si>
    <t>NjACAAAABDEyMjIEAAAAATAHAAAACTMvMTQvMjAyNQgAAAAIOS8xLzIwMjQJAAAAATCmkh48DWPdCFEBnjwNY90IIENJUS5OQVNEQVFHUzpDT1NULklRX0VCSVQuRlkyMDE5AQAAAJFqAQACAAAABDQ3MzcBCAAAAAUAAAABMQEAAAALLTIxMjc1MTYwNDEDAAAAAzE2MAIAAAADNDAwBAAAAAEwBwAAAAkzLzE0LzIwMjUIAAAACDkvMS8yMDE5CQAAAAEwppIePA1j3QgEJZw8DWPdCCBDSVEuTkFTREFRR1M6Q09TVC5JUV9FQklULkZZMjAyMAEAAACRagEAAgAAAAQ1NDM1AQgAAAAFAAAAATEBAAAACy0yMDc1MzYyODk0AwAAAAMxNjACAAAAAzQwMAQAAAABMAcAAAAJMy8xNC8yMDI1CAAAAAk4LzMwLzIwMjAJAAAAATCmkh48DWPdCAQlnDwNY90IIENJUS5OQVNEQVFHUzpDT1NULklRX0VCSVQuRlkyMDIxAQAAAJFqAQACAAAABDY3OTIBCAAAAAUAAAABMQEAAAALLTIwMjQyMzEzNDkDAAAAAzE2MAIAAAADNDAwBAAAAAEwBwAAAAkzLzE0LzIwMjUIAAAACTgvMjkvMjAyMQkAAAABMKaSHjwNY90IUQGePA1j3QggQ0lRLk5BU0RBUUdTOkNPU1QuSVFfRUJJVC5GWTIwMjIBAAAAkWoBAAIAAAAENzkxMQEIAAAABQAAAAExAQAAAAstMTk3Mzk5NzE5MgMAAAADMTYwAgAAAAM0MDAEAAAAATAHAAAACTMvMTQvMjAyNQgAAAAJOC8yOC8yMDIyCQAAAAEwppIePA1j3QgEJZw8DWPdCCBDSVEuTkFTREFRR1M6Q09TVC5J</t>
  </si>
  <si>
    <t>UV9FQklULkZZMjAyMwEAAACRagEAAgAAAAQ4NTA1AQgAAAAFAAAAATEBAAAACy0xOTczOTk3MTg3AwAAAAMxNjACAAAAAzQwMAQAAAABMAcAAAAJMy8xNC8yMDI1CAAAAAg5LzMvMjAyMwkAAAABMKaSHjwNY90IBCWcPA1j3QggQ0lRLk5BU0RBUUdTOkNPU1QuSVFfRUJJVC5GWTIwMjQBAAAAkWoBAAIAAAAEOTI4NQEIAAAABQAAAAExAQAAAAstMTk3Mzk5NzE4NAMAAAADMTYwAgAAAAM0MDAEAAAAATAHAAAACTMvMTQvMjAyNQgAAAAIOS8xLzIwMjQJAAAAATCmkh48DWPdCAQlnDwNY90IJkNJUS5OQVNEQVFHUzpDT1NULklRX1RPVEFMX0xJQUIuRlkyMDE5AQAAAJFqAQACAAAABTI5ODE2AQgAAAAFAAAAATEBAAAACy0yMTI3NTE2MDQxAwAAAAMxNjACAAAABDEyNzYEAAAAATAHAAAACTMvMTQvMjAyNQgAAAAIOS8xLzIwMTkJAAAAATCmkh48DWPdCFEBnjwNY90IJkNJUS5OQVNEQVFHUzpDT1NULklRX1RPVEFMX0xJQUIuRlkyMDIwAQAAAJFqAQACAAAABTM2ODUxAQgAAAAFAAAAATEBAAAACy0yMDc1MzYyODk0AwAAAAMxNjACAAAABDEyNzYEAAAAATAHAAAACTMvMTQvMjAyNQgAAAAJOC8zMC8yMDIwCQAAAAEwppIePA1j3QhRAZ48DWPdCCZDSVEuTkFTREFRR1M6Q09TVC5JUV9UT1RBTF9MSUFCLkZZMjAyMQEAAACRagEAAgAAAAU0MTE5MAEIAAAABQAAAAExAQAAAAstMjAyNDIzMTM0OQMAAAADMTYw</t>
  </si>
  <si>
    <t>AgAAAAQxMjc2BAAAAAEwBwAAAAkzLzE0LzIwMjUIAAAACTgvMjkvMjAyMQkAAAABMKaSHjwNY90IUQGePA1j3QgmQ0lRLk5BU0RBUUdTOkNPU1QuSVFfVE9UQUxfTElBQi5GWTIwMjIBAAAAkWoBAAIAAAAFNDM1MTkBCAAAAAUAAAABMQEAAAALLTE5NzM5OTcxOTIDAAAAAzE2MAIAAAAEMTI3NgQAAAABMAcAAAAJMy8xNC8yMDI1CAAAAAk4LzI4LzIwMjIJAAAAATCmkh48DWPdCAQlnDwNY90IJkNJUS5OQVNEQVFHUzpDT1NULklRX1RPVEFMX0xJQUIuRlkyMDIzAQAAAJFqAQACAAAABTQzOTM2AQgAAAAFAAAAATEBAAAACy0xOTczOTk3MTg3AwAAAAMxNjACAAAABDEyNzYEAAAAATAHAAAACTMvMTQvMjAyNQgAAAAIOS8zLzIwMjMJAAAAATCmkh48DWPdCAQlnDwNY90IJkNJUS5OQVNEQVFHUzpDT1NULklRX1RPVEFMX0xJQUIuRlkyMDI0AQAAAJFqAQACAAAABTQ2MjA5AQgAAAAFAAAAATEBAAAACy0xOTczOTk3MTg0AwAAAAMxNjACAAAABDEyNzYEAAAAATAHAAAACTMvMTQvMjAyNQgAAAAIOS8xLzIwMjQJAAAAATCmkh48DWPdCAQlnDwNY90IJUNJUS5OQVNEQVFHUzpDT1NULklRX1RPVEFMX1JFVi5GWTIwMTkBAAAAkWoBAAIAAAAGMTUyNzAzAQgAAAAFAAAAATEBAAAACy0yMTI3NTE2MDQxAwAAAAMxNjACAAAAAjI4BAAAAAEwBwAAAAkzLzE0LzIwMjUIAAAACDkvMS8yMDE5CQAAAAEwppIePA1j3QhR</t>
  </si>
  <si>
    <t>AZ48DWPdCCVDSVEuTkFTREFRR1M6Q09TVC5JUV9UT1RBTF9SRVYuRlkyMDIwAQAAAJFqAQACAAAABjE2Njc2MQEIAAAABQAAAAExAQAAAAstMjA3NTM2Mjg5NAMAAAADMTYwAgAAAAIyOAQAAAABMAcAAAAJMy8xNC8yMDI1CAAAAAk4LzMwLzIwMjAJAAAAATCmkh48DWPdCFEBnjwNY90IJUNJUS5OQVNEQVFHUzpDT1NULklRX1RPVEFMX1JFVi5GWTIwMjEBAAAAkWoBAAIAAAAGMTk1OTI5AQgAAAAFAAAAATEBAAAACy0yMDI0MjMxMzQ5AwAAAAMxNjACAAAAAjI4BAAAAAEwBwAAAAkzLzE0LzIwMjUIAAAACTgvMjkvMjAyMQkAAAABMKaSHjwNY90IBCWcPA1j3QglQ0lRLk5BU0RBUUdTOkNPU1QuSVFfVE9UQUxfUkVWLkZZMjAyMgEAAACRagEAAgAAAAYyMjY5NTQBCAAAAAUAAAABMQEAAAALLTE5NzM5OTcxOTIDAAAAAzE2MAIAAAACMjgEAAAAATAHAAAACTMvMTQvMjAyNQgAAAAJOC8yOC8yMDIyCQAAAAEwppIePA1j3QgEJZw8DWPdCCVDSVEuTkFTREFRR1M6Q09TVC5JUV9UT1RBTF9SRVYuRlkyMDIzAQAAAJFqAQACAAAABjI0MjI5MAEIAAAABQAAAAExAQAAAAstMTk3Mzk5NzE4NwMAAAADMTYwAgAAAAIyOAQAAAABMAcAAAAJMy8xNC8yMDI1CAAAAAg5LzMvMjAyMwkAAAABMKaSHjwNY90IUQGePA1j3QglQ0lRLk5BU0RBUUdTOkNPU1QuSVFfVE9UQUxfUkVWLkZZMjAyNAEAAACRagEAAgAAAAYyNTQ0</t>
  </si>
  <si>
    <t>NTMBCAAAAAUAAAABMQEAAAALLTE5NzM5OTcxODQDAAAAAzE2MAIAAAACMjgEAAAAATAHAAAACTMvMTQvMjAyNQgAAAAIOS8xLzIwMjQJAAAAATCmkh48DWPdCAQlnDwNY90IJENJUS5OQVNEQVFHUzpDT1NULklRX1RPVEFMX0NBLkZZMjAxOQEAAACRagEAAgAAAAUyMzQ4NQEIAAAABQAAAAExAQAAAAstMjEyNzUxNjA0MQMAAAADMTYwAgAAAAQxMDA4BAAAAAEwBwAAAAkzLzE0LzIwMjUIAAAACDkvMS8yMDE5CQAAAAEwppIePA1j3QgEJZw8DWPdCCRDSVEuTkFTREFRR1M6Q09TVC5JUV9UT1RBTF9DQS5GWTIwMjABAAAAkWoBAAIAAAAFMjgxMjABCAAAAAUAAAABMQEAAAALLTIwNzUzNjI4OTQDAAAAAzE2MAIAAAAEMTAwOAQAAAABMAcAAAAJMy8xNC8yMDI1CAAAAAk4LzMwLzIwMjAJAAAAATCmkh48DWPdCAQlnDwNY90IJENJUS5OQVNEQVFHUzpDT1NULklRX1RPVEFMX0NBLkZZMjAyMQEAAACRagEAAgAAAAUyOTUwNQEIAAAABQAAAAExAQAAAAstMjAyNDIzMTM0OQMAAAADMTYwAgAAAAQxMDA4BAAAAAEwBwAAAAkzLzE0LzIwMjUIAAAACTgvMjkvMjAyMQkAAAABMKaSHjwNY90IBCWcPA1j3QgkQ0lRLk5BU0RBUUdTOkNPU1QuSVFfVE9UQUxfQ0EuRlkyMDIyAQAAAJFqAQACAAAABTMyNjk2AQgAAAAFAAAAATEBAAAACy0xOTczOTk3MTkyAwAAAAMxNjACAAAABDEwMDgEAAAAATAHAAAACTMvMTQvMjAy</t>
  </si>
  <si>
    <t>NQgAAAAJOC8yOC8yMDIyCQAAAAEwppIePA1j3QhRAZ48DWPdCCRDSVEuTkFTREFRR1M6Q09TVC5JUV9UT1RBTF9DQS5GWTIwMjMBAAAAkWoBAAIAAAAFMzU4NzkBCAAAAAUAAAABMQEAAAALLTE5NzM5OTcxODcDAAAAAzE2MAIAAAAEMTAwOAQAAAABMAcAAAAJMy8xNC8yMDI1CAAAAAg5LzMvMjAyMwkAAAABMKaSHjwNY90IUQGePA1j3QgkQ0lRLk5BU0RBUUdTOkNPU1QuSVFfVE9UQUxfQ0EuRlkyMDI0AQAAAJFqAQACAAAABTM0MjQ2AQgAAAAFAAAAATEBAAAACy0xOTczOTk3MTg0AwAAAAMxNjACAAAABDEwMDgEAAAAATAHAAAACTMvMTQvMjAyNQgAAAAIOS8xLzIwMjQJAAAAATCmkh48DWPdCFEBnjwNY90IJENJUS5OQVNEQVFHUzpDT1NULklRX1RPVEFMX0NMLkZZMjAxOQEAAACRagEAAgAAAAUyMzIzNwEIAAAABQAAAAExAQAAAAstMjEyNzUxNjA0MQMAAAADMTYwAgAAAAQxMDA5BAAAAAEwBwAAAAkzLzE0LzIwMjUIAAAACDkvMS8yMDE5CQAAAAEwppIePA1j3QhRAZ48DWPdCCRDSVEuTkFTREFRR1M6Q09TVC5JUV9UT1RBTF9DTC5GWTIwMjABAAAAkWoBAAIAAAAFMjQ4NDQBCAAAAAUAAAABMQEAAAALLTIwNzUzNjI4OTQDAAAAAzE2MAIAAAAEMTAwOQQAAAABMAcAAAAJMy8xNC8yMDI1CAAAAAk4LzMwLzIwMjAJAAAAATCmkh48DWPdCFEBnjwNY90IJENJUS5OQVNEQVFHUzpDT1NULklRX1RPVEFM</t>
  </si>
  <si>
    <t>X0NMLkZZMjAyMQEAAACRagEAAgAAAAUyOTQ0MQEIAAAABQAAAAExAQAAAAstMjAyNDIzMTM0OQMAAAADMTYwAgAAAAQxMDA5BAAAAAEwBwAAAAkzLzE0LzIwMjUIAAAACTgvMjkvMjAyMQkAAAABMKaSHjwNY90IBCWcPA1j3QgkQ0lRLk5BU0RBUUdTOkNPU1QuSVFfVE9UQUxfQ0wuRlkyMDIyAQAAAJFqAQACAAAABTMxOTk4AQgAAAAFAAAAATEBAAAACy0xOTczOTk3MTkyAwAAAAMxNjACAAAABDEwMDkEAAAAATAHAAAACTMvMTQvMjAyNQgAAAAJOC8yOC8yMDIyCQAAAAEwppIePA1j3QgEJZw8DWPdCCRDSVEuTkFTREFRR1M6Q09TVC5JUV9UT1RBTF9DTC5GWTIwMjMBAAAAkWoBAAIAAAAFMzM1ODMBCAAAAAUAAAABMQEAAAALLTE5NzM5OTcxODcDAAAAAzE2MAIAAAAEMTAwOQQAAAABMAcAAAAJMy8xNC8yMDI1CAAAAAg5LzMvMjAyMwkAAAABMKaSHjwNY90IBCWcPA1j3QgkQ0lRLk5BU0RBUUdTOkNPU1QuSVFfVE9UQUxfQ0wuRlkyMDI0AQAAAJFqAQACAAAABTM1NDY0AQgAAAAFAAAAATEBAAAACy0xOTczOTk3MTg0AwAAAAMxNjACAAAABDEwMDkEAAAAATAHAAAACTMvMTQvMjAyNQgAAAAIOS8xLzIwMjQJAAAAATCmkh48DWPdCAQlnDwNY90II0NJUS5OWVNFOkJBQkEuSVFfV09SS0lOR19DQVAuRlkyMDE5AQAAABElggICAAAACzkzMjcuNzMxMTIyAQgAAAAFAAAAATEBAAAACy0yMTQxNTIwNzI4AwAA</t>
  </si>
  <si>
    <t>AAMxNjACAAAABDQxNjUEAAAAATAHAAAACTMvMTQvMjAyNQgAAAAJMy8zMS8yMDE5CQAAAAEwppIePA1j3QhRAZ48DWPdCCRDSVEuTllTRTpCQUJBLklRX1RPVEFMX0FTU0VUUy5GWTIwMTkBAAAAESWCAgIAAAANMTQzNzkyLjI0MDc2MwEIAAAABQAAAAExAQAAAAstMjE0MTUyMDcyOAMAAAADMTYwAgAAAAQxMDA3BAAAAAEwBwAAAAkzLzE0LzIwMjUIAAAACTMvMzEvMjAxOQkAAAABMKaSHjwNY90IUQGePA1j3QgjQ0lRLk5ZU0U6QkFCQS5JUV9XT1JLSU5HX0NBUC5GWTIwMjABAAAAESWCAgIAAAAMMzEyMTMuMDc1NDA2AQgAAAAFAAAAATEBAAAACy0yMDg4MTA1MTIzAwAAAAMxNjACAAAABDQxNjUEAAAAATAHAAAACTMvMTQvMjAyNQgAAAAJMy8zMS8yMDIwCQAAAAEwppIePA1j3QgEJZw8DWPdCCRDSVEuTllTRTpCQUJBLklRX1RPVEFMX0FTU0VUUy5GWTIwMjABAAAAESWCAgIAAAANMTg1Mzk3LjQ4NjYwNAEIAAAABQAAAAExAQAAAAstMjA4ODEwNTEyMwMAAAADMTYwAgAAAAQxMDA3BAAAAAEwBwAAAAkzLzE0LzIwMjUIAAAACTMvMzEvMjAyMAkAAAABMKaSHjwNY90IBCWcPA1j3QgjQ0lRLk5ZU0U6QkFCQS5JUV9XT1JLSU5HX0NBUC5GWTIwMjEBAAAAESWCAgIAAAAMNDA1OTQuODc4MzA0AQgAAAAFAAAAATEBAAAACy0yMDM3NTQ4MzIxAwAAAAMxNjACAAAABDQxNjUEAAAAATAHAAAACTMvMTQvMjAy</t>
  </si>
  <si>
    <t>NQgAAAAJMy8zMS8yMDIxCQAAAAEwppIePA1j3QgEJZw8DWPdCCRDSVEuTllTRTpCQUJBLklRX1RPVEFMX0FTU0VUUy5GWTIwMjEBAAAAESWCAgIAAAANMjU3OTQ2LjE1ODM2NwEIAAAABQAAAAExAQAAAAstMjAzNzU0ODMyMQMAAAADMTYwAgAAAAQxMDA3BAAAAAEwBwAAAAkzLzE0LzIwMjUIAAAACTMvMzEvMjAyMQkAAAABMKaSHjwNY90IBCWcPA1j3QgjQ0lRLk5ZU0U6QkFCQS5JUV9XT1JLSU5HX0NBUC5GWTIwMjIBAAAAESWCAgIAAAAMNDAxODIuMTc5NDAzAQgAAAAFAAAAATEBAAAACy0xOTkyNDc1NTc3AwAAAAMxNjACAAAABDQxNjUEAAAAATAHAAAACTMvMTQvMjAyNQgAAAAJMy8zMS8yMDIyCQAAAAEwppIePA1j3QgEJZw8DWPdCCRDSVEuTllTRTpCQUJBLklRX1RPVEFMX0FTU0VUUy5GWTIwMjIBAAAAESWCAgIAAAAMMjY3NDQxLjU5OTE4AQgAAAAFAAAAATEBAAAACy0xOTkyNDc1NTc3AwAAAAMxNjACAAAABDEwMDcEAAAAATAHAAAACTMvMTQvMjAyNQgAAAAJMy8zMS8yMDIyCQAAAAEwppIePA1j3QgEJZw8DWPdCCNDSVEuTllTRTpCQUJBLklRX1dPUktJTkdfQ0FQLkZZMjAyMwEAAAARJYICAgAAAAw0NTUwOS42NjYzOTYBCAAAAAUAAAABMQEAAAALLTE5OTI0NzU1NjQDAAAAAzE2MAIAAAAENDE2NQQAAAABMAcAAAAJMy8xNC8yMDI1CAAAAAkzLzMxLzIwMjMJAAAAATCmkh48DWPdCAQlnDwN</t>
  </si>
  <si>
    <t>Y90IJENJUS5OWVNFOkJBQkEuSVFfVE9UQUxfQVNTRVRTLkZZMjAyMwEAAAARJYICAgAAAA0yNTUyMDMuNTE3NDg0AQgAAAAFAAAAATEBAAAACy0xOTkyNDc1NTY0AwAAAAMxNjACAAAABDEwMDcEAAAAATAHAAAACTMvMTQvMjAyNQgAAAAJMy8zMS8yMDIzCQAAAAEwppIePA1j3QgEJZw8DWPdCCNDSVEuTllTRTpCQUJBLklRX1dPUktJTkdfQ0FQLkZZMjAyNAEAAAARJYICAgAAAAw0NTg5MS4xNDMyNDMBCAAAAAUAAAABMQEAAAALLTE5OTI0NzU1ODIDAAAAAzE2MAIAAAAENDE2NQQAAAABMAcAAAAJMy8xNC8yMDI1CAAAAAkzLzMxLzIwMjQJAAAAATCmkh48DWPdCFEBnjwNY90IJENJUS5OWVNFOkJBQkEuSVFfVE9UQUxfQVNTRVRTLkZZMjAyNAEAAAARJYICAgAAAAwyNDQ0MTkuMjIyODkBCAAAAAUAAAABMQEAAAALLTE5OTI0NzU1ODIDAAAAAzE2MAIAAAAEMTAwNwQAAAABMAcAAAAJMy8xNC8yMDI1CAAAAAkzLzMxLzIwMjQJAAAAATCmkh48DWPdCFEBnjwNY90IGkNJUS5OWVNFOkJBQkEuSVFfUkUuRlkyMDE5AQAAABElggICAAAADDM5MTc5LjAzMzQ0MgEIAAAABQAAAAExAQAAAAstMjE0MTUyMDcyOAMAAAADMTYwAgAAAAQxMjIyBAAAAAEwBwAAAAkzLzE0LzIwMjUIAAAACTMvMzEvMjAxOQkAAAABMKaSHjwNY90IUQGePA1j3QgaQ0lRLk5ZU0U6QkFCQS5JUV9SRS5GWTIwMjABAAAAESWCAgIAAAAL</t>
  </si>
  <si>
    <t>NTgyMzAuMzAyMTgBCAAAAAUAAAABMQEAAAALLTIwODgxMDUxMjMDAAAAAzE2MAIAAAAEMTIyMgQAAAABMAcAAAAJMy8xNC8yMDI1CAAAAAkzLzMxLzIwMjAJAAAAATCmkh48DWPdCFEBnjwNY90IGkNJUS5OWVNFOkJBQkEuSVFfUkUuRlkyMDIxAQAAABElggICAAAADDg1ODA4LjgzOTEwMwEIAAAABQAAAAExAQAAAAstMjAzNzU0ODMyMQMAAAADMTYwAgAAAAQxMjIyBAAAAAEwBwAAAAkzLzE0LzIwMjUIAAAACTMvMzEvMjAyMQkAAAABMKaSHjwNY90IUQGePA1j3QgaQ0lRLk5ZU0U6QkFCQS5JUV9SRS5GWTIwMjIBAAAAESWCAgIAAAAMOTA0NDIuNDM1NzE1AQgAAAAFAAAAATEBAAAACy0xOTkyNDc1NTc3AwAAAAMxNjACAAAABDEyMjIEAAAAATAHAAAACTMvMTQvMjAyNQgAAAAJMy8zMS8yMDIyCQAAAAEwppIePA1j3QgEJZw8DWPdCBpDSVEuTllTRTpCQUJBLklRX1JFLkZZMjAyMwEAAAARJYICAgAAAAw4OTA5NC4wNzIyMDcBCAAAAAUAAAABMQEAAAALLTE5OTI0NzU1NjQDAAAAAzE2MAIAAAAEMTIyMgQAAAABMAcAAAAJMy8xNC8yMDI1CAAAAAkzLzMxLzIwMjMJAAAAATCmkh48DWPdCAQlnDwNY90IGkNJUS5OWVNFOkJBQkEuSVFfUkUuRlkyMDI0AQAAABElggICAAAADDg0ODQ1LjkyNDc0MwEIAAAABQAAAAExAQAAAAstMTk5MjQ3NTU4MgMAAAADMTYwAgAAAAQxMjIyBAAAAAEwBwAAAAkzLzE0LzIw</t>
  </si>
  <si>
    <t>MjUIAAAACTMvMzEvMjAyNAkAAAABMKaSHjwNY90IUQGePA1j3QgcQ0lRLk5ZU0U6QkFCQS5JUV9FQklULkZZMjAxOQEAAAARJYICAgAAAAs5MTc5LjAzMzM0NQEIAAAABQAAAAExAQAAAAstMjE0MTUyMDcyOAMAAAADMTYwAgAAAAM0MDAEAAAAATAHAAAACTMvMTQvMjAyNQgAAAAJMy8zMS8yMDE5CQAAAAEwppIePA1j3QgEJZw8DWPdCBxDSVEuTllTRTpCQUJBLklRX0VCSVQuRlkyMDIwAQAAABElggICAAAADDEzNDg5LjY5MjE3OQEIAAAABQAAAAExAQAAAAstMjA4ODEwNTEyMwMAAAADMTYwAgAAAAM0MDAEAAAAATAHAAAACTMvMTQvMjAyNQgAAAAJMy8zMS8yMDIwCQAAAAEwppIePA1j3QhRAZ48DWPdCBxDSVEuTllTRTpCQUJBLklRX0VCSVQuRlkyMDIxAQAAABElggICAAAADDE2NzI1LjI2OTMzMgEIAAAABQAAAAExAQAAAAstMjAzNzU0ODMyMQMAAAADMTYwAgAAAAM0MDAEAAAAATAHAAAACTMvMTQvMjAyNQgAAAAJMy8zMS8yMDIxCQAAAAEwppIePA1j3QhRAZ48DWPdCBxDSVEuTllTRTpCQUJBLklRX0VCSVQuRlkyMDIyAQAAABElggICAAAADDE1MjIwLjU4NzAyNwEIAAAABQAAAAExAQAAAAstMTk5MjQ3NTU3NwMAAAADMTYwAgAAAAM0MDAEAAAAATAHAAAACTMvMTQvMjAyNQgAAAAJMy8zMS8yMDIyCQAAAAEwppIePA1j3QhRAZ48DWPdCBxDSVEuTllTRTpCQUJBLklRX0VCSVQuRlkyMDIzAQAA</t>
  </si>
  <si>
    <t>ABElggICAAAADDE1NTc4LjA4NzcxNgEIAAAABQAAAAExAQAAAAstMTk5MjQ3NTU2NAMAAAADMTYwAgAAAAM0MDAEAAAAATAHAAAACTMvMTQvMjAyNQgAAAAJMy8zMS8yMDIzCQAAAAEwppIePA1j3QgEJZw8DWPdCBxDSVEuTllTRTpCQUJBLklRX0VCSVQuRlkyMDI0AQAAABElggICAAAADDE5MjExLjY4ODkyOQEIAAAABQAAAAExAQAAAAstMTk5MjQ3NTU4MgMAAAADMTYwAgAAAAM0MDAEAAAAATAHAAAACTMvMTQvMjAyNQgAAAAJMy8zMS8yMDI0CQAAAAEwppIePA1j3QgEJZw8DWPdCCJDSVEuTllTRTpCQUJBLklRX1RPVEFMX0xJQUIuRlkyMDE5AQAAABElggICAAAADDUzMTE1Ljk0ODY3OAEIAAAABQAAAAExAQAAAAstMjE0MTUyMDcyOAMAAAADMTYwAgAAAAQxMjc2BAAAAAEwBwAAAAkzLzE0LzIwMjUIAAAACTMvMzEvMjAxOQkAAAABMKaSHjwNY90IBCWcPA1j3QgiQ0lRLk5ZU0U6QkFCQS5JUV9UT1RBTF9MSUFCLkZZMjAyMAEAAAARJYICAgAAAAw2MTE4OC4wODI0NjkBCAAAAAUAAAABMQEAAAALLTIwODgxMDUxMjMDAAAAAzE2MAIAAAAEMTI3NgQAAAABMAcAAAAJMy8xNC8yMDI1CAAAAAkzLzMxLzIwMjAJAAAAATCmkh48DWPdCAQlnDwNY90IIkNJUS5OWVNFOkJBQkEuSVFfVE9UQUxfTElBQi5GWTIwMjEBAAAAESWCAgIAAAAMOTI1NzEuNDk4MTg5AQgAAAAFAAAAATEBAAAACy0yMDM3NTQ4MzIx</t>
  </si>
  <si>
    <t>AwAAAAMxNjACAAAABDEyNzYEAAAAATAHAAAACTMvMTQvMjAyNQgAAAAJMy8zMS8yMDIxCQAAAAEwppIePA1j3QgEJZw8DWPdCCJDSVEuTllTRTpCQUJBLklRX1RPVEFMX0xJQUIuRlkyMDIyAQAAABElggICAAAADDk2NzQ2LjAwNTE1MgEIAAAABQAAAAExAQAAAAstMTk5MjQ3NTU3NwMAAAADMTYwAgAAAAQxMjc2BAAAAAEwBwAAAAkzLzE0LzIwMjUIAAAACTMvMzEvMjAyMgkAAAABMKaSHjwNY90IUQGePA1j3QgiQ0lRLk5ZU0U6QkFCQS5JUV9UT1RBTF9MSUFCLkZZMjAyMwEAAAARJYICAgAAAAw5MTczMS42NDI4MTUBCAAAAAUAAAABMQEAAAALLTE5OTI0NzU1NjQDAAAAAzE2MAIAAAAEMTI3NgQAAAABMAcAAAAJMy8xNC8yMDI1CAAAAAkzLzMxLzIwMjMJAAAAATCmkh48DWPdCFEBnjwNY90IIkNJUS5OWVNFOkJBQkEuSVFfVE9UQUxfTElBQi5GWTIwMjQBAAAAESWCAgIAAAAMOTAzMzAuMzA5NDc4AQgAAAAFAAAAATEBAAAACy0xOTkyNDc1NTgyAwAAAAMxNjACAAAABDEyNzYEAAAAATAHAAAACTMvMTQvMjAyNQgAAAAJMy8zMS8yMDI0CQAAAAEwppIePA1j3QgEJZw8DWPdCCFDSVEuTllTRTpCQUJBLklRX1RPVEFMX1JFVi5GWTIwMTkBAAAAESWCAgIAAAAMNTYxNDguMTYxNTczAQgAAAAFAAAAATEBAAAACy0yMTQxNTIwNzI4AwAAAAMxNjACAAAAAjI4BAAAAAEwBwAAAAkzLzE0LzIwMjUIAAAACTMv</t>
  </si>
  <si>
    <t>MzEvMjAxOQkAAAABMKaSHjwNY90IBCWcPA1j3QghQ0lRLk5ZU0U6QkFCQS5JUV9UT1RBTF9SRVYuRlkyMDIwAQAAABElggICAAAADDcxOTcyLjc0NzgxOQEIAAAABQAAAAExAQAAAAstMjA4ODEwNTEyMwMAAAADMTYwAgAAAAIyOAQAAAABMAcAAAAJMy8xNC8yMDI1CAAAAAkzLzMxLzIwMjAJAAAAATCmkh48DWPdCAQlnDwNY90IIUNJUS5OWVNFOkJBQkEuSVFfVE9UQUxfUkVWLkZZMjAyMQEAAAARJYICAgAAAA0xMDk0NjYuMzE4NTM5AQgAAAAFAAAAATEBAAAACy0yMDM3NTQ4MzIxAwAAAAMxNjACAAAAAjI4BAAAAAEwBwAAAAkzLzE0LzIwMjUIAAAACTMvMzEvMjAyMQkAAAABMKaSHjwNY90IBCWcPA1j3QghQ0lRLk5ZU0U6QkFCQS5JUV9UT1RBTF9SRVYuRlkyMDIyAQAAABElggICAAAADTEzNDU1NC40ODc4MTYBCAAAAAUAAAABMQEAAAALLTE5OTI0NzU1NzcDAAAAAzE2MAIAAAACMjgEAAAAATAHAAAACTMvMTQvMjAyNQgAAAAJMy8zMS8yMDIyCQAAAAEwppIePA1j3QhRAZ48DWPdCCFDSVEuTllTRTpCQUJBLklRX1RPVEFMX1JFVi5GWTIwMjMBAAAAESWCAgIAAAANMTI2NDYxLjE2MDEyNgEIAAAABQAAAAExAQAAAAstMTk5MjQ3NTU2NAMAAAADMTYwAgAAAAIyOAQAAAABMAcAAAAJMy8xNC8yMDI1CAAAAAkzLzMxLzIwMjMJAAAAATCmkh48DWPdCFEBnjwNY90IIUNJUS5OWVNFOkJBQkEuSVFfVE9U</t>
  </si>
  <si>
    <t>QUxfUkVWLkZZMjAyNAEAAAARJYICAgAAAA0xMzAzNDYuNjUxODExAQgAAAAFAAAAATEBAAAACy0xOTkyNDc1NTgyAwAAAAMxNjACAAAAAjI4BAAAAAEwBwAAAAkzLzE0LzIwMjUIAAAACTMvMzEvMjAyNAkAAAABMKaSHjwNY90IUQGePA1j3QggQ0lRLk5ZU0U6QkFCQS5JUV9UT1RBTF9DQS5GWTIwMTkBAAAAESWCAgIAAAAMNDAyNjkuNTMzNDc1AQgAAAAFAAAAATEBAAAACy0yMTQxNTIwNzI4AwAAAAMxNjACAAAABDEwMDgEAAAAATAHAAAACTMvMTQvMjAyNQgAAAAJMy8zMS8yMDE5CQAAAAEwppIePA1j3QgEJZw8DWPdCCBDSVEuTllTRTpCQUJBLklRX1RPVEFMX0NBLkZZMjAyMAEAAAARJYICAgAAAAw2NTM2Ni4xMzk1MTUBCAAAAAUAAAABMQEAAAALLTIwODgxMDUxMjMDAAAAAzE2MAIAAAAEMTAwOAQAAAABMAcAAAAJMy8xNC8yMDI1CAAAAAkzLzMxLzIwMjAJAAAAATCmkh48DWPdCAQlnDwNY90IIENJUS5OWVNFOkJBQkEuSVFfVE9UQUxfQ0EuRlkyMDIxAQAAABElggICAAAADDk4MTgzLjkyNjgzNQEIAAAABQAAAAExAQAAAAstMjAzNzU0ODMyMQMAAAADMTYwAgAAAAQxMDA4BAAAAAEwBwAAAAkzLzE0LzIwMjUIAAAACTMvMzEvMjAyMQkAAAABMKaSHjwNY90IBCWcPA1j3QggQ0lRLk5ZU0U6QkFCQS5JUV9UT1RBTF9DQS5GWTIwMjIBAAAAESWCAgIAAAANMTAwNzE2Ljg4Nzk2MQEIAAAABQAAAAEx</t>
  </si>
  <si>
    <t>AQAAAAstMTk5MjQ3NTU3NwMAAAADMTYwAgAAAAQxMDA4BAAAAAEwBwAAAAkzLzE0LzIwMjUIAAAACTMvMzEvMjAyMgkAAAABMKaSHjwNY90IBCWcPA1j3QggQ0lRLk5ZU0U6QkFCQS5JUV9UT1RBTF9DQS5GWTIwMjMBAAAAESWCAgIAAAAMMTAxNjA4LjA0NzY1AQgAAAAFAAAAATEBAAAACy0xOTkyNDc1NTY0AwAAAAMxNjACAAAABDEwMDgEAAAAATAHAAAACTMvMTQvMjAyNQgAAAAJMy8zMS8yMDIzCQAAAAEwppIePA1j3QgEJZw8DWPdCCBDSVEuTllTRTpCQUJBLklRX1RPVEFMX0NBLkZZMjAyNAEAAAARJYICAgAAAA0xMDQyNjcuNTcxNDMxAQgAAAAFAAAAATEBAAAACy0xOTkyNDc1NTgyAwAAAAMxNjACAAAABDEwMDgEAAAAATAHAAAACTMvMTQvMjAyNQgAAAAJMy8zMS8yMDI0CQAAAAEwppIePA1j3QgEJZw8DWPdCCBDSVEuTllTRTpCQUJBLklRX1RPVEFMX0NMLkZZMjAxOQEAAAARJYICAgAAAAwzMDk0MS44MDIzNTIBCAAAAAUAAAABMQEAAAALLTIxNDE1MjA3MjgDAAAAAzE2MAIAAAAEMTAwOQQAAAABMAcAAAAJMy8xNC8yMDI1CAAAAAkzLzMxLzIwMTkJAAAAATCmkh48DWPdCAQlnDwNY90IIENJUS5OWVNFOkJBQkEuSVFfVE9UQUxfQ0wuRlkyMDIwAQAAABElggICAAAACzM0MTUzLjA2NDExAQgAAAAFAAAAATEBAAAACy0yMDg4MTA1MTIzAwAAAAMxNjACAAAABDEwMDkEAAAAATAHAAAACTMvMTQv</t>
  </si>
  <si>
    <t>MjAyNQgAAAAJMy8zMS8yMDIwCQAAAAEwppIePA1j3QgEJZw8DWPdCCBDSVEuTllTRTpCQUJBLklRX1RPVEFMX0NMLkZZMjAyMQEAAAARJYICAgAAAAs1NzU4OS4wNDg1MwEIAAAABQAAAAExAQAAAAstMjAzNzU0ODMyMQMAAAADMTYwAgAAAAQxMDA5BAAAAAEwBwAAAAkzLzE0LzIwMjUIAAAACTMvMzEvMjAyMQkAAAABMKaSHjwNY90IUQGePA1j3QggQ0lRLk5ZU0U6QkFCQS5JUV9UT1RBTF9DTC5GWTIwMjIBAAAAESWCAgIAAAAMNjA1MzQuNzA4NTU4AQgAAAAFAAAAATEBAAAACy0xOTkyNDc1NTc3AwAAAAMxNjACAAAABDEwMDkEAAAAATAHAAAACTMvMTQvMjAyNQgAAAAJMy8zMS8yMDIyCQAAAAEwppIePA1j3QhRAZ48DWPdCCBDSVEuTllTRTpCQUJBLklRX1RPVEFMX0NMLkZZMjAyMwEAAAARJYICAgAAAAw1NjA5OC4zODEyNTMBCAAAAAUAAAABMQEAAAALLTE5OTI0NzU1NjQDAAAAAzE2MAIAAAAEMTAwOQQAAAABMAcAAAAJMy8xNC8yMDI1CAAAAAkzLzMxLzIwMjMJAAAAATCmkh48DWPdCFEBnjwNY90IIENJUS5OWVNFOkJBQkEuSVFfVE9UQUxfQ0wuRlkyMDI0AQAAABElggICAAAADDU4Mzc2LjQyODE4OAEIAAAABQAAAAExAQAAAAstMTk5MjQ3NTU4MgMAAAADMTYwAgAAAAQxMDA5BAAAAAEwBwAAAAkzLzE0LzIwMjUIAAAACTMvMzEvMjAyNAkAAAABMKaSHjwNY90IUQGePA1j3QgjQ0lRLkVOWFRQ</t>
  </si>
  <si>
    <t>QTpDQS5JUV9XT1JLSU5HX0NBUC5GWTIwMTkBAAAA9mUBAAIAAAAMLTQ3MjguOTg2NjQ0AQgAAAAFAAAAATEBAAAACjIwODg1MDUyNzQDAAAAAzE2MAIAAAAENDE2NQQAAAABMAcAAAAJMy8xNC8yMDI1CAAAAAoxMi8zMS8yMDE5CQAAAAEwppIePA1j3QgEJZw8DWPdCCRDSVEuRU5YVFBBOkNBLklRX1RPVEFMX0FTU0VUUy5GWTIwMTkBAAAA9mUBAAIAAAAMNTc3NTMuMzM4NTUzAQgAAAAFAAAAATEBAAAACjIwODg1MDUyNzQDAAAAAzE2MAIAAAAEMTAwNwQAAAABMAcAAAAJMy8xNC8yMDI1CAAAAAoxMi8zMS8yMDE5CQAAAAEwppIePA1j3QhRAZ48DWPdCCNDSVEuRU5YVFBBOkNBLklRX1dPUktJTkdfQ0FQLkZZMjAyMAEAAAD2ZQEAAgAAAAwtNDczMi43MjE3MTIBCAAAAAUAAAABMQEAAAALLTIxMDc3ODQ5MDUDAAAAAzE2MAIAAAAENDE2NQQAAAABMAcAAAAJMy8xNC8yMDI1CAAAAAoxMi8zMS8yMDIwCQAAAAEwppIePA1j3QhRAZ48DWPdCCRDSVEuRU5YVFBBOkNBLklRX1RPVEFMX0FTU0VUUy5GWTIwMjABAAAA9mUBAAIAAAAMNTgyMTEuNjIwNzg1AQgAAAAFAAAAATEBAAAACy0yMTA3Nzg0OTA1AwAAAAMxNjACAAAABDEwMDcEAAAAATAHAAAACTMvMTQvMjAyNQgAAAAKMTIvMzEvMjAyMAkAAAABMKaSHjwNY90IUQGePA1j3QgjQ0lRLkVOWFRQQTpDQS5JUV9XT1JLSU5HX0NBUC5GWTIwMjEBAAAA9mUB</t>
  </si>
  <si>
    <t>AAIAAAAMLTQ5NjQuMTc2MDUxAQgAAAAFAAAAATEBAAAACy0yMDU2MjgyMDM1AwAAAAMxNjACAAAABDQxNjUEAAAAATAHAAAACTMvMTQvMjAyNQgAAAAKMTIvMzEvMjAyMQkAAAABMKaSHjwNY90IUQGePA1j3QgkQ0lRLkVOWFRQQTpDQS5JUV9UT1RBTF9BU1NFVFMuRlkyMDIxAQAAAPZlAQACAAAADDU0MjExLjMwNDQ2NgEIAAAABQAAAAExAQAAAAstMjA1NjI4MjAzNQMAAAADMTYwAgAAAAQxMDA3BAAAAAEwBwAAAAkzLzE0LzIwMjUIAAAACjEyLzMxLzIwMjEJAAAAATCmkh48DWPdCFEBnjwNY90II0NJUS5FTlhUUEE6Q0EuSVFfV09SS0lOR19DQVAuRlkyMDIyAQAAAPZlAQACAAAADC0zMTc2LjIzMTY5NwEIAAAABQAAAAExAQAAAAstMjAwNzAxNDYzNAMAAAADMTYwAgAAAAQ0MTY1BAAAAAEwBwAAAAkzLzE0LzIwMjUIAAAACjEyLzMxLzIwMjIJAAAAATCmkh48DWPdCAQlnDwNY90IJENJUS5FTlhUUEE6Q0EuSVFfVE9UQUxfQVNTRVRTLkZZMjAyMgEAAAD2ZQEAAgAAAAw2MDQ0NC41ODY5MTgBCAAAAAUAAAABMQEAAAALLTIwMDcwMTQ2MzQDAAAAAzE2MAIAAAAEMTAwNwQAAAABMAcAAAAJMy8xNC8yMDI1CAAAAAoxMi8zMS8yMDIyCQAAAAEwppIePA1j3QgEJZw8DWPdCCNDSVEuRU5YVFBBOkNBLklRX1dPUktJTkdfQ0FQLkZZMjAyMwEAAAD2ZQEAAgAAAAstMjA3NS44MjYyNAEIAAAABQAAAAExAQAA</t>
  </si>
  <si>
    <t>AAstMTk1NjgyNTQ2OQMAAAADMTYwAgAAAAQ0MTY1BAAAAAEwBwAAAAkzLzE0LzIwMjUIAAAACjEyLzMxLzIwMjMJAAAAATCmkh48DWPdCAQlnDwNY90IJENJUS5FTlhUUEE6Q0EuSVFfVE9UQUxfQVNTRVRTLkZZMjAyMwEAAAD2ZQEAAgAAAAw2MjA4Ny45ODQ5NDgBCAAAAAUAAAABMQEAAAALLTE5NTY4MjU0NjkDAAAAAzE2MAIAAAAEMTAwNwQAAAABMAcAAAAJMy8xNC8yMDI1CAAAAAoxMi8zMS8yMDIzCQAAAAEwppIePA1j3QgEJZw8DWPdCCNDSVEuRU5YVFBBOkNBLklRX1dPUktJTkdfQ0FQLkZZMjAyNAEAAAD2ZQEAAgAAAAwtMzQ1My43NzM2ODQBCAAAAAUAAAABMQEAAAALLTE5NTY4MjU0NzMDAAAAAzE2MAIAAAAENDE2NQQAAAABMAcAAAAJMy8xNC8yMDI1CAAAAAoxMi8zMS8yMDI0CQAAAAEwppIePA1j3QgEJZw8DWPdCCRDSVEuRU5YVFBBOkNBLklRX1RPVEFMX0FTU0VUUy5GWTIwMjQBAAAA9mUBAAIAAAAMNTkzODguMTM1NDM2AQgAAAAFAAAAATEBAAAACy0xOTU2ODI1NDczAwAAAAMxNjACAAAABDEwMDcEAAAAATAHAAAACTMvMTQvMjAyNQgAAAAKMTIvMzEvMjAyNAkAAAABMKaSHjwNY90IBCWcPA1j3QgcQ0lRLkVOWFRQQTpDQS5JUV9FQklULkZZMjAxOQEAAAD2ZQEAAgAAAAsyMzM0LjE5MzY5MgEIAAAABQAAAAExAQAAAAoyMDg4NTA1Mjc0AwAAAAMxNjACAAAAAzQwMAQAAAABMAcAAAAJ</t>
  </si>
  <si>
    <t>My8xNC8yMDI1CAAAAAoxMi8zMS8yMDE5CQAAAAEwppIePA1j3QgEJZw8DWPdCBxDSVEuRU5YVFBBOkNBLklRX0VCSVQuRlkyMDIwAQAAAPZlAQACAAAACzI2NDguMzE4MDQyAQgAAAAFAAAAATEBAAAACy0yMTA3Nzg0OTA1AwAAAAMxNjACAAAAAzQwMAQAAAABMAcAAAAJMy8xNC8yMDI1CAAAAAoxMi8zMS8yMDIwCQAAAAEwppIePA1j3QgEJZw8DWPdCBxDSVEuRU5YVFBBOkNBLklRX0VCSVQuRlkyMDIxAQAAAPZlAQACAAAACzI0OTEuNzU0ODA2AQgAAAAFAAAAATEBAAAACy0yMDU2MjgyMDM1AwAAAAMxNjACAAAAAzQwMAQAAAABMAcAAAAJMy8xNC8yMDI1CAAAAAoxMi8zMS8yMDIxCQAAAAEwppIePA1j3QhRAZ48DWPdCBxDSVEuRU5YVFBBOkNBLklRX0VCSVQuRlkyMDIyAQAAAPZlAQACAAAACzI1MzIuODYzMDk2AQgAAAAFAAAAATEBAAAACy0yMDA3MDE0NjM0AwAAAAMxNjACAAAAAzQwMAQAAAABMAcAAAAJMy8xNC8yMDI1CAAAAAoxMi8zMS8yMDIyCQAAAAEwppIePA1j3QhRAZ48DWPdCBxDSVEuRU5YVFBBOkNBLklRX0VCSVQuRlkyMDIzAQAAAPZlAQACAAAACzI0NzguMTY5NTU4AQgAAAAFAAAAATEBAAAACy0xOTU2ODI1NDY5AwAAAAMxNjACAAAAAzQwMAQAAAABMAcAAAAJMy8xNC8yMDI1CAAAAAoxMi8zMS8yMDIzCQAAAAEwppIePA1j3QhRAZ48DWPdCBxDSVEuRU5YVFBBOkNBLklRX0VCSVQu</t>
  </si>
  <si>
    <t>RlkyMDI0AQAAAPZlAQACAAAACzIyNzEuNDU2NjczAQgAAAAFAAAAATEBAAAACy0xOTU2ODI1NDczAwAAAAMxNjACAAAAAzQwMAQAAAABMAcAAAAJMy8xNC8yMDI1CAAAAAoxMi8zMS8yMDI0CQAAAAEwppIePA1j3QhRAZ48DWPdCCJDSVEuRU5YVFBBOkNBLklRX1RPVEFMX0xJQUIuRlkyMDE5AQAAAPZlAQACAAAADDQ0NjUzLjc5ODY2MgEIAAAABQAAAAExAQAAAAoyMDg4NTA1Mjc0AwAAAAMxNjACAAAABDEyNzYEAAAAATAHAAAACTMvMTQvMjAyNQgAAAAKMTIvMzEvMjAxOQkAAAABMKaSHjwNY90IBCWcPA1j3QgiQ0lRLkVOWFRQQTpDQS5JUV9UT1RBTF9MSUFCLkZZMjAyMAEAAAD2ZQEAAgAAAAw0NDAwOS43ODU5MjUBCAAAAAUAAAABMQEAAAALLTIxMDc3ODQ5MDUDAAAAAzE2MAIAAAAEMTI3NgQAAAABMAcAAAAJMy8xNC8yMDI1CAAAAAoxMi8zMS8yMDIwCQAAAAEwppIePA1j3QgEJZw8DWPdCCJDSVEuRU5YVFBBOkNBLklRX1RPVEFMX0xJQUIuRlkyMDIxAQAAAPZlAQACAAAACzQwNzU3LjQyMDY5AQgAAAAFAAAAATEBAAAACy0yMDU2MjgyMDM1AwAAAAMxNjACAAAABDEyNzYEAAAAATAHAAAACTMvMTQvMjAyNQgAAAAKMTIvMzEvMjAyMQkAAAABMKaSHjwNY90IUQGePA1j3QgiQ0lRLkVOWFRQQTpDQS5JUV9UT1RBTF9MSUFCLkZZMjAyMgEAAAD2ZQEAAgAAAAw0NjM1Mi40NjMzNzkBCAAAAAUAAAAB</t>
  </si>
  <si>
    <t>MQEAAAALLTIwMDcwMTQ2MzQDAAAAAzE2MAIAAAAEMTI3NgQAAAABMAcAAAAJMy8xNC8yMDI1CAAAAAoxMi8zMS8yMDIyCQAAAAEwppIePA1j3QhRAZ48DWPdCCJDSVEuRU5YVFBBOkNBLklRX1RPVEFMX0xJQUIuRlkyMDIzAQAAAPZlAQACAAAACzQ3MjkwLjgxNDYyAQgAAAAFAAAAATEBAAAACy0xOTU2ODI1NDY5AwAAAAMxNjACAAAABDEyNzYEAAAAATAHAAAACTMvMTQvMjAyNQgAAAAKMTIvMzEvMjAyMwkAAAABMKaSHjwNY90IBCWcPA1j3QgiQ0lRLkVOWFRQQTpDQS5JUV9UT1RBTF9MSUFCLkZZMjAyNAEAAAD2ZQEAAgAAAAw0NjQ2Mi4zNjY3MTkBCAAAAAUAAAABMQEAAAALLTE5NTY4MjU0NzMDAAAAAzE2MAIAAAAEMTI3NgQAAAABMAcAAAAJMy8xNC8yMDI1CAAAAAoxMi8zMS8yMDI0CQAAAAEwppIePA1j3QgEJZw8DWPdCCFDSVEuRU5YVFBBOkNBLklRX1RPVEFMX1JFVi5GWTIwMTkBAAAA9mUBAAIAAAAMODI5NDkuMTYzOTI5AQgAAAAFAAAAATEBAAAACjIwODg1MDUyNzQDAAAAAzE2MAIAAAACMjgEAAAAATAHAAAACTMvMTQvMjAyNQgAAAAKMTIvMzEvMjAxOQkAAAABMKaSHjwNY90IBCWcPA1j3QghQ0lRLkVOWFRQQTpDQS5JUV9UT1RBTF9SRVYuRlkyMDIwAQAAAPZlAQACAAAADDg4MDE3LjEyNTM2NwEIAAAABQAAAAExAQAAAAstMjEwNzc4NDkwNQMAAAADMTYwAgAAAAIyOAQAAAABMAcAAAAJ</t>
  </si>
  <si>
    <t>My8xNC8yMDI1CAAAAAoxMi8zMS8yMDIwCQAAAAEwppIePA1j3QgEJZw8DWPdCCFDSVEuRU5YVFBBOkNBLklRX1RPVEFMX1JFVi5GWTIwMjEBAAAA9mUBAAIAAAAMODE0MzcuNTA3MTM3AQgAAAAFAAAAATEBAAAACy0yMDU2MjgyMDM1AwAAAAMxNjACAAAAAjI4BAAAAAEwBwAAAAkzLzE0LzIwMjUIAAAACjEyLzMxLzIwMjEJAAAAATCmkh48DWPdCAQlnDwNY90IIUNJUS5FTlhUUEE6Q0EuSVFfVE9UQUxfUkVWLkZZMjAyMgEAAAD2ZQEAAgAAAAw4ODU4OS4yOTE0MDcBCAAAAAUAAAABMQEAAAALLTIwMDcwMTQ2MzQDAAAAAzE2MAIAAAACMjgEAAAAATAHAAAACTMvMTQvMjAyNQgAAAAKMTIvMzEvMjAyMgkAAAABMKaSHjwNY90IBCWcPA1j3QghQ0lRLkVOWFRQQTpDQS5JUV9UT1RBTF9SRVYuRlkyMDIzAQAAAPZlAQACAAAADDkzNjMyLjE0MzIyMwEIAAAABQAAAAExAQAAAAstMTk1NjgyNTQ2OQMAAAADMTYwAgAAAAIyOAQAAAABMAcAAAAJMy8xNC8yMDI1CAAAAAoxMi8zMS8yMDIzCQAAAAEwppIePA1j3QgEJZw8DWPdCCFDSVEuRU5YVFBBOkNBLklRX1RPVEFMX1JFVi5GWTIwMjQBAAAA9mUBAAIAAAAMOTAxMzIuNTE4OTIyAQgAAAAFAAAAATEBAAAACy0xOTU2ODI1NDczAwAAAAMxNjACAAAAAjI4BAAAAAEwBwAAAAkzLzE0LzIwMjUIAAAACjEyLzMxLzIwMjQJAAAAATCmkh48DWPdCFEBnjwNY90IIENJ</t>
  </si>
  <si>
    <t>US5FTlhUUEE6Q0EuSVFfVE9UQUxfQ0EuRlkyMDE5AQAAAPZlAQACAAAADDIxMTgxLjY4NTU1MQEIAAAABQAAAAExAQAAAAoyMDg4NTA1Mjc0AwAAAAMxNjACAAAABDEwMDgEAAAAATAHAAAACTMvMTQvMjAyNQgAAAAKMTIvMzEvMjAxOQkAAAABMKaSHjwNY90IUQGePA1j3QggQ0lRLkVOWFRQQTpDQS5JUV9UT1RBTF9DQS5GWTIwMjABAAAA9mUBAAIAAAAMMjEzNzMuNzAwMzAyAQgAAAAFAAAAATEBAAAACy0yMTA3Nzg0OTA1AwAAAAMxNjACAAAABDEwMDgEAAAAATAHAAAACTMvMTQvMjAyNQgAAAAKMTIvMzEvMjAyMAkAAAABMKaSHjwNY90IUQGePA1j3QggQ0lRLkVOWFRQQTpDQS5JUV9UT1RBTF9DQS5GWTIwMjEBAAAA9mUBAAIAAAAMMjAyMjYuMzE2Mzk1AQgAAAAFAAAAATEBAAAACy0yMDU2MjgyMDM1AwAAAAMxNjACAAAABDEwMDgEAAAAATAHAAAACTMvMTQvMjAyNQgAAAAKMTIvMzEvMjAyMQkAAAABMKaSHjwNY90IUQGePA1j3QggQ0lRLkVOWFRQQTpDQS5JUV9UT1RBTF9DQS5GWTIwMjIBAAAA9mUBAAIAAAAMMjU1NzkuNzc5ODM1AQgAAAAFAAAAATEBAAAACy0yMDA3MDE0NjM0AwAAAAMxNjACAAAABDEwMDgEAAAAATAHAAAACTMvMTQvMjAyNQgAAAAKMTIvMzEvMjAyMgkAAAABMKaSHjwNY90IBCWcPA1j3QggQ0lRLkVOWFRQQTpDQS5JUV9UT1RBTF9DQS5GWTIwMjMBAAAA9mUBAAIAAAAMMjU5</t>
  </si>
  <si>
    <t>MTcuOTgzODU0AQgAAAAFAAAAATEBAAAACy0xOTU2ODI1NDY5AwAAAAMxNjACAAAABDEwMDgEAAAAATAHAAAACTMvMTQvMjAyNQgAAAAKMTIvMzEvMjAyMwkAAAABMKaSHjwNY90IBCWcPA1j3QggQ0lRLkVOWFRQQTpDQS5JUV9UT1RBTF9DQS5GWTIwMjQBAAAA9mUBAAIAAAAMMjQ2NDcuNDc5MDQzAQgAAAAFAAAAATEBAAAACy0xOTU2ODI1NDczAwAAAAMxNjACAAAABDEwMDgEAAAAATAHAAAACTMvMTQvMjAyNQgAAAAKMTIvMzEvMjAyNAkAAAABMKaSHjwNY90IBCWcPA1j3QggQ0lRLkVOWFRQQTpDQS5JUV9UT1RBTF9DTC5GWTIwMTkBAAAA9mUBAAIAAAAMMjU5MTAuNjcyMTk1AQgAAAAFAAAAATEBAAAACjIwODg1MDUyNzQDAAAAAzE2MAIAAAAEMTAwOQQAAAABMAcAAAAJMy8xNC8yMDI1CAAAAAoxMi8zMS8yMDE5CQAAAAEwppIePA1j3QgEJZw8DWPdCCBDSVEuRU5YVFBBOkNBLklRX1RPVEFMX0NMLkZZMjAyMAEAAAD2ZQEAAgAAAAwyNjEwNi40MjIwMTQBCAAAAAUAAAABMQEAAAALLTIxMDc3ODQ5MDUDAAAAAzE2MAIAAAAEMTAwOQQAAAABMAcAAAAJMy8xNC8yMDI1CAAAAAoxMi8zMS8yMDIwCQAAAAEwppIePA1j3QhRAZ48DWPdCCBDSVEuRU5YVFBBOkNBLklRX1RPVEFMX0NMLkZZMjAyMQEAAAD2ZQEAAgAAAAwyNTE5MC40OTI0NDYBCAAAAAUAAAABMQEAAAALLTIwNTYyODIwMzUDAAAAAzE2MAIA</t>
  </si>
  <si>
    <t>AAAEMTAwOQQAAAABMAcAAAAJMy8xNC8yMDI1CAAAAAoxMi8zMS8yMDIxCQAAAAEwppIePA1j3QhRAZ48DWPdCCBDSVEuRU5YVFBBOkNBLklRX1RPVEFMX0NMLkZZMjAyMgEAAAD2ZQEAAgAAAAwyODc1Ni4wMTE1MzIBCAAAAAUAAAABMQEAAAALLTIwMDcwMTQ2MzQDAAAAAzE2MAIAAAAEMTAwOQQAAAABMAcAAAAJMy8xNC8yMDI1CAAAAAoxMi8zMS8yMDIyCQAAAAEwppIePA1j3QgEJZw8DWPdCCBDSVEuRU5YVFBBOkNBLklRX1RPVEFMX0NMLkZZMjAyMwEAAAD2ZQEAAgAAAAwyNzk5My44MTAwOTQBCAAAAAUAAAABMQEAAAALLTE5NTY4MjU0NjkDAAAAAzE2MAIAAAAEMTAwOQQAAAABMAcAAAAJMy8xNC8yMDI1CAAAAAoxMi8zMS8yMDIzCQAAAAEwppIePA1j3QgEJZw8DWPdCCBDSVEuRU5YVFBBOkNBLklRX1RPVEFMX0NMLkZZMjAyNAEAAAD2ZQEAAgAAAAwyODEwMS4yNTI3MjYBCAAAAAUAAAABMQEAAAALLTE5NTY4MjU0NzMDAAAAAzE2MAIAAAAEMTAwOQQAAAABMAcAAAAJMy8xNC8yMDI1CAAAAAoxMi8zMS8yMDI0CQAAAAEwppIePA1j3QgEJZw8DWPdCChDSVEuQk9WRVNQQTpNR0xVMy5JUV9UT1RBTF9BU1NFVFMuRlkyMDE5AQAAAKelVAACAAAACzQ5MjMuNjQyMzk4AQgAAAAFAAAAATEBAAAACjIwODM3Mzk3MTgDAAAAAzE2MAIAAAAEMTAwNwQAAAABMAcAAAAJMy8xNC8yMDI1CAAAAAoxMi8zMS8y</t>
  </si>
  <si>
    <t>MDE5CQAAAAEwppIePA1j3QgEJZw8DWPdCCdDSVEuQk9WRVNQQTpNR0xVMy5JUV9XT1JLSU5HX0NBUC5GWTIwMjABAAAAp6VUAAIAAAAKNjUxLjM2NDI4NAEIAAAABQAAAAExAQAAAAstMjEwODQxOTU4NQMAAAADMTYwAgAAAAQ0MTY1BAAAAAEwBwAAAAkzLzE0LzIwMjUIAAAACjEyLzMxLzIwMjAJAAAAATCmkh48DWPdCFEBnjwNY90IKENJUS5CT1ZFU1BBOk1HTFUzLklRX1RPVEFMX0FTU0VUUy5GWTIwMjABAAAAp6VUAAIAAAALNDc0Ni4wNTMxMTEBCAAAAAUAAAABMQEAAAALLTIxMDg0MTk1ODUDAAAAAzE2MAIAAAAEMTAwNwQAAAABMAcAAAAJMy8xNC8yMDI1CAAAAAoxMi8zMS8yMDIwCQAAAAEwppIePA1j3QgEJZw8DWPdCCdDSVEuQk9WRVNQQTpNR0xVMy5JUV9XT1JLSU5HX0NBUC5GWTIwMjEBAAAAp6VUAAIAAAALMTY2MC42NDU5NDYBCAAAAAUAAAABMQEAAAALLTIwNTYzOTY1MjgDAAAAAzE2MAIAAAAENDE2NQQAAAABMAcAAAAJMy8xNC8yMDI1CAAAAAoxMi8zMS8yMDIxCQAAAAEwppIePA1j3QgEJZw8DWPdCChDSVEuQk9WRVNQQTpNR0xVMy5JUV9UT1RBTF9BU1NFVFMuRlkyMDIxAQAAAKelVAACAAAACzY4ODkuMjEwODQ2AQgAAAAFAAAAATEBAAAACy0yMDU2Mzk2NTI4AwAAAAMxNjACAAAABDEwMDcEAAAAATAHAAAACTMvMTQvMjAyNQgAAAAKMTIvMzEvMjAyMQkAAAABMKaSHjwNY90IBCWc</t>
  </si>
  <si>
    <t>PA1j3QgnQ0lRLkJPVkVTUEE6TUdMVTMuSVFfV09SS0lOR19DQVAuRlkyMDIyAQAAAKelVAACAAAACTEzNDQuMDAzOQEIAAAABQAAAAExAQAAAAstMjAwMjc2MDA1OQMAAAADMTYwAgAAAAQ0MTY1BAAAAAEwBwAAAAkzLzE0LzIwMjUIAAAACjEyLzMxLzIwMjIJAAAAATCmkh48DWPdCAQlnDwNY90IKENJUS5CT1ZFU1BBOk1HTFUzLklRX1RPVEFMX0FTU0VUUy5GWTIwMjIBAAAAp6VUAAIAAAALNzE0My42OTI1NjEBCAAAAAUAAAABMQEAAAALLTIwMDI3NjAwNTkDAAAAAzE2MAIAAAAEMTAwNwQAAAABMAcAAAAJMy8xNC8yMDI1CAAAAAoxMi8zMS8yMDIyCQAAAAEwppIePA1j3QgEJZw8DWPdCCdDSVEuQk9WRVNQQTpNR0xVMy5JUV9XT1JLSU5HX0NBUC5GWTIwMjMBAAAAp6VUAAIAAAAKNTc5LjczMjQ5OQEIAAAABQAAAAExAQAAAAstMjAwMjc2MDA3NwMAAAADMTYwAgAAAAQ0MTY1BAAAAAEwBwAAAAkzLzE0LzIwMjUIAAAACjEyLzMxLzIwMjMJAAAAATCmkh48DWPdCAQlnDwNY90IKENJUS5CT1ZFU1BBOk1HTFUzLklRX1RPVEFMX0FTU0VUUy5GWTIwMjMBAAAAp6VUAAIAAAALNzcxOS4wMzM2NjgBCAAAAAUAAAABMQEAAAALLTIwMDI3NjAwNzcDAAAAAzE2MAIAAAAEMTAwNwQAAAABMAcAAAAJMy8xNC8yMDI1CAAAAAoxMi8zMS8yMDIzCQAAAAEwppIePA1j3QgEJZw8DWPdCB5DSVEuQk9WRVNQQTpNR0xV</t>
  </si>
  <si>
    <t>My5JUV9SRS5GWTIwMTkBAAAAp6VUAAIAAAAKMzUwLjk2OTQ5OQEIAAAABQAAAAExAQAAAAoyMDgzNzM5NzE4AwAAAAMxNjACAAAABDEyMjIEAAAAATAHAAAACTMvMTQvMjAyNQgAAAAKMTIvMzEvMjAxOQkAAAABMKaSHjwNY90IBCWcPA1j3QgeQ0lRLkJPVkVTUEE6TUdMVTMuSVFfUkUuRlkyMDIwAQAAAKelVAACAAAACjMwMy4yNjAyMjUBCAAAAAUAAAABMQEAAAALLTIxMDg0MTk1ODUDAAAAAzE2MAIAAAAEMTIyMgQAAAABMAcAAAAJMy8xNC8yMDI1CAAAAAoxMi8zMS8yMDIwCQAAAAEwppIePA1j3QgEJZw8DWPdCB5DSVEuQk9WRVNQQTpNR0xVMy5JUV9SRS5GWTIwMjEBAAAAp6VUAAIAAAAKMzU3Ljg5OTIwNgEIAAAABQAAAAExAQAAAAstMjA1NjM5NjUyOAMAAAADMTYwAgAAAAQxMjIyBAAAAAEwBwAAAAkzLzE0LzIwMjUIAAAACjEyLzMxLzIwMjEJAAAAATCmkh48DWPdCAQlnDwNY90IHkNJUS5CT1ZFU1BBOk1HTFUzLklRX1JFLkZZMjAyMgEAAACnpVQAAgAAAAoyNzEuNzAyNjA3AQgAAAAFAAAAATEBAAAACy0yMDAyNzYwMDU5AwAAAAMxNjACAAAABDEyMjIEAAAAATAHAAAACTMvMTQvMjAyNQgAAAAKMTIvMzEvMjAyMgkAAAABMKaSHjwNY90IBCWcPA1j3QgeQ0lRLkJPVkVTUEE6TUdMVTMuSVFfUkUuRlkyMDIzAQAAAKelVAACAAAACTk0LjIzOTYzOQEIAAAABQAAAAExAQAAAAstMjAwMjc2MDA3</t>
  </si>
  <si>
    <t>NwMAAAADMTYwAgAAAAQxMjIyBAAAAAEwBwAAAAkzLzE0LzIwMjUIAAAACjEyLzMxLzIwMjMJAAAAATCmkh48DWPdCAQlnDwNY90IIENJUS5CT1ZFU1BBOk1HTFUzLklRX0VCSVQuRlkyMDE5AQAAAKelVAACAAAACjIxMS40MDQzNjgBCAAAAAUAAAABMQEAAAAKMjA4MzczOTcxOAMAAAADMTYwAgAAAAM0MDAEAAAAATAHAAAACTMvMTQvMjAyNQgAAAAKMTIvMzEvMjAxOQkAAAABMKaSHjwNY90IBCWcPA1j3QggQ0lRLkJPVkVTUEE6TUdMVTMuSVFfRUJJVC5GWTIwMjABAAAAp6VUAAIAAAAKMTIxLjI5MzgwNwEIAAAABQAAAAExAQAAAAstMjEwODQxOTU4NQMAAAADMTYwAgAAAAM0MDAEAAAAATAHAAAACTMvMTQvMjAyNQgAAAAKMTIvMzEvMjAyMAkAAAABMKaSHjwNY90IBCWcPA1j3QggQ0lRLkJPVkVTUEE6TUdMVTMuSVFfRUJJVC5GWTIwMjEBAAAAp6VUAAIAAAAJMTkuNjU1NDAxAQgAAAAFAAAAATEBAAAACy0yMDU2Mzk2NTI4AwAAAAMxNjACAAAAAzQwMAQAAAABMAcAAAAJMy8xNC8yMDI1CAAAAAoxMi8zMS8yMDIxCQAAAAEwppIePA1j3QgEJZw8DWPdCCBDSVEuQk9WRVNQQTpNR0xVMy5JUV9FQklULkZZMjAyMgEAAACnpVQAAgAAAAoxNzEuMjM1OTU1AQgAAAAFAAAAATEBAAAACy0yMDAyNzYwMDU5AwAAAAMxNjACAAAAAzQwMAQAAAABMAcAAAAJMy8xNC8yMDI1CAAAAAoxMi8zMS8yMDIyCQAAAAEw</t>
  </si>
  <si>
    <t>ppIePA1j3QgEJZw8DWPdCCBDSVEuQk9WRVNQQTpNR0xVMy5JUV9FQklULkZZMjAyMwEAAACnpVQAAgAAAAktOTkuNDA4OTQBCAAAAAUAAAABMQEAAAALLTIwMDI3NjAwNzcDAAAAAzE2MAIAAAADNDAwBAAAAAEwBwAAAAkzLzE0LzIwMjUIAAAACjEyLzMxLzIwMjMJAAAAATCmkh48DWPdCAQlnDwNY90IJkNJUS5CT1ZFU1BBOk1HTFUzLklRX1RPVEFMX0xJQUIuRlkyMDE5AQAAAKelVAACAAAACjMwNDEuNjMwMDEBCAAAAAUAAAABMQEAAAAKMjA4MzczOTcxOAMAAAADMTYwAgAAAAQxMjc2BAAAAAEwBwAAAAkzLzE0LzIwMjUIAAAACjEyLzMxLzIwMTkJAAAAATCmkh48DWPdCAQlnDwNY90IJkNJUS5CT1ZFU1BBOk1HTFUzLklRX1RPVEFMX0xJQUIuRlkyMDIwAQAAAKelVAACAAAACzMzMzUuNDk5NTAxAQgAAAAFAAAAATEBAAAACy0yMTA4NDE5NTg1AwAAAAMxNjACAAAABDEyNzYEAAAAATAHAAAACTMvMTQvMjAyNQgAAAAKMTIvMzEvMjAyMAkAAAABMKaSHjwNY90IBCWcPA1j3QgmQ0lRLkJPVkVTUEE6TUdMVTMuSVFfVE9UQUxfTElBQi5GWTIwMjEBAAAAp6VUAAIAAAALNDg2OC4wNjI3MTkBCAAAAAUAAAABMQEAAAALLTIwNTYzOTY1MjgDAAAAAzE2MAIAAAAEMTI3NgQAAAABMAcAAAAJMy8xNC8yMDI1CAAAAAoxMi8zMS8yMDIxCQAAAAEwppIePA1j3QgEJZw8DWPdCCZDSVEuQk9WRVNQQTpNR0xVMy5J</t>
  </si>
  <si>
    <t>UV9UT1RBTF9MSUFCLkZZMjAyMgEAAACnpVQAAgAAAAs1MTI5LjQxMDk3NgEIAAAABQAAAAExAQAAAAstMjAwMjc2MDA1OQMAAAADMTYwAgAAAAQxMjc2BAAAAAEwBwAAAAkzLzE0LzIwMjUIAAAACjEyLzMxLzIwMjIJAAAAATCmkh48DWPdCAQlnDwNY90IJkNJUS5CT1ZFU1BBOk1HTFUzLklRX1RPVEFMX0xJQUIuRlkyMDIzAQAAAKelVAACAAAACzU3MzguNDE5NTIzAQgAAAAFAAAAATEBAAAACy0yMDAyNzYwMDc3AwAAAAMxNjACAAAABDEyNzYEAAAAATAHAAAACTMvMTQvMjAyNQgAAAAKMTIvMzEvMjAyMwkAAAABMKaSHjwNY90IBCWcPA1j3QglQ0lRLkJPVkVTUEE6TUdMVTMuSVFfVE9UQUxfUkVWLkZZMjAxOQEAAACnpVQAAgAAAAs0OTQ3LjMzNTU1MQEIAAAABQAAAAExAQAAAAoyMDgzNzM5NzE4AwAAAAMxNjACAAAAAjI4BAAAAAEwBwAAAAkzLzE0LzIwMjUIAAAACjEyLzMxLzIwMTkJAAAAATCmkh48DWPdCAQlnDwNY90IJUNJUS5CT1ZFU1BBOk1HTFUzLklRX1RPVEFMX1JFVi5GWTIwMjABAAAAp6VUAAIAAAAKNTYxOC4zMzAzMgEIAAAABQAAAAExAQAAAAstMjEwODQxOTU4NQMAAAADMTYwAgAAAAIyOAQAAAABMAcAAAAJMy8xNC8yMDI1CAAAAAoxMi8zMS8yMDIwCQAAAAEwppIePA1j3QgEJZw8DWPdCCVDSVEuQk9WRVNQQTpNR0xVMy5JUV9UT1RBTF9SRVYuRlkyMDIxAQAAAKelVAACAAAACzYz</t>
  </si>
  <si>
    <t>MzEuNjY3MTg3AQgAAAAFAAAAATEBAAAACy0yMDU2Mzk2NTI4AwAAAAMxNjACAAAAAjI4BAAAAAEwBwAAAAkzLzE0LzIwMjUIAAAACjEyLzMxLzIwMjEJAAAAATCmkh48DWPdCAQlnDwNY90IJUNJUS5CT1ZFU1BBOk1HTFUzLklRX1RPVEFMX1JFVi5GWTIwMjIBAAAAp6VUAAIAAAAKNzA1NS4zODU3MQEIAAAABQAAAAExAQAAAAstMjAwMjc2MDA1OQMAAAADMTYwAgAAAAIyOAQAAAABMAcAAAAJMy8xNC8yMDI1CAAAAAoxMi8zMS8yMDIyCQAAAAEwppIePA1j3QgEJZw8DWPdCCVDSVEuQk9WRVNQQTpNR0xVMy5JUV9UT1RBTF9SRVYuRlkyMDIzAQAAAKelVAACAAAACzc1NzcuNDY4MjI0AQgAAAAFAAAAATEBAAAACy0yMDAyNzYwMDc3AwAAAAMxNjACAAAAAjI4BAAAAAEwBwAAAAkzLzE0LzIwMjUIAAAACjEyLzMxLzIwMjMJAAAAATCmkh48DWPdCGYLnDwNY90IJENJUS5CT1ZFU1BBOk1HTFUzLklRX1RPVEFMX0NBLkZZMjAxOQEAAACnpVQAAgAAAAszMTk0LjYzNjUyOAEIAAAABQAAAAExAQAAAAoyMDgzNzM5NzE4AwAAAAMxNjACAAAABDEwMDgEAAAAATAHAAAACTMvMTQvMjAyNQgAAAAKMTIvMzEvMjAxOQkAAAABMKaSHjwNY90IBCWcPA1j3QgkQ0lRLkJPVkVTUEE6TUdMVTMuSVFfVE9UQUxfQ0EuRlkyMDIwAQAAAKelVAACAAAACzMyMzQuNzcwNDcxAQgAAAAFAAAAATEBAAAACy0yMTA4NDE5NTg1AwAA</t>
  </si>
  <si>
    <t>AAMxNjACAAAABDEwMDgEAAAAATAHAAAACTMvMTQvMjAyNQgAAAAKMTIvMzEvMjAyMAkAAAABMKaSHjwNY90IBCWcPA1j3QgkQ0lRLkJPVkVTUEE6TUdMVTMuSVFfVE9UQUxfQ0EuRlkyMDIxAQAAAKelVAACAAAACzQzOTguOTgyMzY1AQgAAAAFAAAAATEBAAAACy0yMDU2Mzk2NTI4AwAAAAMxNjACAAAABDEwMDgEAAAAATAHAAAACTMvMTQvMjAyNQgAAAAKMTIvMzEvMjAyMQkAAAABMKaSHjwNY90IKpqbPA1j3QgkQ0lRLkJPVkVTUEE6TUdMVTMuSVFfVE9UQUxfQ0EuRlkyMDIyAQAAAKelVAACAAAACzQxNDkuNzYyODA3AQgAAAAFAAAAATEBAAAACy0yMDAyNzYwMDU5AwAAAAMxNjACAAAABDEwMDgEAAAAATAHAAAACTMvMTQvMjAyNQgAAAAKMTIvMzEvMjAyMgkAAAABMKaSHjwNY90IKpqbPA1j3QgkQ0lRLkJPVkVTUEE6TUdMVTMuSVFfVE9UQUxfQ0EuRlkyMDIzAQAAAKelVAACAAAACzQxNjcuMzM1NzA0AQgAAAAFAAAAATEBAAAACy0yMDAyNzYwMDc3AwAAAAMxNjACAAAABDEwMDgEAAAAATAHAAAACTMvMTQvMjAyNQgAAAAKMTIvMzEvMjAyMwkAAAABMKaSHjwNY90IKpqbPA1j3QgkQ0lRLkJPVkVTUEE6TUdMVTMuSVFfVE9UQUxfQ0wuRlkyMDE5AQAAAKelVAACAAAACjE5OTAuODkxMzgBCAAAAAUAAAABMQEAAAAKMjA4MzczOTcxOAMAAAADMTYwAgAAAAQxMDA5BAAAAAEwBwAAAAkzLzE0LzIwMjUI</t>
  </si>
  <si>
    <t>AAAACjEyLzMxLzIwMTkJAAAAATCmkh48DWPdCCqamzwNY90IJENJUS5CT1ZFU1BBOk1HTFUzLklRX1RPVEFMX0NMLkZZMjAyMAEAAACnpVQAAgAAAAsyNTgzLjQwNjE4NwEIAAAABQAAAAExAQAAAAstMjEwODQxOTU4NQMAAAADMTYwAgAAAAQxMDA5BAAAAAEwBwAAAAkzLzE0LzIwMjUIAAAACjEyLzMxLzIwMjAJAAAAATCmkh48DWPdCCqamzwNY90IJENJUS5CT1ZFU1BBOk1HTFUzLklRX1RPVEFMX0NMLkZZMjAyMQEAAACnpVQAAgAAAAsyNzM4LjMzNjQxOQEIAAAABQAAAAExAQAAAAstMjA1NjM5NjUyOAMAAAADMTYwAgAAAAQxMDA5BAAAAAEwBwAAAAkzLzE0LzIwMjUIAAAACjEyLzMxLzIwMjEJAAAAATCmkh48DWPdCCqamzwNY90IJENJUS5CT1ZFU1BBOk1HTFUzLklRX1RPVEFMX0NMLkZZMjAyMgEAAACnpVQAAgAAAAsyODA1Ljc1ODkwNwEIAAAABQAAAAExAQAAAAstMjAwMjc2MDA1OQMAAAADMTYwAgAAAAQxMDA5BAAAAAEwBwAAAAkzLzE0LzIwMjUIAAAACjEyLzMxLzIwMjIJAAAAATCmkh48DWPdCCqamzwNY90IJENJUS5CT1ZFU1BBOk1HTFUzLklRX1RPVEFMX0NMLkZZMjAyMwEAAACnpVQAAgAAAAszNTg3LjYwMzIwNQEIAAAABQAAAAExAQAAAAstMjAwMjc2MDA3NwMAAAADMTYwAgAAAAQxMDA5BAAAAAEwBwAAAAkzLzE0LzIwMjUIAAAACjEyLzMxLzIwMjMJAAAAATCmkh48DWPdCCqamzwN</t>
  </si>
  <si>
    <t>Y90I</t>
  </si>
  <si>
    <t xml:space="preserve"> Costco Wholesale Corporation (NasdaqGS:COST)</t>
  </si>
  <si>
    <t xml:space="preserve">Alibaba Group Holding Limited (NYSE:BABA) </t>
  </si>
  <si>
    <t>Carrefour SA (ENXTPA:CA)</t>
  </si>
  <si>
    <t xml:space="preserve">Magazine Luiza S.A. (BOVESPA:MGLU3)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</si>
</sst>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Aptos Narrow"/>
      <family val="2"/>
      <scheme val="minor"/>
    </font>
    <font>
      <b/>
      <sz val="11"/>
      <color indexed="8"/>
      <name val="Aptos Narrow"/>
      <family val="2"/>
    </font>
    <font>
      <vertAlign val="subscript"/>
      <sz val="11"/>
      <color indexed="8"/>
      <name val="Aptos Narrow"/>
      <family val="2"/>
    </font>
    <font>
      <b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</font>
    <font>
      <sz val="11"/>
      <color rgb="FF000000"/>
      <name val="Aptos Narrow"/>
      <family val="2"/>
      <scheme val="minor"/>
    </font>
    <font>
      <b/>
      <vertAlign val="subscript"/>
      <sz val="11"/>
      <color rgb="FF000000"/>
      <name val="Aptos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899960325937681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justify"/>
    </xf>
    <xf numFmtId="0" fontId="0" fillId="0" borderId="0" xfId="0" applyAlignment="1">
      <alignment horizontal="justify" wrapText="1"/>
    </xf>
    <xf numFmtId="0" fontId="0" fillId="3" borderId="0" xfId="0" applyFill="1"/>
    <xf numFmtId="0" fontId="1" fillId="4" borderId="0" xfId="0" applyFont="1" applyFill="1"/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4" borderId="0" xfId="0" applyFont="1" applyFill="1"/>
    <xf numFmtId="0" fontId="1" fillId="0" borderId="0" xfId="0" applyFont="1" applyAlignment="1">
      <alignment horizontal="center" wrapText="1"/>
    </xf>
    <xf numFmtId="0" fontId="3" fillId="5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36F4-3DB9-4257-9229-8F2585230B29}">
  <dimension ref="A1:BJ1"/>
  <sheetViews>
    <sheetView workbookViewId="0"/>
  </sheetViews>
  <sheetFormatPr defaultRowHeight="14.4" x14ac:dyDescent="0.3"/>
  <sheetData>
    <row r="1" spans="1:62" x14ac:dyDescent="0.3">
      <c r="A1">
        <v>62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276A-CDCA-4B43-A40E-35BB274B964F}">
  <sheetPr codeName="Sheet2"/>
  <dimension ref="A1:I28"/>
  <sheetViews>
    <sheetView tabSelected="1" zoomScale="80" zoomScaleNormal="80" workbookViewId="0">
      <selection activeCell="L18" sqref="L18"/>
    </sheetView>
  </sheetViews>
  <sheetFormatPr defaultRowHeight="14.4" x14ac:dyDescent="0.3"/>
  <cols>
    <col min="1" max="1" width="19.33203125" customWidth="1"/>
    <col min="2" max="2" width="53.77734375" bestFit="1" customWidth="1"/>
    <col min="3" max="3" width="40.44140625" customWidth="1"/>
    <col min="4" max="4" width="15.109375" customWidth="1"/>
    <col min="5" max="5" width="14" customWidth="1"/>
    <col min="6" max="8" width="14.33203125" bestFit="1" customWidth="1"/>
    <col min="9" max="9" width="14.33203125" customWidth="1"/>
    <col min="12" max="12" width="16.5546875" customWidth="1"/>
  </cols>
  <sheetData>
    <row r="1" spans="1:9" ht="15.6" x14ac:dyDescent="0.35">
      <c r="B1" s="8" t="s">
        <v>0</v>
      </c>
      <c r="C1" s="2"/>
      <c r="D1" s="2"/>
      <c r="E1" s="2"/>
      <c r="F1" s="1"/>
    </row>
    <row r="2" spans="1:9" x14ac:dyDescent="0.3">
      <c r="B2" t="s">
        <v>31</v>
      </c>
      <c r="G2" s="16" t="s">
        <v>32</v>
      </c>
      <c r="H2" s="17"/>
    </row>
    <row r="3" spans="1:9" x14ac:dyDescent="0.3">
      <c r="D3" s="13">
        <v>43496</v>
      </c>
      <c r="E3" s="13">
        <v>43861</v>
      </c>
      <c r="F3" s="13">
        <v>44227</v>
      </c>
      <c r="G3" s="13">
        <v>44592</v>
      </c>
      <c r="H3" s="13">
        <v>44957</v>
      </c>
      <c r="I3" s="13">
        <v>45322</v>
      </c>
    </row>
    <row r="4" spans="1:9" x14ac:dyDescent="0.3">
      <c r="B4" s="7" t="s">
        <v>1</v>
      </c>
      <c r="C4" s="7" t="s">
        <v>2</v>
      </c>
    </row>
    <row r="5" spans="1:9" ht="15.6" x14ac:dyDescent="0.35">
      <c r="B5" s="5" t="s">
        <v>3</v>
      </c>
      <c r="C5" s="5" t="s">
        <v>4</v>
      </c>
      <c r="D5">
        <f>VLOOKUP($C$5,$C$15:$I$28,2,)</f>
        <v>-7.1045851478601887E-2</v>
      </c>
      <c r="E5">
        <f>VLOOKUP($C$5,$C$15:$I$28,3,)</f>
        <v>-6.7587052580392826E-2</v>
      </c>
      <c r="F5">
        <f>VLOOKUP($C$5,$C$15:$I$28,4,)</f>
        <v>-1.0210062733667067E-2</v>
      </c>
      <c r="G5">
        <f>VLOOKUP($C$5,$C$15:$I$28,5,)</f>
        <v>-2.5765743690271993E-2</v>
      </c>
      <c r="H5">
        <f>VLOOKUP($C$5,$C$15:$I$28,6,)</f>
        <v>-6.8023043047406015E-2</v>
      </c>
      <c r="I5">
        <f>VLOOKUP($C$5,$C$15:$I$28,7,)</f>
        <v>-6.1561258166632993E-2</v>
      </c>
    </row>
    <row r="6" spans="1:9" ht="15.6" x14ac:dyDescent="0.35">
      <c r="B6" s="5" t="s">
        <v>5</v>
      </c>
      <c r="C6" s="5" t="s">
        <v>6</v>
      </c>
      <c r="D6">
        <f>VLOOKUP($C$6,$C$15:$I$28,2,)</f>
        <v>0.36838505209877109</v>
      </c>
      <c r="E6">
        <f>VLOOKUP($C$6,$C$15:$I$28,3,)</f>
        <v>0.35494619336561023</v>
      </c>
      <c r="F6">
        <f>VLOOKUP($C$6,$C$15:$I$28,4,)</f>
        <v>0.35154220264875485</v>
      </c>
      <c r="G6">
        <f>VLOOKUP($C$6,$C$15:$I$28,5,)</f>
        <v>0.35491301151678506</v>
      </c>
      <c r="H6">
        <f>VLOOKUP($C$6,$C$15:$I$28,6,)</f>
        <v>0.34184221022463274</v>
      </c>
      <c r="I6">
        <f>VLOOKUP($C$6,$C$15:$I$28,7,)</f>
        <v>0.35584134643956589</v>
      </c>
    </row>
    <row r="7" spans="1:9" ht="15.6" x14ac:dyDescent="0.35">
      <c r="B7" s="5" t="s">
        <v>7</v>
      </c>
      <c r="C7" s="5" t="s">
        <v>24</v>
      </c>
      <c r="D7">
        <f>VLOOKUP($C$7,$C$15:$I$28,2,)</f>
        <v>0.10012540185594748</v>
      </c>
      <c r="E7">
        <f>VLOOKUP($C$7,$C$15:$I$28,3,)</f>
        <v>9.0775703503245306E-2</v>
      </c>
      <c r="F7">
        <f>VLOOKUP($C$7,$C$15:$I$28,4,)</f>
        <v>8.930042456118116E-2</v>
      </c>
      <c r="G7">
        <f>VLOOKUP($C$7,$C$15:$I$28,5,)</f>
        <v>0.10594625500285877</v>
      </c>
      <c r="H7">
        <f>VLOOKUP($C$7,$C$15:$I$28,6,)</f>
        <v>0.10085650727599435</v>
      </c>
      <c r="I7">
        <f>VLOOKUP($C$7,$C$15:$I$28,7,)</f>
        <v>0.10702102623227509</v>
      </c>
    </row>
    <row r="8" spans="1:9" ht="15.6" x14ac:dyDescent="0.35">
      <c r="B8" s="5" t="s">
        <v>8</v>
      </c>
      <c r="C8" s="5" t="s">
        <v>9</v>
      </c>
      <c r="D8">
        <f>VLOOKUP($C$8,$C$15:$I$28,2,)</f>
        <v>1.9957785174100142</v>
      </c>
      <c r="E8">
        <f>VLOOKUP($C$8,$C$15:$I$28,3,)</f>
        <v>2.0833121519526534</v>
      </c>
      <c r="F8">
        <f>VLOOKUP($C$8,$C$15:$I$28,4,)</f>
        <v>2.2496955249901491</v>
      </c>
      <c r="G8">
        <f>VLOOKUP($C$8,$C$15:$I$28,5,)</f>
        <v>2.6163394494309307</v>
      </c>
      <c r="H8">
        <f>VLOOKUP($C$8,$C$15:$I$28,6,)</f>
        <v>2.360303202580305</v>
      </c>
      <c r="I8">
        <f>VLOOKUP($C$8,$C$15:$I$28,7,)</f>
        <v>3.0214943862619572</v>
      </c>
    </row>
    <row r="9" spans="1:9" ht="15.6" x14ac:dyDescent="0.35">
      <c r="B9" s="5" t="s">
        <v>10</v>
      </c>
      <c r="C9" s="5" t="s">
        <v>11</v>
      </c>
      <c r="D9">
        <f>VLOOKUP($C$9,$C$15:$I$28,2,)</f>
        <v>2.3457215166784469</v>
      </c>
      <c r="E9">
        <f>VLOOKUP($C$9,$C$15:$I$28,3,)</f>
        <v>2.2155394405801392</v>
      </c>
      <c r="F9">
        <f>VLOOKUP($C$9,$C$15:$I$28,4,)</f>
        <v>2.2144944870413785</v>
      </c>
      <c r="G9">
        <f>VLOOKUP($C$9,$C$15:$I$28,5,)</f>
        <v>2.3391080617495712</v>
      </c>
      <c r="H9">
        <f>VLOOKUP($C$9,$C$15:$I$28,6,)</f>
        <v>2.5135548547062667</v>
      </c>
      <c r="I9">
        <f>VLOOKUP($C$9,$C$15:$I$28,7,)</f>
        <v>2.5678588266989966</v>
      </c>
    </row>
    <row r="11" spans="1:9" x14ac:dyDescent="0.3">
      <c r="C11" s="4" t="s">
        <v>12</v>
      </c>
      <c r="D11" s="14">
        <f>1.2*(D5)+1.4*(D6)+3.3*(D7)+0.6*(D8)+0.999*(D9)</f>
        <v>4.3017407828963607</v>
      </c>
      <c r="E11" s="14">
        <f t="shared" ref="E11:I11" si="0">1.2*(E5)+1.4*(E6)+3.3*(E7)+0.6*(E8)+0.999*(E9)</f>
        <v>4.1786912214872434</v>
      </c>
      <c r="F11" s="14">
        <f t="shared" si="0"/>
        <v>4.3366957170281806</v>
      </c>
      <c r="G11" s="14">
        <f t="shared" si="0"/>
        <v>4.7221545885509872</v>
      </c>
      <c r="H11" s="14">
        <f t="shared" si="0"/>
        <v>4.6570011380681233</v>
      </c>
      <c r="I11" s="14">
        <f t="shared" si="0"/>
        <v>5.1556613614114122</v>
      </c>
    </row>
    <row r="13" spans="1:9" x14ac:dyDescent="0.3">
      <c r="C13" s="5"/>
      <c r="D13" s="5"/>
      <c r="E13" s="5"/>
      <c r="F13" s="5"/>
      <c r="G13" s="5"/>
      <c r="H13" s="5"/>
      <c r="I13" s="5"/>
    </row>
    <row r="14" spans="1:9" x14ac:dyDescent="0.3">
      <c r="C14" s="5"/>
      <c r="D14" s="13">
        <v>43496</v>
      </c>
      <c r="E14" s="13">
        <v>43861</v>
      </c>
      <c r="F14" s="13">
        <v>44227</v>
      </c>
      <c r="G14" s="13">
        <v>44592</v>
      </c>
      <c r="H14" s="13">
        <v>44957</v>
      </c>
      <c r="I14" s="13">
        <v>45322</v>
      </c>
    </row>
    <row r="15" spans="1:9" x14ac:dyDescent="0.3">
      <c r="A15" s="9" t="s">
        <v>13</v>
      </c>
      <c r="B15" s="10"/>
      <c r="C15" s="10" t="s">
        <v>14</v>
      </c>
      <c r="D15" s="5">
        <f>_xll.ciqfunctions.udf.CIQ("NYSE:WMT", "IQ_TOTAL_CA", "FY2019", , , , "USD")/1000</f>
        <v>61.896999999999998</v>
      </c>
      <c r="E15" s="5">
        <f>_xll.ciqfunctions.udf.CIQ("NYSE:WMT", "IQ_TOTAL_CA", "FY2020")/1000</f>
        <v>61.805999999999997</v>
      </c>
      <c r="F15" s="5">
        <f>_xll.ciqfunctions.udf.CIQ("NYSE:WMT", "IQ_TOTAL_CA", "FY2021")/1000</f>
        <v>90.066999999999993</v>
      </c>
      <c r="G15" s="11">
        <f>_xll.ciqfunctions.udf.CIQ("NYSE:WMT", "IQ_TOTAL_CA", "FY2022")/1000</f>
        <v>81.069999999999993</v>
      </c>
      <c r="H15" s="5">
        <f>_xll.ciqfunctions.udf.CIQ("NYSE:WMT", "IQ_TOTAL_CA", "FY2023")/1000</f>
        <v>75.655000000000001</v>
      </c>
      <c r="I15" s="5">
        <f>_xll.ciqfunctions.udf.CIQ("NYSE:WMT", "IQ_TOTAL_CA", "FY2024")/1000</f>
        <v>76.876999999999995</v>
      </c>
    </row>
    <row r="16" spans="1:9" x14ac:dyDescent="0.3">
      <c r="A16" s="9" t="s">
        <v>13</v>
      </c>
      <c r="B16" s="10"/>
      <c r="C16" s="10" t="s">
        <v>15</v>
      </c>
      <c r="D16" s="5">
        <f>_xll.ciqfunctions.udf.CIQ("NYSE:WMT", "IQ_TOTAL_CL", "FY2019")/1000</f>
        <v>77.477000000000004</v>
      </c>
      <c r="E16" s="5">
        <f>_xll.ciqfunctions.udf.CIQ("NYSE:WMT", "IQ_TOTAL_CL", "FY2020")/1000</f>
        <v>77.790000000000006</v>
      </c>
      <c r="F16" s="5">
        <f>_xll.ciqfunctions.udf.CIQ("NYSE:WMT", "IQ_TOTAL_CL", "FY2021")/1000</f>
        <v>92.644999999999996</v>
      </c>
      <c r="G16" s="5">
        <f>_xll.ciqfunctions.udf.CIQ("NYSE:WMT", "IQ_TOTAL_CL", "FY2022")/1000</f>
        <v>87.379000000000005</v>
      </c>
      <c r="H16" s="5">
        <f>_xll.ciqfunctions.udf.CIQ("NYSE:WMT", "IQ_TOTAL_CL", "FY2023")/1000</f>
        <v>92.197999999999993</v>
      </c>
      <c r="I16" s="5">
        <f>_xll.ciqfunctions.udf.CIQ("NYSE:WMT", "IQ_TOTAL_CL", "FY2024")/1000</f>
        <v>92.415000000000006</v>
      </c>
    </row>
    <row r="17" spans="1:9" x14ac:dyDescent="0.3">
      <c r="A17" s="10"/>
      <c r="B17" s="10"/>
      <c r="C17" s="10" t="s">
        <v>16</v>
      </c>
      <c r="D17" s="5">
        <f>_xll.ciqfunctions.udf.CIQ("NYSE:WMT", "IQ_WORKING_CAP", "FY2019")/1000</f>
        <v>-15.58</v>
      </c>
      <c r="E17" s="5">
        <f>_xll.ciqfunctions.udf.CIQ("NYSE:WMT", "IQ_WORKING_CAP", "FY2020")/1000</f>
        <v>-15.984</v>
      </c>
      <c r="F17" s="5">
        <f>_xll.ciqfunctions.udf.CIQ("NYSE:WMT", "IQ_WORKING_CAP", "FY2021")/1000</f>
        <v>-2.5779999999999998</v>
      </c>
      <c r="G17" s="5">
        <f>_xll.ciqfunctions.udf.CIQ("NYSE:WMT", "IQ_WORKING_CAP", "FY2022")/1000</f>
        <v>-6.3090000000000002</v>
      </c>
      <c r="H17" s="5">
        <f>_xll.ciqfunctions.udf.CIQ("NYSE:WMT", "IQ_WORKING_CAP", "FY2023")/1000</f>
        <v>-16.542999999999999</v>
      </c>
      <c r="I17" s="5">
        <f>_xll.ciqfunctions.udf.CIQ("NYSE:WMT", "IQ_WORKING_CAP", "FY2024")/1000</f>
        <v>-15.538</v>
      </c>
    </row>
    <row r="18" spans="1:9" x14ac:dyDescent="0.3">
      <c r="A18" s="9" t="s">
        <v>13</v>
      </c>
      <c r="B18" s="10"/>
      <c r="C18" s="10" t="s">
        <v>17</v>
      </c>
      <c r="D18" s="5">
        <f>_xll.ciqfunctions.udf.CIQ("NYSE:WMT", "IQ_TOTAL_ASSETS", "FY2019")/1000</f>
        <v>219.29499999999999</v>
      </c>
      <c r="E18" s="5">
        <f>_xll.ciqfunctions.udf.CIQ("NYSE:WMT", "IQ_TOTAL_ASSETS", "FY2020")/1000</f>
        <v>236.495</v>
      </c>
      <c r="F18" s="5">
        <f>_xll.ciqfunctions.udf.CIQ("NYSE:WMT", "IQ_TOTAL_ASSETS", "FY2021")/1000</f>
        <v>252.49600000000001</v>
      </c>
      <c r="G18" s="5">
        <f>_xll.ciqfunctions.udf.CIQ("NYSE:WMT", "IQ_TOTAL_ASSETS", "FY2022")/1000</f>
        <v>244.86</v>
      </c>
      <c r="H18" s="5">
        <f>_xll.ciqfunctions.udf.CIQ("NYSE:WMT", "IQ_TOTAL_ASSETS", "FY2023")/1000</f>
        <v>243.197</v>
      </c>
      <c r="I18" s="5">
        <f>_xll.ciqfunctions.udf.CIQ("NYSE:WMT", "IQ_TOTAL_ASSETS", "FY2024")/1000</f>
        <v>252.399</v>
      </c>
    </row>
    <row r="19" spans="1:9" ht="15.6" x14ac:dyDescent="0.35">
      <c r="A19" s="10"/>
      <c r="B19" s="12" t="s">
        <v>18</v>
      </c>
      <c r="C19" s="12" t="s">
        <v>4</v>
      </c>
      <c r="D19" s="6">
        <f>D17/D18</f>
        <v>-7.1045851478601887E-2</v>
      </c>
      <c r="E19" s="6">
        <f t="shared" ref="E19:I19" si="1">E17/E18</f>
        <v>-6.7587052580392826E-2</v>
      </c>
      <c r="F19" s="6">
        <f t="shared" si="1"/>
        <v>-1.0210062733667067E-2</v>
      </c>
      <c r="G19" s="6">
        <f t="shared" si="1"/>
        <v>-2.5765743690271993E-2</v>
      </c>
      <c r="H19" s="6">
        <f t="shared" si="1"/>
        <v>-6.8023043047406015E-2</v>
      </c>
      <c r="I19" s="6">
        <f t="shared" si="1"/>
        <v>-6.1561258166632993E-2</v>
      </c>
    </row>
    <row r="20" spans="1:9" x14ac:dyDescent="0.3">
      <c r="A20" s="9" t="s">
        <v>13</v>
      </c>
      <c r="B20" s="10"/>
      <c r="C20" s="10" t="s">
        <v>19</v>
      </c>
      <c r="D20" s="5">
        <f>_xll.ciqfunctions.udf.CIQ("NYSE:WMT", "IQ_RE", "FY2019")/1000</f>
        <v>80.784999999999997</v>
      </c>
      <c r="E20" s="5">
        <f>_xll.ciqfunctions.udf.CIQ("NYSE:WMT", "IQ_RE", "FY2020")/1000</f>
        <v>83.942999999999998</v>
      </c>
      <c r="F20" s="5">
        <f>_xll.ciqfunctions.udf.CIQ("NYSE:WMT", "IQ_RE", "FY2021")/1000</f>
        <v>88.763000000000005</v>
      </c>
      <c r="G20" s="5">
        <f>_xll.ciqfunctions.udf.CIQ("NYSE:WMT", "IQ_RE", "FY2022")/1000</f>
        <v>86.903999999999996</v>
      </c>
      <c r="H20" s="5">
        <f>_xll.ciqfunctions.udf.CIQ("NYSE:WMT", "IQ_RE", "FY2023")/1000</f>
        <v>83.135000000000005</v>
      </c>
      <c r="I20" s="5">
        <f>_xll.ciqfunctions.udf.CIQ("NYSE:WMT", "IQ_RE", "FY2024")/1000</f>
        <v>89.813999999999993</v>
      </c>
    </row>
    <row r="21" spans="1:9" ht="15.6" x14ac:dyDescent="0.35">
      <c r="A21" s="10"/>
      <c r="B21" s="12" t="s">
        <v>20</v>
      </c>
      <c r="C21" s="12" t="s">
        <v>6</v>
      </c>
      <c r="D21" s="6">
        <f>D20/D18</f>
        <v>0.36838505209877109</v>
      </c>
      <c r="E21" s="6">
        <f t="shared" ref="E21:I21" si="2">E20/E18</f>
        <v>0.35494619336561023</v>
      </c>
      <c r="F21" s="6">
        <f t="shared" si="2"/>
        <v>0.35154220264875485</v>
      </c>
      <c r="G21" s="6">
        <f t="shared" si="2"/>
        <v>0.35491301151678506</v>
      </c>
      <c r="H21" s="6">
        <f t="shared" si="2"/>
        <v>0.34184221022463274</v>
      </c>
      <c r="I21" s="6">
        <f t="shared" si="2"/>
        <v>0.35584134643956589</v>
      </c>
    </row>
    <row r="22" spans="1:9" x14ac:dyDescent="0.3">
      <c r="A22" s="9" t="s">
        <v>21</v>
      </c>
      <c r="B22" s="10"/>
      <c r="C22" s="10" t="s">
        <v>22</v>
      </c>
      <c r="D22" s="5">
        <f>_xll.ciqfunctions.udf.CIQ("NYSE:WMT", "IQ_EBIT", "FY2019")/1000</f>
        <v>21.957000000000001</v>
      </c>
      <c r="E22" s="5">
        <f>_xll.ciqfunctions.udf.CIQ("NYSE:WMT", "IQ_EBIT", "FY2020")/1000</f>
        <v>21.468</v>
      </c>
      <c r="F22" s="5">
        <f>_xll.ciqfunctions.udf.CIQ("NYSE:WMT", "IQ_EBIT", "FY2021")/1000</f>
        <v>22.547999999999998</v>
      </c>
      <c r="G22" s="5">
        <f>_xll.ciqfunctions.udf.CIQ("NYSE:WMT", "IQ_EBIT", "FY2022")/1000</f>
        <v>25.942</v>
      </c>
      <c r="H22" s="5">
        <f>_xll.ciqfunctions.udf.CIQ("NYSE:WMT", "IQ_EBIT", "FY2023")/1000</f>
        <v>24.527999999999999</v>
      </c>
      <c r="I22" s="5">
        <f>_xll.ciqfunctions.udf.CIQ("NYSE:WMT", "IQ_EBIT", "FY2024")/1000</f>
        <v>27.012</v>
      </c>
    </row>
    <row r="23" spans="1:9" ht="15.6" x14ac:dyDescent="0.35">
      <c r="A23" s="10"/>
      <c r="B23" s="12" t="s">
        <v>23</v>
      </c>
      <c r="C23" s="12" t="s">
        <v>24</v>
      </c>
      <c r="D23" s="6">
        <f>D22/D18</f>
        <v>0.10012540185594748</v>
      </c>
      <c r="E23" s="6">
        <f t="shared" ref="E23:I23" si="3">E22/E18</f>
        <v>9.0775703503245306E-2</v>
      </c>
      <c r="F23" s="6">
        <f t="shared" si="3"/>
        <v>8.930042456118116E-2</v>
      </c>
      <c r="G23" s="6">
        <f t="shared" si="3"/>
        <v>0.10594625500285877</v>
      </c>
      <c r="H23" s="6">
        <f t="shared" si="3"/>
        <v>0.10085650727599435</v>
      </c>
      <c r="I23" s="6">
        <f t="shared" si="3"/>
        <v>0.10702102623227509</v>
      </c>
    </row>
    <row r="24" spans="1:9" x14ac:dyDescent="0.3">
      <c r="A24" s="9" t="s">
        <v>25</v>
      </c>
      <c r="B24" s="10"/>
      <c r="C24" s="10" t="s">
        <v>26</v>
      </c>
      <c r="D24" s="5">
        <f>_xll.ciqfunctions.udf.CIQ("NYSE:WMT", "IQ_MARKETCAP", "28/03/2019")/1000</f>
        <v>278.73242352</v>
      </c>
      <c r="E24" s="5">
        <f>_xll.ciqfunctions.udf.CIQ("NYSE:WMT", "IQ_MARKETCAP", "20/03/2020")/1000</f>
        <v>322.79463476000001</v>
      </c>
      <c r="F24" s="5">
        <f>_xll.ciqfunctions.udf.CIQ("NYSE:WMT", "IQ_MARKETCAP", "19/03/2021")/1000</f>
        <v>371.12102227999998</v>
      </c>
      <c r="G24" s="5">
        <f>_xll.ciqfunctions.udf.CIQ("NYSE:WMT", "IQ_MARKETCAP", "18/03/2022")/1000</f>
        <v>400.21882923999999</v>
      </c>
      <c r="H24" s="5">
        <f>_xll.ciqfunctions.udf.CIQ("NYSE:WMT", "IQ_MARKETCAP", "17/03/2023")/1000</f>
        <v>375.77443167000001</v>
      </c>
      <c r="I24" s="5">
        <f>_xll.ciqfunctions.udf.CIQ("NYSE:WMT", "IQ_MARKETCAP", "15/03/2024")/1000</f>
        <v>488.96239353999999</v>
      </c>
    </row>
    <row r="25" spans="1:9" x14ac:dyDescent="0.3">
      <c r="A25" s="9" t="s">
        <v>13</v>
      </c>
      <c r="B25" s="10"/>
      <c r="C25" s="10" t="s">
        <v>27</v>
      </c>
      <c r="D25" s="5">
        <f>_xll.ciqfunctions.udf.CIQ("NYSE:WMT", "IQ_TOTAL_LIAB", "FY2019")/1000</f>
        <v>139.661</v>
      </c>
      <c r="E25" s="5">
        <f>_xll.ciqfunctions.udf.CIQ("NYSE:WMT", "IQ_TOTAL_LIAB", "FY2020")/1000</f>
        <v>154.94300000000001</v>
      </c>
      <c r="F25" s="5">
        <f>_xll.ciqfunctions.udf.CIQ("NYSE:WMT", "IQ_TOTAL_LIAB", "FY2021")/1000</f>
        <v>164.965</v>
      </c>
      <c r="G25" s="5">
        <f>_xll.ciqfunctions.udf.CIQ("NYSE:WMT", "IQ_TOTAL_LIAB", "FY2022")/1000</f>
        <v>152.96899999999999</v>
      </c>
      <c r="H25" s="5">
        <f>_xll.ciqfunctions.udf.CIQ("NYSE:WMT", "IQ_TOTAL_LIAB", "FY2023")/1000</f>
        <v>159.20599999999999</v>
      </c>
      <c r="I25" s="5">
        <f>_xll.ciqfunctions.udf.CIQ("NYSE:WMT", "IQ_TOTAL_LIAB", "FY2024")/1000</f>
        <v>161.828</v>
      </c>
    </row>
    <row r="26" spans="1:9" ht="15.6" x14ac:dyDescent="0.35">
      <c r="A26" s="10"/>
      <c r="B26" s="12" t="s">
        <v>28</v>
      </c>
      <c r="C26" s="12" t="s">
        <v>9</v>
      </c>
      <c r="D26" s="6">
        <f>D24/D25</f>
        <v>1.9957785174100142</v>
      </c>
      <c r="E26" s="6">
        <f t="shared" ref="E26:I26" si="4">E24/E25</f>
        <v>2.0833121519526534</v>
      </c>
      <c r="F26" s="6">
        <f t="shared" si="4"/>
        <v>2.2496955249901491</v>
      </c>
      <c r="G26" s="6">
        <f t="shared" si="4"/>
        <v>2.6163394494309307</v>
      </c>
      <c r="H26" s="6">
        <f t="shared" si="4"/>
        <v>2.360303202580305</v>
      </c>
      <c r="I26" s="6">
        <f t="shared" si="4"/>
        <v>3.0214943862619572</v>
      </c>
    </row>
    <row r="27" spans="1:9" x14ac:dyDescent="0.3">
      <c r="A27" s="9" t="s">
        <v>21</v>
      </c>
      <c r="B27" s="10"/>
      <c r="C27" s="10" t="s">
        <v>29</v>
      </c>
      <c r="D27" s="5">
        <f>_xll.ciqfunctions.udf.CIQ("NYSE:WMT", "IQ_TOTAL_REV", "FY2019")/1000</f>
        <v>514.40499999999997</v>
      </c>
      <c r="E27" s="5">
        <f>_xll.ciqfunctions.udf.CIQ("NYSE:WMT", "IQ_TOTAL_REV", "FY2020")/1000</f>
        <v>523.96400000000006</v>
      </c>
      <c r="F27" s="5">
        <f>_xll.ciqfunctions.udf.CIQ("NYSE:WMT", "IQ_TOTAL_REV", "FY2021")/1000</f>
        <v>559.15099999999995</v>
      </c>
      <c r="G27" s="5">
        <f>_xll.ciqfunctions.udf.CIQ("NYSE:WMT", "IQ_TOTAL_REV", "FY2022")/1000</f>
        <v>572.75400000000002</v>
      </c>
      <c r="H27" s="5">
        <f>_xll.ciqfunctions.udf.CIQ("NYSE:WMT", "IQ_TOTAL_REV", "FY2023")/1000</f>
        <v>611.28899999999999</v>
      </c>
      <c r="I27" s="5">
        <f>_xll.ciqfunctions.udf.CIQ("NYSE:WMT", "IQ_TOTAL_REV", "FY2024")/1000</f>
        <v>648.125</v>
      </c>
    </row>
    <row r="28" spans="1:9" ht="15.6" x14ac:dyDescent="0.35">
      <c r="A28" s="3"/>
      <c r="B28" s="12" t="s">
        <v>30</v>
      </c>
      <c r="C28" s="12" t="s">
        <v>11</v>
      </c>
      <c r="D28" s="6">
        <f>D27/D18</f>
        <v>2.3457215166784469</v>
      </c>
      <c r="E28" s="6">
        <f t="shared" ref="E28:I28" si="5">E27/E18</f>
        <v>2.2155394405801392</v>
      </c>
      <c r="F28" s="6">
        <f t="shared" si="5"/>
        <v>2.2144944870413785</v>
      </c>
      <c r="G28" s="6">
        <f t="shared" si="5"/>
        <v>2.3391080617495712</v>
      </c>
      <c r="H28" s="6">
        <f t="shared" si="5"/>
        <v>2.5135548547062667</v>
      </c>
      <c r="I28" s="6">
        <f t="shared" si="5"/>
        <v>2.5678588266989966</v>
      </c>
    </row>
  </sheetData>
  <mergeCells count="1">
    <mergeCell ref="G2:H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2149-E0D8-4652-87B9-D36979F0B448}">
  <sheetPr codeName="Sheet4"/>
  <dimension ref="A1:I28"/>
  <sheetViews>
    <sheetView zoomScale="70" zoomScaleNormal="70" workbookViewId="0">
      <selection activeCell="K9" sqref="K9"/>
    </sheetView>
  </sheetViews>
  <sheetFormatPr defaultRowHeight="14.4" x14ac:dyDescent="0.3"/>
  <cols>
    <col min="1" max="1" width="19.33203125" customWidth="1"/>
    <col min="2" max="2" width="50.21875" bestFit="1" customWidth="1"/>
    <col min="3" max="3" width="40.44140625" customWidth="1"/>
    <col min="4" max="4" width="25.88671875" bestFit="1" customWidth="1"/>
    <col min="5" max="7" width="23" bestFit="1" customWidth="1"/>
    <col min="8" max="9" width="25.88671875" bestFit="1" customWidth="1"/>
    <col min="12" max="12" width="16.5546875" customWidth="1"/>
  </cols>
  <sheetData>
    <row r="1" spans="1:9" ht="15.6" x14ac:dyDescent="0.35">
      <c r="B1" s="8" t="s">
        <v>0</v>
      </c>
      <c r="C1" s="2"/>
      <c r="D1" s="2"/>
      <c r="E1" s="2"/>
      <c r="F1" s="1"/>
    </row>
    <row r="2" spans="1:9" x14ac:dyDescent="0.3">
      <c r="B2" t="s">
        <v>31</v>
      </c>
      <c r="G2" s="16" t="s">
        <v>94</v>
      </c>
      <c r="H2" s="17"/>
    </row>
    <row r="3" spans="1:9" x14ac:dyDescent="0.3">
      <c r="D3" s="13">
        <v>43709</v>
      </c>
      <c r="E3" s="13">
        <v>44073</v>
      </c>
      <c r="F3" s="13">
        <v>44437</v>
      </c>
      <c r="G3" s="13">
        <v>44801</v>
      </c>
      <c r="H3" s="13">
        <v>45172</v>
      </c>
      <c r="I3" s="13">
        <v>45536</v>
      </c>
    </row>
    <row r="4" spans="1:9" x14ac:dyDescent="0.3">
      <c r="B4" s="7" t="s">
        <v>1</v>
      </c>
      <c r="C4" s="7" t="s">
        <v>2</v>
      </c>
    </row>
    <row r="5" spans="1:9" ht="15.6" x14ac:dyDescent="0.35">
      <c r="B5" s="5" t="s">
        <v>3</v>
      </c>
      <c r="C5" s="5" t="s">
        <v>4</v>
      </c>
      <c r="D5">
        <f>VLOOKUP($C$5,$C$15:$I$28,2,)</f>
        <v>5.4625550660792957E-3</v>
      </c>
      <c r="E5">
        <f>VLOOKUP($C$5,$C$15:$I$28,3,)</f>
        <v>5.8967528259773923E-2</v>
      </c>
      <c r="F5">
        <f>VLOOKUP($C$5,$C$15:$I$28,4,)</f>
        <v>1.0798407234932847E-3</v>
      </c>
      <c r="G5">
        <f>VLOOKUP($C$5,$C$15:$I$28,5,)</f>
        <v>1.0878035096468534E-2</v>
      </c>
      <c r="H5">
        <f>VLOOKUP($C$5,$C$15:$I$28,6,)</f>
        <v>3.3278256080238856E-2</v>
      </c>
      <c r="I5">
        <f>VLOOKUP($C$5,$C$15:$I$28,7,)</f>
        <v>-1.7442110237573569E-2</v>
      </c>
    </row>
    <row r="6" spans="1:9" ht="15.6" x14ac:dyDescent="0.35">
      <c r="B6" s="5" t="s">
        <v>5</v>
      </c>
      <c r="C6" s="5" t="s">
        <v>6</v>
      </c>
      <c r="D6">
        <f>VLOOKUP($C$6,$C$15:$I$28,2,)</f>
        <v>0.22594713656387663</v>
      </c>
      <c r="E6">
        <f>VLOOKUP($C$6,$C$15:$I$28,3,)</f>
        <v>0.2318201454388365</v>
      </c>
      <c r="F6">
        <f>VLOOKUP($C$6,$C$15:$I$28,4,)</f>
        <v>0.19683471687926032</v>
      </c>
      <c r="G6">
        <f>VLOOKUP($C$6,$C$15:$I$28,5,)</f>
        <v>0.24288564037028959</v>
      </c>
      <c r="H6">
        <f>VLOOKUP($C$6,$C$15:$I$28,6,)</f>
        <v>0.28293764675189148</v>
      </c>
      <c r="I6">
        <f>VLOOKUP($C$6,$C$15:$I$28,7,)</f>
        <v>0.25230914636765905</v>
      </c>
    </row>
    <row r="7" spans="1:9" ht="15.6" x14ac:dyDescent="0.35">
      <c r="B7" s="5" t="s">
        <v>7</v>
      </c>
      <c r="C7" s="5" t="s">
        <v>24</v>
      </c>
      <c r="D7">
        <f>VLOOKUP($C$7,$C$15:$I$28,2,)</f>
        <v>0.10433920704845816</v>
      </c>
      <c r="E7">
        <f>VLOOKUP($C$7,$C$15:$I$28,3,)</f>
        <v>9.7829217366261073E-2</v>
      </c>
      <c r="F7">
        <f>VLOOKUP($C$7,$C$15:$I$28,4,)</f>
        <v>0.11459809678072484</v>
      </c>
      <c r="G7">
        <f>VLOOKUP($C$7,$C$15:$I$28,5,)</f>
        <v>0.1232895926191441</v>
      </c>
      <c r="H7">
        <f>VLOOKUP($C$7,$C$15:$I$28,6,)</f>
        <v>0.12327158883381165</v>
      </c>
      <c r="I7">
        <f>VLOOKUP($C$7,$C$15:$I$28,7,)</f>
        <v>0.13296386991450787</v>
      </c>
    </row>
    <row r="8" spans="1:9" ht="15.6" x14ac:dyDescent="0.35">
      <c r="B8" s="5" t="s">
        <v>8</v>
      </c>
      <c r="C8" s="5" t="s">
        <v>9</v>
      </c>
      <c r="D8">
        <f>VLOOKUP($C$8,$C$15:$I$28,2,)</f>
        <v>4.3879930238797966</v>
      </c>
      <c r="E8">
        <f>VLOOKUP($C$8,$C$15:$I$28,3,)</f>
        <v>4.3465468606007978</v>
      </c>
      <c r="F8">
        <f>VLOOKUP($C$8,$C$15:$I$28,4,)</f>
        <v>4.8198376120417574</v>
      </c>
      <c r="G8">
        <f>VLOOKUP($C$8,$C$15:$I$28,5,)</f>
        <v>4.8850300542291878</v>
      </c>
      <c r="H8">
        <f>VLOOKUP($C$8,$C$15:$I$28,6,)</f>
        <v>5.6987128614348137</v>
      </c>
      <c r="I8">
        <f>VLOOKUP($C$8,$C$15:$I$28,7,)</f>
        <v>8.7168766363695376</v>
      </c>
    </row>
    <row r="9" spans="1:9" ht="15.6" x14ac:dyDescent="0.35">
      <c r="B9" s="5" t="s">
        <v>10</v>
      </c>
      <c r="C9" s="5" t="s">
        <v>11</v>
      </c>
      <c r="D9">
        <f>VLOOKUP($C$9,$C$15:$I$28,2,)</f>
        <v>3.363502202643172</v>
      </c>
      <c r="E9">
        <f>VLOOKUP($C$9,$C$15:$I$28,3,)</f>
        <v>3.001673986608107</v>
      </c>
      <c r="F9">
        <f>VLOOKUP($C$9,$C$15:$I$28,4,)</f>
        <v>3.3058142673955593</v>
      </c>
      <c r="G9">
        <f>VLOOKUP($C$9,$C$15:$I$28,5,)</f>
        <v>3.5369822024124931</v>
      </c>
      <c r="H9">
        <f>VLOOKUP($C$9,$C$15:$I$28,6,)</f>
        <v>3.5117546453314779</v>
      </c>
      <c r="I9">
        <f>VLOOKUP($C$9,$C$15:$I$28,7,)</f>
        <v>3.6438401283097765</v>
      </c>
    </row>
    <row r="11" spans="1:9" x14ac:dyDescent="0.3">
      <c r="C11" s="4" t="s">
        <v>12</v>
      </c>
      <c r="D11" s="14">
        <f>1.2*(D5)+1.4*(D6)+3.3*(D7)+0.6*(D8)+0.999*(D9)</f>
        <v>6.6601349552970408</v>
      </c>
      <c r="E11" s="14">
        <f t="shared" ref="E11:I11" si="0">1.2*(E5)+1.4*(E6)+3.3*(E7)+0.6*(E8)+0.999*(E9)</f>
        <v>6.3247460838167386</v>
      </c>
      <c r="F11" s="14">
        <f t="shared" si="0"/>
        <v>6.8494491522287664</v>
      </c>
      <c r="G11" s="14">
        <f t="shared" si="0"/>
        <v>7.2244124470249362</v>
      </c>
      <c r="H11" s="14">
        <f t="shared" si="0"/>
        <v>7.7703134634475477</v>
      </c>
      <c r="I11" s="14">
        <f t="shared" si="0"/>
        <v>9.6414053133506989</v>
      </c>
    </row>
    <row r="13" spans="1:9" x14ac:dyDescent="0.3">
      <c r="C13" s="5"/>
      <c r="D13" s="5"/>
      <c r="E13" s="5"/>
      <c r="F13" s="5"/>
      <c r="G13" s="5"/>
      <c r="H13" s="5"/>
      <c r="I13" s="5"/>
    </row>
    <row r="14" spans="1:9" x14ac:dyDescent="0.3">
      <c r="C14" s="5"/>
      <c r="D14" s="13">
        <v>43709</v>
      </c>
      <c r="E14" s="13">
        <v>44073</v>
      </c>
      <c r="F14" s="13">
        <v>44437</v>
      </c>
      <c r="G14" s="13">
        <v>44801</v>
      </c>
      <c r="H14" s="13">
        <v>45172</v>
      </c>
      <c r="I14" s="13">
        <v>45536</v>
      </c>
    </row>
    <row r="15" spans="1:9" x14ac:dyDescent="0.3">
      <c r="A15" s="9" t="s">
        <v>13</v>
      </c>
      <c r="B15" s="10"/>
      <c r="C15" s="10" t="s">
        <v>14</v>
      </c>
      <c r="D15" s="5">
        <f>_xll.ciqfunctions.udf.CIQ("NasdaqGS:COST", "IQ_TOTAL_CA", "FY2019")/1000</f>
        <v>23.484999999999999</v>
      </c>
      <c r="E15" s="5">
        <f>_xll.ciqfunctions.udf.CIQ("NasdaqGS:COST", "IQ_TOTAL_CA", "FY2020")/1000</f>
        <v>28.12</v>
      </c>
      <c r="F15" s="5">
        <f>_xll.ciqfunctions.udf.CIQ("NasdaqGS:COST", "IQ_TOTAL_CA", "FY2021")/1000</f>
        <v>29.504999999999999</v>
      </c>
      <c r="G15" s="11">
        <f>_xll.ciqfunctions.udf.CIQ("NasdaqGS:COST", "IQ_TOTAL_CA", "FY2022")/1000</f>
        <v>32.695999999999998</v>
      </c>
      <c r="H15" s="5">
        <f>_xll.ciqfunctions.udf.CIQ("NasdaqGS:COST", "IQ_TOTAL_CA", "FY2023")/1000</f>
        <v>35.878999999999998</v>
      </c>
      <c r="I15" s="5">
        <f>_xll.ciqfunctions.udf.CIQ("NasdaqGS:COST", "IQ_TOTAL_CA", "FY2024")/1000</f>
        <v>34.246000000000002</v>
      </c>
    </row>
    <row r="16" spans="1:9" x14ac:dyDescent="0.3">
      <c r="A16" s="9" t="s">
        <v>13</v>
      </c>
      <c r="B16" s="10"/>
      <c r="C16" s="10" t="s">
        <v>15</v>
      </c>
      <c r="D16" s="5">
        <f>_xll.ciqfunctions.udf.CIQ("NasdaqGS:COST", "IQ_TOTAL_CL", "FY2019")/1000</f>
        <v>23.236999999999998</v>
      </c>
      <c r="E16" s="5">
        <f>_xll.ciqfunctions.udf.CIQ("NasdaqGS:COST", "IQ_TOTAL_CL", "FY2020")/1000</f>
        <v>24.844000000000001</v>
      </c>
      <c r="F16" s="5">
        <f>_xll.ciqfunctions.udf.CIQ("NasdaqGS:COST", "IQ_TOTAL_CL", "FY2021")/1000</f>
        <v>29.440999999999999</v>
      </c>
      <c r="G16" s="5">
        <f>_xll.ciqfunctions.udf.CIQ("NasdaqGS:COST", "IQ_TOTAL_CL", "FY2022")/1000</f>
        <v>31.998000000000001</v>
      </c>
      <c r="H16" s="5">
        <f>_xll.ciqfunctions.udf.CIQ("NasdaqGS:COST", "IQ_TOTAL_CL", "FY2023")/1000</f>
        <v>33.582999999999998</v>
      </c>
      <c r="I16" s="5">
        <f>_xll.ciqfunctions.udf.CIQ("NasdaqGS:COST", "IQ_TOTAL_CL", "FY2024")/1000</f>
        <v>35.463999999999999</v>
      </c>
    </row>
    <row r="17" spans="1:9" x14ac:dyDescent="0.3">
      <c r="A17" s="10"/>
      <c r="B17" s="10"/>
      <c r="C17" s="10" t="s">
        <v>16</v>
      </c>
      <c r="D17" s="5">
        <f>_xll.ciqfunctions.udf.CIQ("NasdaqGS:COST", "IQ_WORKING_CAP", "FY2019")/1000</f>
        <v>0.248</v>
      </c>
      <c r="E17" s="5">
        <f>_xll.ciqfunctions.udf.CIQ("NasdaqGS:COST", "IQ_WORKING_CAP", "FY2020")/1000</f>
        <v>3.2759999999999998</v>
      </c>
      <c r="F17" s="5">
        <f>_xll.ciqfunctions.udf.CIQ("NasdaqGS:COST", "IQ_WORKING_CAP", "FY2021")/1000</f>
        <v>6.4000000000000001E-2</v>
      </c>
      <c r="G17" s="5">
        <f>_xll.ciqfunctions.udf.CIQ("NasdaqGS:COST", "IQ_WORKING_CAP", "FY2022")/1000</f>
        <v>0.69799999999999995</v>
      </c>
      <c r="H17" s="5">
        <f>_xll.ciqfunctions.udf.CIQ("NasdaqGS:COST", "IQ_WORKING_CAP", "FY2023")/1000</f>
        <v>2.2959999999999998</v>
      </c>
      <c r="I17" s="5">
        <f>_xll.ciqfunctions.udf.CIQ("NasdaqGS:COST", "IQ_WORKING_CAP", "FY2024")/1000</f>
        <v>-1.218</v>
      </c>
    </row>
    <row r="18" spans="1:9" x14ac:dyDescent="0.3">
      <c r="A18" s="9" t="s">
        <v>13</v>
      </c>
      <c r="B18" s="10"/>
      <c r="C18" s="10" t="s">
        <v>17</v>
      </c>
      <c r="D18" s="5">
        <f>_xll.ciqfunctions.udf.CIQ("NasdaqGS:COST", "IQ_TOTAL_ASSETS", "FY2019")/1000</f>
        <v>45.4</v>
      </c>
      <c r="E18" s="5">
        <f>_xll.ciqfunctions.udf.CIQ("NasdaqGS:COST", "IQ_TOTAL_ASSETS", "FY2020")/1000</f>
        <v>55.555999999999997</v>
      </c>
      <c r="F18" s="5">
        <f>_xll.ciqfunctions.udf.CIQ("NasdaqGS:COST", "IQ_TOTAL_ASSETS", "FY2021")/1000</f>
        <v>59.268000000000001</v>
      </c>
      <c r="G18" s="5">
        <f>_xll.ciqfunctions.udf.CIQ("NasdaqGS:COST", "IQ_TOTAL_ASSETS", "FY2022")/1000</f>
        <v>64.165999999999997</v>
      </c>
      <c r="H18" s="5">
        <f>_xll.ciqfunctions.udf.CIQ("NasdaqGS:COST", "IQ_TOTAL_ASSETS", "FY2023")/1000</f>
        <v>68.994</v>
      </c>
      <c r="I18" s="5">
        <f>_xll.ciqfunctions.udf.CIQ("NasdaqGS:COST", "IQ_TOTAL_ASSETS", "FY2024")/1000</f>
        <v>69.831000000000003</v>
      </c>
    </row>
    <row r="19" spans="1:9" ht="15.6" x14ac:dyDescent="0.35">
      <c r="A19" s="10"/>
      <c r="B19" s="12" t="s">
        <v>18</v>
      </c>
      <c r="C19" s="12" t="s">
        <v>4</v>
      </c>
      <c r="D19" s="6">
        <f>D17/D18</f>
        <v>5.4625550660792957E-3</v>
      </c>
      <c r="E19" s="6">
        <f t="shared" ref="E19:I19" si="1">E17/E18</f>
        <v>5.8967528259773923E-2</v>
      </c>
      <c r="F19" s="6">
        <f t="shared" si="1"/>
        <v>1.0798407234932847E-3</v>
      </c>
      <c r="G19" s="6">
        <f t="shared" si="1"/>
        <v>1.0878035096468534E-2</v>
      </c>
      <c r="H19" s="6">
        <f t="shared" si="1"/>
        <v>3.3278256080238856E-2</v>
      </c>
      <c r="I19" s="6">
        <f t="shared" si="1"/>
        <v>-1.7442110237573569E-2</v>
      </c>
    </row>
    <row r="20" spans="1:9" x14ac:dyDescent="0.3">
      <c r="A20" s="9" t="s">
        <v>13</v>
      </c>
      <c r="B20" s="10"/>
      <c r="C20" s="10" t="s">
        <v>19</v>
      </c>
      <c r="D20" s="5">
        <f>_xll.ciqfunctions.udf.CIQ("NasdaqGS:COST", "IQ_RE", "FY2019")/1000</f>
        <v>10.257999999999999</v>
      </c>
      <c r="E20" s="5">
        <f>_xll.ciqfunctions.udf.CIQ("NasdaqGS:COST", "IQ_RE", "FY2020")/1000</f>
        <v>12.879</v>
      </c>
      <c r="F20" s="5">
        <f>_xll.ciqfunctions.udf.CIQ("NasdaqGS:COST", "IQ_RE", "FY2021")/1000</f>
        <v>11.666</v>
      </c>
      <c r="G20" s="5">
        <f>_xll.ciqfunctions.udf.CIQ("NasdaqGS:COST", "IQ_RE", "FY2022")/1000</f>
        <v>15.585000000000001</v>
      </c>
      <c r="H20" s="5">
        <f>_xll.ciqfunctions.udf.CIQ("NasdaqGS:COST", "IQ_RE", "FY2023")/1000</f>
        <v>19.521000000000001</v>
      </c>
      <c r="I20" s="5">
        <f>_xll.ciqfunctions.udf.CIQ("NasdaqGS:COST", "IQ_RE", "FY2024")/1000</f>
        <v>17.619</v>
      </c>
    </row>
    <row r="21" spans="1:9" ht="15.6" x14ac:dyDescent="0.35">
      <c r="A21" s="10"/>
      <c r="B21" s="12" t="s">
        <v>20</v>
      </c>
      <c r="C21" s="12" t="s">
        <v>6</v>
      </c>
      <c r="D21" s="6">
        <f>D20/D18</f>
        <v>0.22594713656387663</v>
      </c>
      <c r="E21" s="6">
        <f t="shared" ref="E21:I21" si="2">E20/E18</f>
        <v>0.2318201454388365</v>
      </c>
      <c r="F21" s="6">
        <f t="shared" si="2"/>
        <v>0.19683471687926032</v>
      </c>
      <c r="G21" s="6">
        <f t="shared" si="2"/>
        <v>0.24288564037028959</v>
      </c>
      <c r="H21" s="6">
        <f t="shared" si="2"/>
        <v>0.28293764675189148</v>
      </c>
      <c r="I21" s="6">
        <f t="shared" si="2"/>
        <v>0.25230914636765905</v>
      </c>
    </row>
    <row r="22" spans="1:9" x14ac:dyDescent="0.3">
      <c r="A22" s="9" t="s">
        <v>21</v>
      </c>
      <c r="B22" s="10"/>
      <c r="C22" s="10" t="s">
        <v>22</v>
      </c>
      <c r="D22" s="5">
        <f>_xll.ciqfunctions.udf.CIQ("NasdaqGS:COST", "IQ_EBIT", "FY2019")/1000</f>
        <v>4.7370000000000001</v>
      </c>
      <c r="E22" s="5">
        <f>_xll.ciqfunctions.udf.CIQ("NasdaqGS:COST", "IQ_EBIT", "FY2020")/1000</f>
        <v>5.4349999999999996</v>
      </c>
      <c r="F22" s="5">
        <f>_xll.ciqfunctions.udf.CIQ("NasdaqGS:COST", "IQ_EBIT", "FY2021")/1000</f>
        <v>6.7919999999999998</v>
      </c>
      <c r="G22" s="5">
        <f>_xll.ciqfunctions.udf.CIQ("NasdaqGS:COST", "IQ_EBIT", "FY2022")/1000</f>
        <v>7.9109999999999996</v>
      </c>
      <c r="H22" s="5">
        <f>_xll.ciqfunctions.udf.CIQ("NasdaqGS:COST", "IQ_EBIT", "FY2023")/1000</f>
        <v>8.5050000000000008</v>
      </c>
      <c r="I22" s="5">
        <f>_xll.ciqfunctions.udf.CIQ("NasdaqGS:COST", "IQ_EBIT", "FY2024")/1000</f>
        <v>9.2850000000000001</v>
      </c>
    </row>
    <row r="23" spans="1:9" ht="15.6" x14ac:dyDescent="0.35">
      <c r="A23" s="10"/>
      <c r="B23" s="12" t="s">
        <v>23</v>
      </c>
      <c r="C23" s="12" t="s">
        <v>24</v>
      </c>
      <c r="D23" s="6">
        <f>D22/D18</f>
        <v>0.10433920704845816</v>
      </c>
      <c r="E23" s="6">
        <f t="shared" ref="E23:I23" si="3">E22/E18</f>
        <v>9.7829217366261073E-2</v>
      </c>
      <c r="F23" s="6">
        <f t="shared" si="3"/>
        <v>0.11459809678072484</v>
      </c>
      <c r="G23" s="6">
        <f t="shared" si="3"/>
        <v>0.1232895926191441</v>
      </c>
      <c r="H23" s="6">
        <f t="shared" si="3"/>
        <v>0.12327158883381165</v>
      </c>
      <c r="I23" s="6">
        <f t="shared" si="3"/>
        <v>0.13296386991450787</v>
      </c>
    </row>
    <row r="24" spans="1:9" x14ac:dyDescent="0.3">
      <c r="A24" s="9" t="s">
        <v>25</v>
      </c>
      <c r="B24" s="10"/>
      <c r="C24" s="10" t="s">
        <v>26</v>
      </c>
      <c r="D24" s="5">
        <f>_xll.ciqfunctions.udf.CIQ("NasdaqGS:COST", "IQ_MARKETCAP", "11/10/2019")/1000</f>
        <v>130.83240000000001</v>
      </c>
      <c r="E24" s="5">
        <f>_xll.ciqfunctions.udf.CIQ("NasdaqGS:COST", "IQ_MARKETCAP", "07/10/2020")/1000</f>
        <v>160.17459836</v>
      </c>
      <c r="F24" s="5">
        <f>_xll.ciqfunctions.udf.CIQ("NasdaqGS:COST", "IQ_MARKETCAP", "06/10/2021")/1000</f>
        <v>198.52911123999999</v>
      </c>
      <c r="G24" s="5">
        <f>_xll.ciqfunctions.udf.CIQ("NasdaqGS:COST", "IQ_MARKETCAP", "05/10/2022")/1000</f>
        <v>212.59162293</v>
      </c>
      <c r="H24" s="5">
        <f>_xll.ciqfunctions.udf.CIQ("NasdaqGS:COST", "IQ_MARKETCAP", "11/10/2023")/1000</f>
        <v>250.37864827999999</v>
      </c>
      <c r="I24" s="5">
        <f>_xll.ciqfunctions.udf.CIQ("NasdaqGS:COST", "IQ_MARKETCAP", "09/10/2024")/1000</f>
        <v>402.79815249000001</v>
      </c>
    </row>
    <row r="25" spans="1:9" x14ac:dyDescent="0.3">
      <c r="A25" s="9" t="s">
        <v>13</v>
      </c>
      <c r="B25" s="10"/>
      <c r="C25" s="10" t="s">
        <v>27</v>
      </c>
      <c r="D25" s="5">
        <f>_xll.ciqfunctions.udf.CIQ("NasdaqGS:COST", "IQ_TOTAL_LIAB", "FY2019")/1000</f>
        <v>29.815999999999999</v>
      </c>
      <c r="E25" s="5">
        <f>_xll.ciqfunctions.udf.CIQ("NasdaqGS:COST", "IQ_TOTAL_LIAB", "FY2020")/1000</f>
        <v>36.850999999999999</v>
      </c>
      <c r="F25" s="5">
        <f>_xll.ciqfunctions.udf.CIQ("NasdaqGS:COST", "IQ_TOTAL_LIAB", "FY2021")/1000</f>
        <v>41.19</v>
      </c>
      <c r="G25" s="5">
        <f>_xll.ciqfunctions.udf.CIQ("NasdaqGS:COST", "IQ_TOTAL_LIAB", "FY2022")/1000</f>
        <v>43.518999999999998</v>
      </c>
      <c r="H25" s="5">
        <f>_xll.ciqfunctions.udf.CIQ("NasdaqGS:COST", "IQ_TOTAL_LIAB", "FY2023")/1000</f>
        <v>43.936</v>
      </c>
      <c r="I25" s="5">
        <f>_xll.ciqfunctions.udf.CIQ("NasdaqGS:COST", "IQ_TOTAL_LIAB", "FY2024")/1000</f>
        <v>46.209000000000003</v>
      </c>
    </row>
    <row r="26" spans="1:9" ht="15.6" x14ac:dyDescent="0.35">
      <c r="A26" s="10"/>
      <c r="B26" s="12" t="s">
        <v>28</v>
      </c>
      <c r="C26" s="12" t="s">
        <v>9</v>
      </c>
      <c r="D26" s="6">
        <f>D24/D25</f>
        <v>4.3879930238797966</v>
      </c>
      <c r="E26" s="6">
        <f t="shared" ref="E26:I26" si="4">E24/E25</f>
        <v>4.3465468606007978</v>
      </c>
      <c r="F26" s="6">
        <f t="shared" si="4"/>
        <v>4.8198376120417574</v>
      </c>
      <c r="G26" s="6">
        <f t="shared" si="4"/>
        <v>4.8850300542291878</v>
      </c>
      <c r="H26" s="6">
        <f t="shared" si="4"/>
        <v>5.6987128614348137</v>
      </c>
      <c r="I26" s="6">
        <f t="shared" si="4"/>
        <v>8.7168766363695376</v>
      </c>
    </row>
    <row r="27" spans="1:9" x14ac:dyDescent="0.3">
      <c r="A27" s="9" t="s">
        <v>21</v>
      </c>
      <c r="B27" s="10"/>
      <c r="C27" s="10" t="s">
        <v>29</v>
      </c>
      <c r="D27" s="5">
        <f>_xll.ciqfunctions.udf.CIQ("NasdaqGS:COST", "IQ_TOTAL_REV", "FY2019")/1000</f>
        <v>152.703</v>
      </c>
      <c r="E27" s="5">
        <f>_xll.ciqfunctions.udf.CIQ("NasdaqGS:COST", "IQ_TOTAL_REV", "FY2020")/1000</f>
        <v>166.761</v>
      </c>
      <c r="F27" s="5">
        <f>_xll.ciqfunctions.udf.CIQ("NasdaqGS:COST", "IQ_TOTAL_REV", "FY2021")/1000</f>
        <v>195.929</v>
      </c>
      <c r="G27" s="5">
        <f>_xll.ciqfunctions.udf.CIQ("NasdaqGS:COST", "IQ_TOTAL_REV", "FY2022")/1000</f>
        <v>226.95400000000001</v>
      </c>
      <c r="H27" s="5">
        <f>_xll.ciqfunctions.udf.CIQ("NasdaqGS:COST", "IQ_TOTAL_REV", "FY2023")/1000</f>
        <v>242.29</v>
      </c>
      <c r="I27" s="5">
        <f>_xll.ciqfunctions.udf.CIQ("NasdaqGS:COST", "IQ_TOTAL_REV", "FY2024")/1000</f>
        <v>254.453</v>
      </c>
    </row>
    <row r="28" spans="1:9" ht="15.6" x14ac:dyDescent="0.35">
      <c r="A28" s="3"/>
      <c r="B28" s="12" t="s">
        <v>30</v>
      </c>
      <c r="C28" s="12" t="s">
        <v>11</v>
      </c>
      <c r="D28" s="6">
        <f>D27/D18</f>
        <v>3.363502202643172</v>
      </c>
      <c r="E28" s="6">
        <f t="shared" ref="E28:I28" si="5">E27/E18</f>
        <v>3.001673986608107</v>
      </c>
      <c r="F28" s="6">
        <f t="shared" si="5"/>
        <v>3.3058142673955593</v>
      </c>
      <c r="G28" s="6">
        <f t="shared" si="5"/>
        <v>3.5369822024124931</v>
      </c>
      <c r="H28" s="6">
        <f t="shared" si="5"/>
        <v>3.5117546453314779</v>
      </c>
      <c r="I28" s="6">
        <f t="shared" si="5"/>
        <v>3.6438401283097765</v>
      </c>
    </row>
  </sheetData>
  <mergeCells count="1">
    <mergeCell ref="G2:H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CCC8-1230-4D27-996A-093254C08277}">
  <sheetPr codeName="Sheet5"/>
  <dimension ref="A1:I28"/>
  <sheetViews>
    <sheetView zoomScale="80" zoomScaleNormal="80" workbookViewId="0">
      <selection activeCell="L17" sqref="L17"/>
    </sheetView>
  </sheetViews>
  <sheetFormatPr defaultRowHeight="14.4" x14ac:dyDescent="0.3"/>
  <cols>
    <col min="1" max="1" width="19.33203125" customWidth="1"/>
    <col min="2" max="2" width="53.77734375" bestFit="1" customWidth="1"/>
    <col min="3" max="3" width="40.44140625" customWidth="1"/>
    <col min="4" max="4" width="17.33203125" bestFit="1" customWidth="1"/>
    <col min="5" max="5" width="14" customWidth="1"/>
    <col min="6" max="7" width="13.6640625" customWidth="1"/>
    <col min="8" max="9" width="17.33203125" bestFit="1" customWidth="1"/>
    <col min="12" max="12" width="16.5546875" customWidth="1"/>
  </cols>
  <sheetData>
    <row r="1" spans="1:9" ht="15.6" x14ac:dyDescent="0.35">
      <c r="B1" s="8" t="s">
        <v>0</v>
      </c>
      <c r="C1" s="2"/>
      <c r="D1" s="2"/>
      <c r="E1" s="2"/>
      <c r="F1" s="1"/>
    </row>
    <row r="2" spans="1:9" x14ac:dyDescent="0.3">
      <c r="B2" t="s">
        <v>31</v>
      </c>
      <c r="F2" s="16" t="s">
        <v>95</v>
      </c>
      <c r="G2" s="16"/>
      <c r="H2" s="16"/>
      <c r="I2" s="16"/>
    </row>
    <row r="3" spans="1:9" x14ac:dyDescent="0.3">
      <c r="D3" s="13">
        <v>43555</v>
      </c>
      <c r="E3" s="13">
        <v>43921</v>
      </c>
      <c r="F3" s="13">
        <v>44286</v>
      </c>
      <c r="G3" s="13">
        <v>44651</v>
      </c>
      <c r="H3" s="13">
        <v>45016</v>
      </c>
      <c r="I3" s="13">
        <v>45382</v>
      </c>
    </row>
    <row r="4" spans="1:9" x14ac:dyDescent="0.3">
      <c r="B4" s="7" t="s">
        <v>1</v>
      </c>
      <c r="C4" s="7" t="s">
        <v>2</v>
      </c>
    </row>
    <row r="5" spans="1:9" ht="15.6" x14ac:dyDescent="0.35">
      <c r="B5" s="5" t="s">
        <v>3</v>
      </c>
      <c r="C5" s="5" t="s">
        <v>4</v>
      </c>
      <c r="D5">
        <f>VLOOKUP($C$5,$C$15:$I$28,2,)</f>
        <v>6.4869502489836584E-2</v>
      </c>
      <c r="E5">
        <f>VLOOKUP($C$5,$C$15:$I$28,3,)</f>
        <v>0.16835759741092413</v>
      </c>
      <c r="F5">
        <f>VLOOKUP($C$5,$C$15:$I$28,4,)</f>
        <v>0.15737733237248058</v>
      </c>
      <c r="G5">
        <f>VLOOKUP($C$5,$C$15:$I$28,5,)</f>
        <v>0.1502465567181851</v>
      </c>
      <c r="H5">
        <f>VLOOKUP($C$5,$C$15:$I$28,6,)</f>
        <v>0.17832695587186229</v>
      </c>
      <c r="I5">
        <f>VLOOKUP($C$5,$C$15:$I$28,7,)</f>
        <v>0.18775586755160065</v>
      </c>
    </row>
    <row r="6" spans="1:9" ht="15.6" x14ac:dyDescent="0.35">
      <c r="B6" s="5" t="s">
        <v>5</v>
      </c>
      <c r="C6" s="5" t="s">
        <v>6</v>
      </c>
      <c r="D6">
        <f>VLOOKUP($C$6,$C$15:$I$28,2,)</f>
        <v>0.2724697329488921</v>
      </c>
      <c r="E6">
        <f>VLOOKUP($C$6,$C$15:$I$28,3,)</f>
        <v>0.31408355770018292</v>
      </c>
      <c r="F6">
        <f>VLOOKUP($C$6,$C$15:$I$28,4,)</f>
        <v>0.33266182230523911</v>
      </c>
      <c r="G6">
        <f>VLOOKUP($C$6,$C$15:$I$28,5,)</f>
        <v>0.33817639438780139</v>
      </c>
      <c r="H6">
        <f>VLOOKUP($C$6,$C$15:$I$28,6,)</f>
        <v>0.34910989115572116</v>
      </c>
      <c r="I6">
        <f>VLOOKUP($C$6,$C$15:$I$28,7,)</f>
        <v>0.34713278168871603</v>
      </c>
    </row>
    <row r="7" spans="1:9" ht="15.6" x14ac:dyDescent="0.35">
      <c r="B7" s="5" t="s">
        <v>7</v>
      </c>
      <c r="C7" s="5" t="s">
        <v>24</v>
      </c>
      <c r="D7">
        <f>VLOOKUP($C$7,$C$15:$I$28,2,)</f>
        <v>6.3835387093803569E-2</v>
      </c>
      <c r="E7">
        <f>VLOOKUP($C$7,$C$15:$I$28,3,)</f>
        <v>7.2760922639174552E-2</v>
      </c>
      <c r="F7">
        <f>VLOOKUP($C$7,$C$15:$I$28,4,)</f>
        <v>6.4840156704365964E-2</v>
      </c>
      <c r="G7">
        <f>VLOOKUP($C$7,$C$15:$I$28,5,)</f>
        <v>5.6911815800786747E-2</v>
      </c>
      <c r="H7">
        <f>VLOOKUP($C$7,$C$15:$I$28,6,)</f>
        <v>6.1041822126220634E-2</v>
      </c>
      <c r="I7">
        <f>VLOOKUP($C$7,$C$15:$I$28,7,)</f>
        <v>7.8601382914330567E-2</v>
      </c>
    </row>
    <row r="8" spans="1:9" ht="15.6" x14ac:dyDescent="0.35">
      <c r="B8" s="5" t="s">
        <v>8</v>
      </c>
      <c r="C8" s="5" t="s">
        <v>9</v>
      </c>
      <c r="D8">
        <f>VLOOKUP($C$8,$C$15:$I$28,2,)</f>
        <v>7.4332774063520688</v>
      </c>
      <c r="E8">
        <f>VLOOKUP($C$8,$C$15:$I$28,3,)</f>
        <v>11.562476858248896</v>
      </c>
      <c r="F8">
        <f>VLOOKUP($C$8,$C$15:$I$28,4,)</f>
        <v>5.4635781268433208</v>
      </c>
      <c r="G8">
        <f>VLOOKUP($C$8,$C$15:$I$28,5,)</f>
        <v>2.7766227994996444</v>
      </c>
      <c r="H8">
        <f>VLOOKUP($C$8,$C$15:$I$28,6,)</f>
        <v>2.558950028624376</v>
      </c>
      <c r="I8">
        <f>VLOOKUP($C$8,$C$15:$I$28,7,)</f>
        <v>2.1630547219951803</v>
      </c>
    </row>
    <row r="9" spans="1:9" ht="15.6" x14ac:dyDescent="0.35">
      <c r="B9" s="5" t="s">
        <v>10</v>
      </c>
      <c r="C9" s="5" t="s">
        <v>11</v>
      </c>
      <c r="D9">
        <f>VLOOKUP($C$9,$C$15:$I$28,2,)</f>
        <v>0.39048116416598222</v>
      </c>
      <c r="E9">
        <f>VLOOKUP($C$9,$C$15:$I$28,3,)</f>
        <v>0.38820778609196099</v>
      </c>
      <c r="F9">
        <f>VLOOKUP($C$9,$C$15:$I$28,4,)</f>
        <v>0.42437661887168193</v>
      </c>
      <c r="G9">
        <f>VLOOKUP($C$9,$C$15:$I$28,5,)</f>
        <v>0.50311727207942281</v>
      </c>
      <c r="H9">
        <f>VLOOKUP($C$9,$C$15:$I$28,6,)</f>
        <v>0.49553063131236275</v>
      </c>
      <c r="I9">
        <f>VLOOKUP($C$9,$C$15:$I$28,7,)</f>
        <v>0.5332913273710147</v>
      </c>
    </row>
    <row r="11" spans="1:9" x14ac:dyDescent="0.3">
      <c r="C11" s="4" t="s">
        <v>12</v>
      </c>
      <c r="D11" s="14">
        <f>1.2*(D5)+1.4*(D6)+3.3*(D7)+0.6*(D8)+0.999*(D9)</f>
        <v>5.520014933338862</v>
      </c>
      <c r="E11" s="14">
        <f t="shared" ref="E11:I11" si="0">1.2*(E5)+1.4*(E6)+3.3*(E7)+0.6*(E8)+0.999*(E9)</f>
        <v>8.2071628356378472</v>
      </c>
      <c r="F11" s="14">
        <f t="shared" si="0"/>
        <v>4.5706509855575215</v>
      </c>
      <c r="G11" s="14">
        <f t="shared" si="0"/>
        <v>3.0101396468544701</v>
      </c>
      <c r="H11" s="14">
        <f t="shared" si="0"/>
        <v>2.9345893255364484</v>
      </c>
      <c r="I11" s="14">
        <f t="shared" si="0"/>
        <v>2.8012683682841661</v>
      </c>
    </row>
    <row r="13" spans="1:9" x14ac:dyDescent="0.3">
      <c r="C13" s="5"/>
      <c r="D13" s="5"/>
      <c r="E13" s="5"/>
      <c r="F13" s="5"/>
      <c r="G13" s="5"/>
      <c r="H13" s="5"/>
      <c r="I13" s="5"/>
    </row>
    <row r="14" spans="1:9" x14ac:dyDescent="0.3">
      <c r="C14" s="5"/>
      <c r="D14" s="13">
        <v>43555</v>
      </c>
      <c r="E14" s="13">
        <v>43921</v>
      </c>
      <c r="F14" s="13">
        <v>44286</v>
      </c>
      <c r="G14" s="13">
        <v>44651</v>
      </c>
      <c r="H14" s="13">
        <v>45016</v>
      </c>
      <c r="I14" s="13">
        <v>45382</v>
      </c>
    </row>
    <row r="15" spans="1:9" x14ac:dyDescent="0.3">
      <c r="A15" s="9" t="s">
        <v>13</v>
      </c>
      <c r="B15" s="10"/>
      <c r="C15" s="10" t="s">
        <v>14</v>
      </c>
      <c r="D15" s="5">
        <f>_xll.ciqfunctions.udf.CIQ("NYSE:BABA", "IQ_TOTAL_CA", "FY2019")/1000</f>
        <v>40.26953348</v>
      </c>
      <c r="E15" s="5">
        <f>_xll.ciqfunctions.udf.CIQ("NYSE:BABA", "IQ_TOTAL_CA", "FY2020")/1000</f>
        <v>65.36613951999999</v>
      </c>
      <c r="F15" s="5">
        <f>_xll.ciqfunctions.udf.CIQ("NYSE:BABA", "IQ_TOTAL_CA", "FY2021")/1000</f>
        <v>98.183926839999998</v>
      </c>
      <c r="G15" s="11">
        <f>_xll.ciqfunctions.udf.CIQ("NYSE:BABA", "IQ_TOTAL_CA", "FY2022")/1000</f>
        <v>100.71688795999999</v>
      </c>
      <c r="H15" s="5">
        <f>_xll.ciqfunctions.udf.CIQ("NYSE:BABA", "IQ_TOTAL_CA", "FY2023")/1000</f>
        <v>101.60804764999999</v>
      </c>
      <c r="I15" s="5">
        <f>_xll.ciqfunctions.udf.CIQ("NYSE:BABA", "IQ_TOTAL_CA", "FY2024")/1000</f>
        <v>104.26757142999999</v>
      </c>
    </row>
    <row r="16" spans="1:9" x14ac:dyDescent="0.3">
      <c r="A16" s="9" t="s">
        <v>13</v>
      </c>
      <c r="B16" s="10"/>
      <c r="C16" s="10" t="s">
        <v>15</v>
      </c>
      <c r="D16" s="5">
        <f>_xll.ciqfunctions.udf.CIQ("NYSE:BABA", "IQ_TOTAL_CL", "FY2019")/1000</f>
        <v>30.941802350000003</v>
      </c>
      <c r="E16" s="5">
        <f>_xll.ciqfunctions.udf.CIQ("NYSE:BABA", "IQ_TOTAL_CL", "FY2020")/1000</f>
        <v>34.153064110000003</v>
      </c>
      <c r="F16" s="5">
        <f>_xll.ciqfunctions.udf.CIQ("NYSE:BABA", "IQ_TOTAL_CL", "FY2021")/1000</f>
        <v>57.589048529999999</v>
      </c>
      <c r="G16" s="5">
        <f>_xll.ciqfunctions.udf.CIQ("NYSE:BABA", "IQ_TOTAL_CL", "FY2022")/1000</f>
        <v>60.534708559999999</v>
      </c>
      <c r="H16" s="5">
        <f>_xll.ciqfunctions.udf.CIQ("NYSE:BABA", "IQ_TOTAL_CL", "FY2023")/1000</f>
        <v>56.098381249999996</v>
      </c>
      <c r="I16" s="5">
        <f>_xll.ciqfunctions.udf.CIQ("NYSE:BABA", "IQ_TOTAL_CL", "FY2024")/1000</f>
        <v>58.376428189999999</v>
      </c>
    </row>
    <row r="17" spans="1:9" x14ac:dyDescent="0.3">
      <c r="A17" s="10"/>
      <c r="B17" s="10"/>
      <c r="C17" s="10" t="s">
        <v>16</v>
      </c>
      <c r="D17" s="5">
        <f>_xll.ciqfunctions.udf.CIQ("NYSE:BABA", "IQ_WORKING_CAP", "FY2019")/1000</f>
        <v>9.327731120000001</v>
      </c>
      <c r="E17" s="5">
        <f>_xll.ciqfunctions.udf.CIQ("NYSE:BABA", "IQ_WORKING_CAP", "FY2020")/1000</f>
        <v>31.213075410000002</v>
      </c>
      <c r="F17" s="5">
        <f>_xll.ciqfunctions.udf.CIQ("NYSE:BABA", "IQ_WORKING_CAP", "FY2021")/1000</f>
        <v>40.594878299999998</v>
      </c>
      <c r="G17" s="5">
        <f>_xll.ciqfunctions.udf.CIQ("NYSE:BABA", "IQ_WORKING_CAP", "FY2022")/1000</f>
        <v>40.182179400000003</v>
      </c>
      <c r="H17" s="5">
        <f>_xll.ciqfunctions.udf.CIQ("NYSE:BABA", "IQ_WORKING_CAP", "FY2023")/1000</f>
        <v>45.5096664</v>
      </c>
      <c r="I17" s="5">
        <f>_xll.ciqfunctions.udf.CIQ("NYSE:BABA", "IQ_WORKING_CAP", "FY2024")/1000</f>
        <v>45.891143239999998</v>
      </c>
    </row>
    <row r="18" spans="1:9" x14ac:dyDescent="0.3">
      <c r="A18" s="9" t="s">
        <v>13</v>
      </c>
      <c r="B18" s="10"/>
      <c r="C18" s="10" t="s">
        <v>17</v>
      </c>
      <c r="D18" s="5">
        <f>_xll.ciqfunctions.udf.CIQ("NYSE:BABA", "IQ_TOTAL_ASSETS", "FY2019")/1000</f>
        <v>143.79224076</v>
      </c>
      <c r="E18" s="5">
        <f>_xll.ciqfunctions.udf.CIQ("NYSE:BABA", "IQ_TOTAL_ASSETS", "FY2020")/1000</f>
        <v>185.39748660000001</v>
      </c>
      <c r="F18" s="5">
        <f>_xll.ciqfunctions.udf.CIQ("NYSE:BABA", "IQ_TOTAL_ASSETS", "FY2021")/1000</f>
        <v>257.94615836999998</v>
      </c>
      <c r="G18" s="5">
        <f>_xll.ciqfunctions.udf.CIQ("NYSE:BABA", "IQ_TOTAL_ASSETS", "FY2022")/1000</f>
        <v>267.44159918000003</v>
      </c>
      <c r="H18" s="5">
        <f>_xll.ciqfunctions.udf.CIQ("NYSE:BABA", "IQ_TOTAL_ASSETS", "FY2023")/1000</f>
        <v>255.20351748000002</v>
      </c>
      <c r="I18" s="5">
        <f>_xll.ciqfunctions.udf.CIQ("NYSE:BABA", "IQ_TOTAL_ASSETS", "FY2024")/1000</f>
        <v>244.41922289000001</v>
      </c>
    </row>
    <row r="19" spans="1:9" ht="15.6" x14ac:dyDescent="0.35">
      <c r="A19" s="10"/>
      <c r="B19" s="12" t="s">
        <v>18</v>
      </c>
      <c r="C19" s="12" t="s">
        <v>4</v>
      </c>
      <c r="D19" s="6">
        <f>D17/D18</f>
        <v>6.4869502489836584E-2</v>
      </c>
      <c r="E19" s="6">
        <f t="shared" ref="E19:I19" si="1">E17/E18</f>
        <v>0.16835759741092413</v>
      </c>
      <c r="F19" s="6">
        <f t="shared" si="1"/>
        <v>0.15737733237248058</v>
      </c>
      <c r="G19" s="6">
        <f t="shared" si="1"/>
        <v>0.1502465567181851</v>
      </c>
      <c r="H19" s="6">
        <f t="shared" si="1"/>
        <v>0.17832695587186229</v>
      </c>
      <c r="I19" s="6">
        <f t="shared" si="1"/>
        <v>0.18775586755160065</v>
      </c>
    </row>
    <row r="20" spans="1:9" x14ac:dyDescent="0.3">
      <c r="A20" s="9" t="s">
        <v>13</v>
      </c>
      <c r="B20" s="10"/>
      <c r="C20" s="10" t="s">
        <v>19</v>
      </c>
      <c r="D20" s="5">
        <f>_xll.ciqfunctions.udf.CIQ("NYSE:BABA", "IQ_RE", "FY2019")/1000</f>
        <v>39.179033439999998</v>
      </c>
      <c r="E20" s="5">
        <f>_xll.ciqfunctions.udf.CIQ("NYSE:BABA", "IQ_RE", "FY2020")/1000</f>
        <v>58.230302179999995</v>
      </c>
      <c r="F20" s="5">
        <f>_xll.ciqfunctions.udf.CIQ("NYSE:BABA", "IQ_RE", "FY2021")/1000</f>
        <v>85.8088391</v>
      </c>
      <c r="G20" s="5">
        <f>_xll.ciqfunctions.udf.CIQ("NYSE:BABA", "IQ_RE", "FY2022")/1000</f>
        <v>90.442435719999992</v>
      </c>
      <c r="H20" s="5">
        <f>_xll.ciqfunctions.udf.CIQ("NYSE:BABA", "IQ_RE", "FY2023")/1000</f>
        <v>89.094072209999993</v>
      </c>
      <c r="I20" s="5">
        <f>_xll.ciqfunctions.udf.CIQ("NYSE:BABA", "IQ_RE", "FY2024")/1000</f>
        <v>84.845924740000001</v>
      </c>
    </row>
    <row r="21" spans="1:9" ht="15.6" x14ac:dyDescent="0.35">
      <c r="A21" s="10"/>
      <c r="B21" s="12" t="s">
        <v>20</v>
      </c>
      <c r="C21" s="12" t="s">
        <v>6</v>
      </c>
      <c r="D21" s="6">
        <f>D20/D18</f>
        <v>0.2724697329488921</v>
      </c>
      <c r="E21" s="6">
        <f t="shared" ref="E21:I21" si="2">E20/E18</f>
        <v>0.31408355770018292</v>
      </c>
      <c r="F21" s="6">
        <f t="shared" si="2"/>
        <v>0.33266182230523911</v>
      </c>
      <c r="G21" s="6">
        <f t="shared" si="2"/>
        <v>0.33817639438780139</v>
      </c>
      <c r="H21" s="6">
        <f t="shared" si="2"/>
        <v>0.34910989115572116</v>
      </c>
      <c r="I21" s="6">
        <f t="shared" si="2"/>
        <v>0.34713278168871603</v>
      </c>
    </row>
    <row r="22" spans="1:9" x14ac:dyDescent="0.3">
      <c r="A22" s="9" t="s">
        <v>21</v>
      </c>
      <c r="B22" s="10"/>
      <c r="C22" s="10" t="s">
        <v>22</v>
      </c>
      <c r="D22" s="5">
        <f>_xll.ciqfunctions.udf.CIQ("NYSE:BABA", "IQ_EBIT", "FY2019")/1000</f>
        <v>9.1790333499999992</v>
      </c>
      <c r="E22" s="5">
        <f>_xll.ciqfunctions.udf.CIQ("NYSE:BABA", "IQ_EBIT", "FY2020")/1000</f>
        <v>13.48969218</v>
      </c>
      <c r="F22" s="5">
        <f>_xll.ciqfunctions.udf.CIQ("NYSE:BABA", "IQ_EBIT", "FY2021")/1000</f>
        <v>16.72526933</v>
      </c>
      <c r="G22" s="5">
        <f>_xll.ciqfunctions.udf.CIQ("NYSE:BABA", "IQ_EBIT", "FY2022")/1000</f>
        <v>15.220587030000001</v>
      </c>
      <c r="H22" s="5">
        <f>_xll.ciqfunctions.udf.CIQ("NYSE:BABA", "IQ_EBIT", "FY2023")/1000</f>
        <v>15.578087719999999</v>
      </c>
      <c r="I22" s="5">
        <f>_xll.ciqfunctions.udf.CIQ("NYSE:BABA", "IQ_EBIT", "FY2024")/1000</f>
        <v>19.211688930000001</v>
      </c>
    </row>
    <row r="23" spans="1:9" ht="15.6" x14ac:dyDescent="0.35">
      <c r="A23" s="10"/>
      <c r="B23" s="12" t="s">
        <v>23</v>
      </c>
      <c r="C23" s="12" t="s">
        <v>24</v>
      </c>
      <c r="D23" s="6">
        <f>D22/D18</f>
        <v>6.3835387093803569E-2</v>
      </c>
      <c r="E23" s="6">
        <f t="shared" ref="E23:I23" si="3">E22/E18</f>
        <v>7.2760922639174552E-2</v>
      </c>
      <c r="F23" s="6">
        <f t="shared" si="3"/>
        <v>6.4840156704365964E-2</v>
      </c>
      <c r="G23" s="6">
        <f t="shared" si="3"/>
        <v>5.6911815800786747E-2</v>
      </c>
      <c r="H23" s="6">
        <f t="shared" si="3"/>
        <v>6.1041822126220634E-2</v>
      </c>
      <c r="I23" s="6">
        <f t="shared" si="3"/>
        <v>7.8601382914330567E-2</v>
      </c>
    </row>
    <row r="24" spans="1:9" x14ac:dyDescent="0.3">
      <c r="A24" s="9" t="s">
        <v>25</v>
      </c>
      <c r="B24" s="10"/>
      <c r="C24" s="10" t="s">
        <v>26</v>
      </c>
      <c r="D24" s="5">
        <f>_xll.ciqfunctions.udf.CIQ("NYSE:BABA", "IQ_MARKETCAP", "05/06/2019", "USD")/1000</f>
        <v>394.82558124000002</v>
      </c>
      <c r="E24" s="5">
        <f>_xll.ciqfunctions.udf.CIQ("NYSE:BABA", "IQ_MARKETCAP", "09/07/2020", "USD")/1000</f>
        <v>707.48578755999995</v>
      </c>
      <c r="F24" s="5">
        <f>_xll.ciqfunctions.udf.CIQ("NYSE:BABA", "IQ_MARKETCAP", "27/07/2021")/1000</f>
        <v>505.77161268000003</v>
      </c>
      <c r="G24" s="5">
        <f>_xll.ciqfunctions.udf.CIQ("NYSE:BABA", "IQ_MARKETCAP", "26/07/2022")/1000</f>
        <v>268.62716366000001</v>
      </c>
      <c r="H24" s="5">
        <f>_xll.ciqfunctions.udf.CIQ("NYSE:BABA", "IQ_MARKETCAP", "21/07/2023")/1000</f>
        <v>234.73669002</v>
      </c>
      <c r="I24" s="5">
        <f>_xll.ciqfunctions.udf.CIQ("NYSE:BABA", "IQ_MARKETCAP", "23/05/2024")/1000</f>
        <v>195.38940246000001</v>
      </c>
    </row>
    <row r="25" spans="1:9" x14ac:dyDescent="0.3">
      <c r="A25" s="9" t="s">
        <v>13</v>
      </c>
      <c r="B25" s="10"/>
      <c r="C25" s="10" t="s">
        <v>27</v>
      </c>
      <c r="D25" s="5">
        <f>_xll.ciqfunctions.udf.CIQ("NYSE:BABA", "IQ_TOTAL_LIAB", "FY2019")/1000</f>
        <v>53.115948680000002</v>
      </c>
      <c r="E25" s="5">
        <f>_xll.ciqfunctions.udf.CIQ("NYSE:BABA", "IQ_TOTAL_LIAB", "FY2020")/1000</f>
        <v>61.188082469999998</v>
      </c>
      <c r="F25" s="5">
        <f>_xll.ciqfunctions.udf.CIQ("NYSE:BABA", "IQ_TOTAL_LIAB", "FY2021")/1000</f>
        <v>92.57149819</v>
      </c>
      <c r="G25" s="5">
        <f>_xll.ciqfunctions.udf.CIQ("NYSE:BABA", "IQ_TOTAL_LIAB", "FY2022")/1000</f>
        <v>96.746005150000002</v>
      </c>
      <c r="H25" s="5">
        <f>_xll.ciqfunctions.udf.CIQ("NYSE:BABA", "IQ_TOTAL_LIAB", "FY2023")/1000</f>
        <v>91.73164281999999</v>
      </c>
      <c r="I25" s="5">
        <f>_xll.ciqfunctions.udf.CIQ("NYSE:BABA", "IQ_TOTAL_LIAB", "FY2024")/1000</f>
        <v>90.330309479999997</v>
      </c>
    </row>
    <row r="26" spans="1:9" ht="15.6" x14ac:dyDescent="0.35">
      <c r="A26" s="10"/>
      <c r="B26" s="12" t="s">
        <v>28</v>
      </c>
      <c r="C26" s="12" t="s">
        <v>9</v>
      </c>
      <c r="D26" s="6">
        <f>D24/D25</f>
        <v>7.4332774063520688</v>
      </c>
      <c r="E26" s="6">
        <f t="shared" ref="E26:I26" si="4">E24/E25</f>
        <v>11.562476858248896</v>
      </c>
      <c r="F26" s="6">
        <f t="shared" si="4"/>
        <v>5.4635781268433208</v>
      </c>
      <c r="G26" s="6">
        <f t="shared" si="4"/>
        <v>2.7766227994996444</v>
      </c>
      <c r="H26" s="6">
        <f t="shared" si="4"/>
        <v>2.558950028624376</v>
      </c>
      <c r="I26" s="6">
        <f t="shared" si="4"/>
        <v>2.1630547219951803</v>
      </c>
    </row>
    <row r="27" spans="1:9" x14ac:dyDescent="0.3">
      <c r="A27" s="9" t="s">
        <v>21</v>
      </c>
      <c r="B27" s="10"/>
      <c r="C27" s="10" t="s">
        <v>29</v>
      </c>
      <c r="D27" s="5">
        <f>_xll.ciqfunctions.udf.CIQ("NYSE:BABA", "IQ_TOTAL_REV", "FY2019")/1000</f>
        <v>56.148161569999999</v>
      </c>
      <c r="E27" s="5">
        <f>_xll.ciqfunctions.udf.CIQ("NYSE:BABA", "IQ_TOTAL_REV", "FY2020")/1000</f>
        <v>71.972747820000009</v>
      </c>
      <c r="F27" s="5">
        <f>_xll.ciqfunctions.udf.CIQ("NYSE:BABA", "IQ_TOTAL_REV", "FY2021")/1000</f>
        <v>109.46631853999999</v>
      </c>
      <c r="G27" s="5">
        <f>_xll.ciqfunctions.udf.CIQ("NYSE:BABA", "IQ_TOTAL_REV", "FY2022")/1000</f>
        <v>134.55448782000002</v>
      </c>
      <c r="H27" s="5">
        <f>_xll.ciqfunctions.udf.CIQ("NYSE:BABA", "IQ_TOTAL_REV", "FY2023")/1000</f>
        <v>126.46116013000001</v>
      </c>
      <c r="I27" s="5">
        <f>_xll.ciqfunctions.udf.CIQ("NYSE:BABA", "IQ_TOTAL_REV", "FY2024")/1000</f>
        <v>130.34665181</v>
      </c>
    </row>
    <row r="28" spans="1:9" ht="15.6" x14ac:dyDescent="0.35">
      <c r="A28" s="3"/>
      <c r="B28" s="12" t="s">
        <v>30</v>
      </c>
      <c r="C28" s="12" t="s">
        <v>11</v>
      </c>
      <c r="D28" s="6">
        <f>D27/D18</f>
        <v>0.39048116416598222</v>
      </c>
      <c r="E28" s="6">
        <f t="shared" ref="E28:I28" si="5">E27/E18</f>
        <v>0.38820778609196099</v>
      </c>
      <c r="F28" s="6">
        <f>F27/F18</f>
        <v>0.42437661887168193</v>
      </c>
      <c r="G28" s="6">
        <f t="shared" si="5"/>
        <v>0.50311727207942281</v>
      </c>
      <c r="H28" s="6">
        <f t="shared" si="5"/>
        <v>0.49553063131236275</v>
      </c>
      <c r="I28" s="6">
        <f t="shared" si="5"/>
        <v>0.5332913273710147</v>
      </c>
    </row>
  </sheetData>
  <mergeCells count="1">
    <mergeCell ref="F2:I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6B740-D97D-47FD-8D33-DBCDE547D4A7}">
  <sheetPr codeName="Sheet6"/>
  <dimension ref="A1:I28"/>
  <sheetViews>
    <sheetView zoomScale="70" zoomScaleNormal="70" workbookViewId="0">
      <selection activeCell="G2" sqref="G2:H2"/>
    </sheetView>
  </sheetViews>
  <sheetFormatPr defaultRowHeight="14.4" x14ac:dyDescent="0.3"/>
  <cols>
    <col min="1" max="1" width="19.33203125" customWidth="1"/>
    <col min="2" max="3" width="53.44140625" bestFit="1" customWidth="1"/>
    <col min="4" max="4" width="27.109375" bestFit="1" customWidth="1"/>
    <col min="5" max="5" width="27.88671875" bestFit="1" customWidth="1"/>
    <col min="6" max="6" width="25.109375" bestFit="1" customWidth="1"/>
    <col min="7" max="7" width="27.6640625" bestFit="1" customWidth="1"/>
    <col min="8" max="8" width="26.33203125" bestFit="1" customWidth="1"/>
    <col min="9" max="9" width="27.109375" bestFit="1" customWidth="1"/>
    <col min="12" max="12" width="16.5546875" customWidth="1"/>
  </cols>
  <sheetData>
    <row r="1" spans="1:9" ht="15.6" x14ac:dyDescent="0.35">
      <c r="B1" s="8" t="s">
        <v>0</v>
      </c>
      <c r="C1" s="15"/>
      <c r="D1" s="2"/>
      <c r="E1" s="2"/>
      <c r="F1" s="1"/>
    </row>
    <row r="2" spans="1:9" x14ac:dyDescent="0.3">
      <c r="B2" t="s">
        <v>31</v>
      </c>
      <c r="G2" s="16" t="s">
        <v>96</v>
      </c>
      <c r="H2" s="17"/>
    </row>
    <row r="3" spans="1:9" x14ac:dyDescent="0.3">
      <c r="D3" s="13">
        <v>43830</v>
      </c>
      <c r="E3" s="13">
        <v>44196</v>
      </c>
      <c r="F3" s="13">
        <v>44561</v>
      </c>
      <c r="G3" s="13">
        <v>44926</v>
      </c>
      <c r="H3" s="13">
        <v>45291</v>
      </c>
      <c r="I3" s="13">
        <v>45657</v>
      </c>
    </row>
    <row r="4" spans="1:9" x14ac:dyDescent="0.3">
      <c r="B4" s="7" t="s">
        <v>1</v>
      </c>
      <c r="C4" s="7" t="s">
        <v>2</v>
      </c>
    </row>
    <row r="5" spans="1:9" ht="15.6" x14ac:dyDescent="0.35">
      <c r="B5" s="5" t="s">
        <v>3</v>
      </c>
      <c r="C5" s="5" t="s">
        <v>4</v>
      </c>
      <c r="D5">
        <f>VLOOKUP($C$5,$C$15:$I$28,2,)</f>
        <v>-8.1882480887332187E-2</v>
      </c>
      <c r="E5">
        <f>VLOOKUP($C$5,$C$15:$I$28,3,)</f>
        <v>-8.1302008873338577E-2</v>
      </c>
      <c r="F5">
        <f>VLOOKUP($C$5,$C$15:$I$28,4,)</f>
        <v>-9.1570865127348591E-2</v>
      </c>
      <c r="G5">
        <f>VLOOKUP($C$5,$C$15:$I$28,5,)</f>
        <v>-5.2547827056934414E-2</v>
      </c>
      <c r="H5">
        <f>VLOOKUP($C$5,$C$15:$I$28,6,)</f>
        <v>-3.3433622329210412E-2</v>
      </c>
      <c r="I5">
        <f>VLOOKUP($C$5,$C$15:$I$28,7,)</f>
        <v>-5.8155954121330462E-2</v>
      </c>
    </row>
    <row r="6" spans="1:9" ht="15.6" x14ac:dyDescent="0.35">
      <c r="B6" s="5" t="s">
        <v>5</v>
      </c>
      <c r="C6" s="5" t="s">
        <v>6</v>
      </c>
      <c r="D6">
        <f>VLOOKUP($C$6,$C$15:$I$28,2,)</f>
        <v>0.15358419483093239</v>
      </c>
      <c r="E6">
        <f>VLOOKUP($C$6,$C$15:$I$28,3,)</f>
        <v>0.15220328655617904</v>
      </c>
      <c r="F6">
        <f>VLOOKUP($C$6,$C$15:$I$28,4,)</f>
        <v>0.18151195762952649</v>
      </c>
      <c r="G6">
        <f>VLOOKUP($C$6,$C$15:$I$28,5,)</f>
        <v>0.16196652998815794</v>
      </c>
      <c r="H6">
        <f>VLOOKUP($C$6,$C$15:$I$28,6,)</f>
        <v>0.17024227809151987</v>
      </c>
      <c r="I6">
        <f>VLOOKUP($C$6,$C$15:$I$28,7,)</f>
        <v>0.15912269226817807</v>
      </c>
    </row>
    <row r="7" spans="1:9" ht="15.6" x14ac:dyDescent="0.35">
      <c r="B7" s="5" t="s">
        <v>7</v>
      </c>
      <c r="C7" s="5" t="s">
        <v>24</v>
      </c>
      <c r="D7">
        <f>VLOOKUP($C$7,$C$15:$I$28,2,)</f>
        <v>4.0416601855478365E-2</v>
      </c>
      <c r="E7">
        <f>VLOOKUP($C$7,$C$15:$I$28,3,)</f>
        <v>4.5494662475622852E-2</v>
      </c>
      <c r="F7">
        <f>VLOOKUP($C$7,$C$15:$I$28,4,)</f>
        <v>4.5963749339013087E-2</v>
      </c>
      <c r="G7">
        <f>VLOOKUP($C$7,$C$15:$I$28,5,)</f>
        <v>4.1903886337287921E-2</v>
      </c>
      <c r="H7">
        <f>VLOOKUP($C$7,$C$15:$I$28,6,)</f>
        <v>3.9913834568728421E-2</v>
      </c>
      <c r="I7">
        <f>VLOOKUP($C$7,$C$15:$I$28,7,)</f>
        <v>3.8247650867821219E-2</v>
      </c>
    </row>
    <row r="8" spans="1:9" ht="15.6" x14ac:dyDescent="0.35">
      <c r="B8" s="5" t="s">
        <v>8</v>
      </c>
      <c r="C8" s="5" t="s">
        <v>9</v>
      </c>
      <c r="D8">
        <f>VLOOKUP($C$8,$C$15:$I$28,2,)</f>
        <v>0.25990979128941144</v>
      </c>
      <c r="E8">
        <f>VLOOKUP($C$8,$C$15:$I$28,3,)</f>
        <v>0.32471346060919137</v>
      </c>
      <c r="F8">
        <f>VLOOKUP($C$8,$C$15:$I$28,4,)</f>
        <v>0.37774859177429465</v>
      </c>
      <c r="G8">
        <f>VLOOKUP($C$8,$C$15:$I$28,5,)</f>
        <v>0.30152078014542838</v>
      </c>
      <c r="H8">
        <f>VLOOKUP($C$8,$C$15:$I$28,6,)</f>
        <v>0.24494183200433101</v>
      </c>
      <c r="I8">
        <f>VLOOKUP($C$8,$C$15:$I$28,7,)</f>
        <v>0.19823472651545548</v>
      </c>
    </row>
    <row r="9" spans="1:9" ht="15.6" x14ac:dyDescent="0.35">
      <c r="B9" s="5" t="s">
        <v>10</v>
      </c>
      <c r="C9" s="5" t="s">
        <v>11</v>
      </c>
      <c r="D9">
        <f>VLOOKUP($C$9,$C$15:$I$28,2,)</f>
        <v>1.4362661278566033</v>
      </c>
      <c r="E9">
        <f>VLOOKUP($C$9,$C$15:$I$28,3,)</f>
        <v>1.512019836855671</v>
      </c>
      <c r="F9">
        <f>VLOOKUP($C$9,$C$15:$I$28,4,)</f>
        <v>1.50222371396849</v>
      </c>
      <c r="G9">
        <f>VLOOKUP($C$9,$C$15:$I$28,5,)</f>
        <v>1.4656282046769591</v>
      </c>
      <c r="H9">
        <f>VLOOKUP($C$9,$C$15:$I$28,6,)</f>
        <v>1.5080557582179996</v>
      </c>
      <c r="I9">
        <f>VLOOKUP($C$9,$C$15:$I$28,7,)</f>
        <v>1.5176856160278198</v>
      </c>
    </row>
    <row r="11" spans="1:9" x14ac:dyDescent="0.3">
      <c r="C11" s="4" t="s">
        <v>12</v>
      </c>
      <c r="D11" s="14">
        <f>1.2*(D5)+1.4*(D6)+3.3*(D7)+0.6*(D8)+0.999*(D9)</f>
        <v>1.8409094183239789</v>
      </c>
      <c r="E11" s="14">
        <f t="shared" ref="E11:I11" si="0">1.2*(E5)+1.4*(E6)+3.3*(E7)+0.6*(E8)+0.999*(E9)</f>
        <v>1.97099047008453</v>
      </c>
      <c r="F11" s="14">
        <f t="shared" si="0"/>
        <v>2.0232827206663604</v>
      </c>
      <c r="G11" s="14">
        <f t="shared" si="0"/>
        <v>1.947053618987689</v>
      </c>
      <c r="H11" s="14">
        <f t="shared" si="0"/>
        <v>1.9834472982722593</v>
      </c>
      <c r="I11" s="14">
        <f t="shared" si="0"/>
        <v>1.9143106384147281</v>
      </c>
    </row>
    <row r="13" spans="1:9" x14ac:dyDescent="0.3">
      <c r="C13" s="5"/>
      <c r="D13" s="5"/>
      <c r="E13" s="5"/>
      <c r="F13" s="5"/>
      <c r="G13" s="5"/>
      <c r="H13" s="5"/>
      <c r="I13" s="5"/>
    </row>
    <row r="14" spans="1:9" x14ac:dyDescent="0.3">
      <c r="C14" s="5"/>
      <c r="D14" s="13">
        <v>43830</v>
      </c>
      <c r="E14" s="13">
        <v>44196</v>
      </c>
      <c r="F14" s="13">
        <v>44561</v>
      </c>
      <c r="G14" s="13">
        <v>44926</v>
      </c>
      <c r="H14" s="13">
        <v>45291</v>
      </c>
      <c r="I14" s="13">
        <v>45657</v>
      </c>
    </row>
    <row r="15" spans="1:9" x14ac:dyDescent="0.3">
      <c r="A15" s="9" t="s">
        <v>13</v>
      </c>
      <c r="B15" s="10"/>
      <c r="C15" s="10" t="s">
        <v>14</v>
      </c>
      <c r="D15" s="5">
        <f>_xll.ciqfunctions.udf.CIQ("ENXTPA:CA", "IQ_TOTAL_CA", "FY2019")/1000</f>
        <v>21.181685549999997</v>
      </c>
      <c r="E15" s="5">
        <f>_xll.ciqfunctions.udf.CIQ("ENXTPA:CA", "IQ_TOTAL_CA", "FY2020")/1000</f>
        <v>21.373700299999999</v>
      </c>
      <c r="F15" s="5">
        <f>_xll.ciqfunctions.udf.CIQ("ENXTPA:CA", "IQ_TOTAL_CA", "FY2021")/1000</f>
        <v>20.226316399999998</v>
      </c>
      <c r="G15" s="11">
        <f>_xll.ciqfunctions.udf.CIQ("ENXTPA:CA", "IQ_TOTAL_CA", "FY2022")/1000</f>
        <v>25.57977984</v>
      </c>
      <c r="H15" s="5">
        <f>_xll.ciqfunctions.udf.CIQ("ENXTPA:CA", "IQ_TOTAL_CA", "FY2023")/1000</f>
        <v>25.917983849999999</v>
      </c>
      <c r="I15" s="5">
        <f>_xll.ciqfunctions.udf.CIQ("ENXTPA:CA", "IQ_TOTAL_CA", "FY2024")/1000</f>
        <v>24.647479039999997</v>
      </c>
    </row>
    <row r="16" spans="1:9" x14ac:dyDescent="0.3">
      <c r="A16" s="9" t="s">
        <v>13</v>
      </c>
      <c r="B16" s="10"/>
      <c r="C16" s="10" t="s">
        <v>15</v>
      </c>
      <c r="D16" s="5">
        <f>_xll.ciqfunctions.udf.CIQ("ENXTPA:CA", "IQ_TOTAL_CL", "FY2019")/1000</f>
        <v>25.9106722</v>
      </c>
      <c r="E16" s="5">
        <f>_xll.ciqfunctions.udf.CIQ("ENXTPA:CA", "IQ_TOTAL_CL", "FY2020")/1000</f>
        <v>26.106422009999999</v>
      </c>
      <c r="F16" s="5">
        <f>_xll.ciqfunctions.udf.CIQ("ENXTPA:CA", "IQ_TOTAL_CL", "FY2021")/1000</f>
        <v>25.190492450000001</v>
      </c>
      <c r="G16" s="5">
        <f>_xll.ciqfunctions.udf.CIQ("ENXTPA:CA", "IQ_TOTAL_CL", "FY2022")/1000</f>
        <v>28.756011529999999</v>
      </c>
      <c r="H16" s="5">
        <f>_xll.ciqfunctions.udf.CIQ("ENXTPA:CA", "IQ_TOTAL_CL", "FY2023")/1000</f>
        <v>27.99381009</v>
      </c>
      <c r="I16" s="5">
        <f>_xll.ciqfunctions.udf.CIQ("ENXTPA:CA", "IQ_TOTAL_CL", "FY2024")/1000</f>
        <v>28.101252729999999</v>
      </c>
    </row>
    <row r="17" spans="1:9" x14ac:dyDescent="0.3">
      <c r="A17" s="10"/>
      <c r="B17" s="10"/>
      <c r="C17" s="10" t="s">
        <v>16</v>
      </c>
      <c r="D17" s="5">
        <f>_xll.ciqfunctions.udf.CIQ("ENXTPA:CA", "IQ_WORKING_CAP", "FY2019")/1000</f>
        <v>-4.7289866400000005</v>
      </c>
      <c r="E17" s="5">
        <f>_xll.ciqfunctions.udf.CIQ("ENXTPA:CA", "IQ_WORKING_CAP", "FY2020")/1000</f>
        <v>-4.7327217099999999</v>
      </c>
      <c r="F17" s="5">
        <f>_xll.ciqfunctions.udf.CIQ("ENXTPA:CA", "IQ_WORKING_CAP", "FY2021")/1000</f>
        <v>-4.9641760499999998</v>
      </c>
      <c r="G17" s="5">
        <f>_xll.ciqfunctions.udf.CIQ("ENXTPA:CA", "IQ_WORKING_CAP", "FY2022")/1000</f>
        <v>-3.1762316999999998</v>
      </c>
      <c r="H17" s="5">
        <f>_xll.ciqfunctions.udf.CIQ("ENXTPA:CA", "IQ_WORKING_CAP", "FY2023")/1000</f>
        <v>-2.07582624</v>
      </c>
      <c r="I17" s="5">
        <f>_xll.ciqfunctions.udf.CIQ("ENXTPA:CA", "IQ_WORKING_CAP", "FY2024")/1000</f>
        <v>-3.4537736799999998</v>
      </c>
    </row>
    <row r="18" spans="1:9" x14ac:dyDescent="0.3">
      <c r="A18" s="9" t="s">
        <v>13</v>
      </c>
      <c r="B18" s="10"/>
      <c r="C18" s="10" t="s">
        <v>17</v>
      </c>
      <c r="D18" s="5">
        <f>_xll.ciqfunctions.udf.CIQ("ENXTPA:CA", "IQ_TOTAL_ASSETS", "FY2019")/1000</f>
        <v>57.753338550000002</v>
      </c>
      <c r="E18" s="5">
        <f>_xll.ciqfunctions.udf.CIQ("ENXTPA:CA", "IQ_TOTAL_ASSETS", "FY2020")/1000</f>
        <v>58.211620789999998</v>
      </c>
      <c r="F18" s="5">
        <f>_xll.ciqfunctions.udf.CIQ("ENXTPA:CA", "IQ_TOTAL_ASSETS", "FY2021")/1000</f>
        <v>54.211304470000002</v>
      </c>
      <c r="G18" s="5">
        <f>_xll.ciqfunctions.udf.CIQ("ENXTPA:CA", "IQ_TOTAL_ASSETS", "FY2022")/1000</f>
        <v>60.444586919999999</v>
      </c>
      <c r="H18" s="5">
        <f>_xll.ciqfunctions.udf.CIQ("ENXTPA:CA", "IQ_TOTAL_ASSETS", "FY2023")/1000</f>
        <v>62.087984949999999</v>
      </c>
      <c r="I18" s="5">
        <f>_xll.ciqfunctions.udf.CIQ("ENXTPA:CA", "IQ_TOTAL_ASSETS", "FY2024")/1000</f>
        <v>59.388135439999999</v>
      </c>
    </row>
    <row r="19" spans="1:9" ht="15.6" x14ac:dyDescent="0.35">
      <c r="A19" s="10"/>
      <c r="B19" s="12" t="s">
        <v>18</v>
      </c>
      <c r="C19" s="12" t="s">
        <v>4</v>
      </c>
      <c r="D19" s="6">
        <f>D17/D18</f>
        <v>-8.1882480887332187E-2</v>
      </c>
      <c r="E19" s="6">
        <f t="shared" ref="E19:H19" si="1">E17/E18</f>
        <v>-8.1302008873338577E-2</v>
      </c>
      <c r="F19" s="6">
        <f t="shared" si="1"/>
        <v>-9.1570865127348591E-2</v>
      </c>
      <c r="G19" s="6">
        <f t="shared" si="1"/>
        <v>-5.2547827056934414E-2</v>
      </c>
      <c r="H19" s="6">
        <f t="shared" si="1"/>
        <v>-3.3433622329210412E-2</v>
      </c>
      <c r="I19" s="6">
        <f>I17/I18</f>
        <v>-5.8155954121330462E-2</v>
      </c>
    </row>
    <row r="20" spans="1:9" x14ac:dyDescent="0.3">
      <c r="A20" s="9" t="s">
        <v>13</v>
      </c>
      <c r="B20" s="10"/>
      <c r="C20" s="10" t="s">
        <v>19</v>
      </c>
      <c r="D20" s="5">
        <v>8.8699999999999992</v>
      </c>
      <c r="E20" s="5">
        <v>8.86</v>
      </c>
      <c r="F20" s="5">
        <v>9.84</v>
      </c>
      <c r="G20" s="5">
        <v>9.7899999999999991</v>
      </c>
      <c r="H20" s="5">
        <v>10.57</v>
      </c>
      <c r="I20" s="5">
        <v>9.4499999999999993</v>
      </c>
    </row>
    <row r="21" spans="1:9" ht="15.6" x14ac:dyDescent="0.35">
      <c r="A21" s="10"/>
      <c r="B21" s="12" t="s">
        <v>20</v>
      </c>
      <c r="C21" s="12" t="s">
        <v>6</v>
      </c>
      <c r="D21" s="6">
        <f>D20/D18</f>
        <v>0.15358419483093239</v>
      </c>
      <c r="E21" s="6">
        <f t="shared" ref="E21:I21" si="2">E20/E18</f>
        <v>0.15220328655617904</v>
      </c>
      <c r="F21" s="6">
        <f t="shared" si="2"/>
        <v>0.18151195762952649</v>
      </c>
      <c r="G21" s="6">
        <f t="shared" si="2"/>
        <v>0.16196652998815794</v>
      </c>
      <c r="H21" s="6">
        <f t="shared" si="2"/>
        <v>0.17024227809151987</v>
      </c>
      <c r="I21" s="6">
        <f t="shared" si="2"/>
        <v>0.15912269226817807</v>
      </c>
    </row>
    <row r="22" spans="1:9" x14ac:dyDescent="0.3">
      <c r="A22" s="9" t="s">
        <v>21</v>
      </c>
      <c r="B22" s="10"/>
      <c r="C22" s="10" t="s">
        <v>22</v>
      </c>
      <c r="D22" s="5">
        <f>_xll.ciqfunctions.udf.CIQ("ENXTPA:CA", "IQ_EBIT", "FY2019")/1000</f>
        <v>2.3341936900000002</v>
      </c>
      <c r="E22" s="5">
        <f>_xll.ciqfunctions.udf.CIQ("ENXTPA:CA", "IQ_EBIT", "FY2020")/1000</f>
        <v>2.6483180399999999</v>
      </c>
      <c r="F22" s="5">
        <f>_xll.ciqfunctions.udf.CIQ("ENXTPA:CA", "IQ_EBIT", "FY2021")/1000</f>
        <v>2.4917548099999998</v>
      </c>
      <c r="G22" s="5">
        <f>_xll.ciqfunctions.udf.CIQ("ENXTPA:CA", "IQ_EBIT", "FY2022")/1000</f>
        <v>2.5328631000000001</v>
      </c>
      <c r="H22" s="5">
        <f>_xll.ciqfunctions.udf.CIQ("ENXTPA:CA", "IQ_EBIT", "FY2023")/1000</f>
        <v>2.47816956</v>
      </c>
      <c r="I22" s="5">
        <f>_xll.ciqfunctions.udf.CIQ("ENXTPA:CA", "IQ_EBIT", "FY2024")/1000</f>
        <v>2.2714566700000001</v>
      </c>
    </row>
    <row r="23" spans="1:9" ht="15.6" x14ac:dyDescent="0.35">
      <c r="A23" s="10"/>
      <c r="B23" s="12" t="s">
        <v>23</v>
      </c>
      <c r="C23" s="12" t="s">
        <v>24</v>
      </c>
      <c r="D23" s="6">
        <f>D22/D18</f>
        <v>4.0416601855478365E-2</v>
      </c>
      <c r="E23" s="6">
        <f t="shared" ref="E23:I23" si="3">E22/E18</f>
        <v>4.5494662475622852E-2</v>
      </c>
      <c r="F23" s="6">
        <f t="shared" si="3"/>
        <v>4.5963749339013087E-2</v>
      </c>
      <c r="G23" s="6">
        <f t="shared" si="3"/>
        <v>4.1903886337287921E-2</v>
      </c>
      <c r="H23" s="6">
        <f t="shared" si="3"/>
        <v>3.9913834568728421E-2</v>
      </c>
      <c r="I23" s="6">
        <f t="shared" si="3"/>
        <v>3.8247650867821219E-2</v>
      </c>
    </row>
    <row r="24" spans="1:9" x14ac:dyDescent="0.3">
      <c r="A24" s="9" t="s">
        <v>25</v>
      </c>
      <c r="B24" s="10"/>
      <c r="C24" s="10" t="s">
        <v>26</v>
      </c>
      <c r="D24" s="5">
        <f>_xll.ciqfunctions.udf.CIQ("ENXTPA:CA", "IQ_MARKETCAP", "23/03/2020")/1000</f>
        <v>11.60595949</v>
      </c>
      <c r="E24" s="5">
        <f>_xll.ciqfunctions.udf.CIQ("ENXTPA:CA", "IQ_MARKETCAP", "09/04/2021")/1000</f>
        <v>14.29056989</v>
      </c>
      <c r="F24" s="5">
        <f>_xll.ciqfunctions.udf.CIQ("ENXTPA:CA", "IQ_MARKETCAP", "17/03/2022")/1000</f>
        <v>15.396058269999999</v>
      </c>
      <c r="G24" s="5">
        <f>_xll.ciqfunctions.udf.CIQ("ENXTPA:CA", "IQ_MARKETCAP", "07/03/2023")/1000</f>
        <v>13.976230920000001</v>
      </c>
      <c r="H24" s="5">
        <f>_xll.ciqfunctions.udf.CIQ("ENXTPA:CA", "IQ_MARKETCAP", "04/03/2024")/1000</f>
        <v>11.58349877</v>
      </c>
      <c r="I24" s="5">
        <f>_xll.ciqfunctions.udf.CIQ("ENXTPA:CA", "IQ_MARKETCAP", "19/02/2025")/1000</f>
        <v>9.2104545600000005</v>
      </c>
    </row>
    <row r="25" spans="1:9" x14ac:dyDescent="0.3">
      <c r="A25" s="9" t="s">
        <v>13</v>
      </c>
      <c r="B25" s="10"/>
      <c r="C25" s="10" t="s">
        <v>27</v>
      </c>
      <c r="D25" s="5">
        <f>_xll.ciqfunctions.udf.CIQ("ENXTPA:CA", "IQ_TOTAL_LIAB", "FY2019")/1000</f>
        <v>44.65379866</v>
      </c>
      <c r="E25" s="5">
        <f>_xll.ciqfunctions.udf.CIQ("ENXTPA:CA", "IQ_TOTAL_LIAB", "FY2020")/1000</f>
        <v>44.00978593</v>
      </c>
      <c r="F25" s="5">
        <f>_xll.ciqfunctions.udf.CIQ("ENXTPA:CA", "IQ_TOTAL_LIAB", "FY2021")/1000</f>
        <v>40.757420689999996</v>
      </c>
      <c r="G25" s="5">
        <f>_xll.ciqfunctions.udf.CIQ("ENXTPA:CA", "IQ_TOTAL_LIAB", "FY2022")/1000</f>
        <v>46.352463380000003</v>
      </c>
      <c r="H25" s="5">
        <f>_xll.ciqfunctions.udf.CIQ("ENXTPA:CA", "IQ_TOTAL_LIAB", "FY2023")/1000</f>
        <v>47.290814619999999</v>
      </c>
      <c r="I25" s="5">
        <f>_xll.ciqfunctions.udf.CIQ("ENXTPA:CA", "IQ_TOTAL_LIAB", "FY2024")/1000</f>
        <v>46.462366719999999</v>
      </c>
    </row>
    <row r="26" spans="1:9" ht="15.6" x14ac:dyDescent="0.35">
      <c r="A26" s="10"/>
      <c r="B26" s="12" t="s">
        <v>28</v>
      </c>
      <c r="C26" s="12" t="s">
        <v>9</v>
      </c>
      <c r="D26" s="6">
        <f>D24/D25</f>
        <v>0.25990979128941144</v>
      </c>
      <c r="E26" s="6">
        <f t="shared" ref="E26:I26" si="4">E24/E25</f>
        <v>0.32471346060919137</v>
      </c>
      <c r="F26" s="6">
        <f t="shared" si="4"/>
        <v>0.37774859177429465</v>
      </c>
      <c r="G26" s="6">
        <f t="shared" si="4"/>
        <v>0.30152078014542838</v>
      </c>
      <c r="H26" s="6">
        <f t="shared" si="4"/>
        <v>0.24494183200433101</v>
      </c>
      <c r="I26" s="6">
        <f t="shared" si="4"/>
        <v>0.19823472651545548</v>
      </c>
    </row>
    <row r="27" spans="1:9" x14ac:dyDescent="0.3">
      <c r="A27" s="9" t="s">
        <v>21</v>
      </c>
      <c r="B27" s="10"/>
      <c r="C27" s="10" t="s">
        <v>29</v>
      </c>
      <c r="D27" s="5">
        <f>_xll.ciqfunctions.udf.CIQ("ENXTPA:CA", "IQ_TOTAL_REV", "FY2019")/1000</f>
        <v>82.949163929999997</v>
      </c>
      <c r="E27" s="5">
        <f>_xll.ciqfunctions.udf.CIQ("ENXTPA:CA", "IQ_TOTAL_REV", "FY2020")/1000</f>
        <v>88.017125369999988</v>
      </c>
      <c r="F27" s="5">
        <f>_xll.ciqfunctions.udf.CIQ("ENXTPA:CA", "IQ_TOTAL_REV", "FY2021")/1000</f>
        <v>81.437507140000008</v>
      </c>
      <c r="G27" s="5">
        <f>_xll.ciqfunctions.udf.CIQ("ENXTPA:CA", "IQ_TOTAL_REV", "FY2022")/1000</f>
        <v>88.589291410000001</v>
      </c>
      <c r="H27" s="5">
        <f>_xll.ciqfunctions.udf.CIQ("ENXTPA:CA", "IQ_TOTAL_REV", "FY2023")/1000</f>
        <v>93.632143220000003</v>
      </c>
      <c r="I27" s="5">
        <f>_xll.ciqfunctions.udf.CIQ("ENXTPA:CA", "IQ_TOTAL_REV", "FY2024")/1000</f>
        <v>90.132518919999995</v>
      </c>
    </row>
    <row r="28" spans="1:9" ht="15.6" x14ac:dyDescent="0.35">
      <c r="A28" s="3"/>
      <c r="B28" s="12" t="s">
        <v>30</v>
      </c>
      <c r="C28" s="12" t="s">
        <v>11</v>
      </c>
      <c r="D28" s="6">
        <f>D27/D18</f>
        <v>1.4362661278566033</v>
      </c>
      <c r="E28" s="6">
        <f t="shared" ref="E28:I28" si="5">E27/E18</f>
        <v>1.512019836855671</v>
      </c>
      <c r="F28" s="6">
        <f t="shared" si="5"/>
        <v>1.50222371396849</v>
      </c>
      <c r="G28" s="6">
        <f t="shared" si="5"/>
        <v>1.4656282046769591</v>
      </c>
      <c r="H28" s="6">
        <f t="shared" si="5"/>
        <v>1.5080557582179996</v>
      </c>
      <c r="I28" s="6">
        <f t="shared" si="5"/>
        <v>1.5176856160278198</v>
      </c>
    </row>
  </sheetData>
  <mergeCells count="1">
    <mergeCell ref="G2:H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B79-6ECF-4791-9784-304DA7439DEA}">
  <sheetPr codeName="Sheet7"/>
  <dimension ref="A1:I28"/>
  <sheetViews>
    <sheetView zoomScale="70" zoomScaleNormal="70" workbookViewId="0">
      <selection activeCell="G2" sqref="G2:H2"/>
    </sheetView>
  </sheetViews>
  <sheetFormatPr defaultRowHeight="14.4" x14ac:dyDescent="0.3"/>
  <cols>
    <col min="1" max="1" width="19.33203125" customWidth="1"/>
    <col min="2" max="3" width="50.21875" bestFit="1" customWidth="1"/>
    <col min="4" max="4" width="27.109375" bestFit="1" customWidth="1"/>
    <col min="5" max="5" width="27.88671875" bestFit="1" customWidth="1"/>
    <col min="6" max="6" width="25.109375" bestFit="1" customWidth="1"/>
    <col min="7" max="7" width="27.6640625" bestFit="1" customWidth="1"/>
    <col min="8" max="8" width="26.33203125" bestFit="1" customWidth="1"/>
    <col min="9" max="9" width="27.109375" bestFit="1" customWidth="1"/>
    <col min="12" max="12" width="16.5546875" customWidth="1"/>
  </cols>
  <sheetData>
    <row r="1" spans="1:9" ht="15.6" x14ac:dyDescent="0.35">
      <c r="B1" s="8" t="s">
        <v>0</v>
      </c>
      <c r="C1" s="15"/>
      <c r="D1" s="2"/>
      <c r="E1" s="2"/>
      <c r="F1" s="1"/>
    </row>
    <row r="2" spans="1:9" x14ac:dyDescent="0.3">
      <c r="B2" t="s">
        <v>31</v>
      </c>
      <c r="G2" s="16" t="s">
        <v>97</v>
      </c>
      <c r="H2" s="17"/>
    </row>
    <row r="3" spans="1:9" x14ac:dyDescent="0.3">
      <c r="D3" s="13">
        <v>43830</v>
      </c>
      <c r="E3" s="13">
        <v>44196</v>
      </c>
      <c r="F3" s="13">
        <v>44561</v>
      </c>
      <c r="G3" s="13">
        <v>44926</v>
      </c>
      <c r="H3" s="13">
        <v>45291</v>
      </c>
      <c r="I3" s="13">
        <v>45657</v>
      </c>
    </row>
    <row r="4" spans="1:9" x14ac:dyDescent="0.3">
      <c r="B4" s="7" t="s">
        <v>1</v>
      </c>
      <c r="C4" s="7" t="s">
        <v>2</v>
      </c>
    </row>
    <row r="5" spans="1:9" ht="15.6" x14ac:dyDescent="0.35">
      <c r="B5" s="5" t="s">
        <v>3</v>
      </c>
      <c r="C5" s="5" t="s">
        <v>4</v>
      </c>
      <c r="D5">
        <f>VLOOKUP($C$5,$C$15:$I$28,2,FALSE)</f>
        <v>0.24448265170516856</v>
      </c>
      <c r="E5">
        <f>VLOOKUP($C$5,$C$15:$I$28,3,FALSE)</f>
        <v>0.13724336093659939</v>
      </c>
      <c r="F5">
        <f>VLOOKUP($C$5,$C$15:$I$28,4,FALSE)</f>
        <v>0.24105024307682499</v>
      </c>
      <c r="G5">
        <f>VLOOKUP($C$5,$C$15:$I$28,5,FALSE)</f>
        <v>0.18813854161719409</v>
      </c>
      <c r="H5">
        <f>VLOOKUP($C$5,$C$15:$I$28,6,FALSE)</f>
        <v>7.5104284394188939E-2</v>
      </c>
      <c r="I5">
        <f>VLOOKUP($C$5,$C$15:$I$28,7,FALSE)</f>
        <v>7.6122555744731243E-2</v>
      </c>
    </row>
    <row r="6" spans="1:9" ht="15.6" x14ac:dyDescent="0.35">
      <c r="B6" s="5" t="s">
        <v>5</v>
      </c>
      <c r="C6" s="5" t="s">
        <v>6</v>
      </c>
      <c r="D6">
        <f>VLOOKUP($C$6,$C$15:$I$28,2,)</f>
        <v>7.1282492002262401E-2</v>
      </c>
      <c r="E6">
        <f>VLOOKUP($C$6,$C$15:$I$28,3,)</f>
        <v>6.3897352804802465E-2</v>
      </c>
      <c r="F6">
        <f>VLOOKUP($C$6,$C$15:$I$28,4,)</f>
        <v>5.1950683146822246E-2</v>
      </c>
      <c r="G6">
        <f>VLOOKUP($C$6,$C$15:$I$28,5,)</f>
        <v>3.8033917013920317E-2</v>
      </c>
      <c r="H6">
        <f>VLOOKUP($C$6,$C$15:$I$28,6,)</f>
        <v>1.2208735449135566E-2</v>
      </c>
      <c r="I6">
        <f>VLOOKUP($C$6,$C$15:$I$28,7,)</f>
        <v>2.4281717656829131E-2</v>
      </c>
    </row>
    <row r="7" spans="1:9" ht="15.6" x14ac:dyDescent="0.35">
      <c r="B7" s="5" t="s">
        <v>7</v>
      </c>
      <c r="C7" s="5" t="s">
        <v>24</v>
      </c>
      <c r="D7">
        <f>VLOOKUP($C$7,$C$15:$I$28,2,)</f>
        <v>4.2936580853231751E-2</v>
      </c>
      <c r="E7">
        <f>VLOOKUP($C$7,$C$15:$I$28,3,)</f>
        <v>2.5556774690201473E-2</v>
      </c>
      <c r="F7">
        <f>VLOOKUP($C$7,$C$15:$I$28,4,)</f>
        <v>2.8530698839040465E-3</v>
      </c>
      <c r="G7">
        <f>VLOOKUP($C$7,$C$15:$I$28,5,)</f>
        <v>2.3970230880148623E-2</v>
      </c>
      <c r="H7">
        <f>VLOOKUP($C$7,$C$15:$I$28,6,)</f>
        <v>-1.2878417720388049E-2</v>
      </c>
      <c r="I7">
        <f>VLOOKUP($C$7,$C$15:$I$28,7,)</f>
        <v>3.7896156228171066E-2</v>
      </c>
    </row>
    <row r="8" spans="1:9" ht="15.6" x14ac:dyDescent="0.35">
      <c r="B8" s="5" t="s">
        <v>8</v>
      </c>
      <c r="C8" s="5" t="s">
        <v>9</v>
      </c>
      <c r="D8">
        <f>VLOOKUP($C$8,$C$15:$I$28,2,)</f>
        <v>7.258769671989131</v>
      </c>
      <c r="E8">
        <f>VLOOKUP($C$8,$C$15:$I$28,3,)</f>
        <v>7.8313069451816739</v>
      </c>
      <c r="F8">
        <f>VLOOKUP($C$8,$C$15:$I$28,4,)</f>
        <v>1.4320510767782382</v>
      </c>
      <c r="G8">
        <f>VLOOKUP($C$8,$C$15:$I$28,5,)</f>
        <v>0.91887812233754773</v>
      </c>
      <c r="H8">
        <f>VLOOKUP($C$8,$C$15:$I$28,6,)</f>
        <v>0.42571215671593138</v>
      </c>
      <c r="I8">
        <f>VLOOKUP($C$8,$C$15:$I$28,7,)</f>
        <v>0.1840674714095443</v>
      </c>
    </row>
    <row r="9" spans="1:9" ht="15.6" x14ac:dyDescent="0.35">
      <c r="B9" s="5" t="s">
        <v>10</v>
      </c>
      <c r="C9" s="5" t="s">
        <v>11</v>
      </c>
      <c r="D9">
        <f>VLOOKUP($C$9,$C$15:$I$28,2,)</f>
        <v>1.0048121183618048</v>
      </c>
      <c r="E9">
        <f>VLOOKUP($C$9,$C$15:$I$28,3,)</f>
        <v>1.183790022948142</v>
      </c>
      <c r="F9">
        <f>VLOOKUP($C$9,$C$15:$I$28,4,)</f>
        <v>0.91907002527002057</v>
      </c>
      <c r="G9">
        <f>VLOOKUP($C$9,$C$15:$I$28,5,)</f>
        <v>0.9876384867828073</v>
      </c>
      <c r="H9">
        <f>VLOOKUP($C$9,$C$15:$I$28,6,)</f>
        <v>0.98166021084346433</v>
      </c>
      <c r="I9">
        <f>VLOOKUP($C$9,$C$15:$I$28,7,)</f>
        <v>1.019463249156942</v>
      </c>
    </row>
    <row r="11" spans="1:9" x14ac:dyDescent="0.3">
      <c r="C11" s="4" t="s">
        <v>12</v>
      </c>
      <c r="D11" s="14">
        <f>1.2*(D5)+1.4*(D6)+3.3*(D7)+0.6*(D8)+0.999*(D9)</f>
        <v>5.8939344971019558</v>
      </c>
      <c r="E11" s="14">
        <f t="shared" ref="E11:I11" si="0">1.2*(E5)+1.4*(E6)+3.3*(E7)+0.6*(E8)+0.999*(E9)</f>
        <v>6.2198760835625047</v>
      </c>
      <c r="F11" s="14">
        <f t="shared" si="0"/>
        <v>2.1487879800263179</v>
      </c>
      <c r="G11" s="14">
        <f t="shared" si="0"/>
        <v>1.8960932173631648</v>
      </c>
      <c r="H11" s="14">
        <f t="shared" si="0"/>
        <v>1.3008244370867157</v>
      </c>
      <c r="I11" s="14">
        <f t="shared" si="0"/>
        <v>1.3792830559197145</v>
      </c>
    </row>
    <row r="13" spans="1:9" x14ac:dyDescent="0.3">
      <c r="C13" s="5"/>
      <c r="D13" s="5"/>
      <c r="E13" s="5"/>
      <c r="F13" s="5"/>
      <c r="G13" s="5"/>
      <c r="H13" s="5"/>
      <c r="I13" s="5"/>
    </row>
    <row r="14" spans="1:9" x14ac:dyDescent="0.3">
      <c r="C14" s="5"/>
      <c r="D14" s="13">
        <v>43830</v>
      </c>
      <c r="E14" s="13">
        <v>44196</v>
      </c>
      <c r="F14" s="13">
        <v>44561</v>
      </c>
      <c r="G14" s="13">
        <v>44926</v>
      </c>
      <c r="H14" s="13">
        <v>45291</v>
      </c>
      <c r="I14" s="13">
        <v>45657</v>
      </c>
    </row>
    <row r="15" spans="1:9" x14ac:dyDescent="0.3">
      <c r="A15" s="9" t="s">
        <v>13</v>
      </c>
      <c r="B15" s="10"/>
      <c r="C15" s="10" t="s">
        <v>14</v>
      </c>
      <c r="D15" s="5">
        <f>_xll.ciqfunctions.udf.CIQ("BOVESPA:MGLU3", "IQ_TOTAL_CA", "FY2019")/1000</f>
        <v>3.1946365300000004</v>
      </c>
      <c r="E15" s="5">
        <f>_xll.ciqfunctions.udf.CIQ("BOVESPA:MGLU3", "IQ_TOTAL_CA", "FY2020")/1000</f>
        <v>3.23477047</v>
      </c>
      <c r="F15" s="5">
        <f>_xll.ciqfunctions.udf.CIQ("BOVESPA:MGLU3", "IQ_TOTAL_CA", "FY2021")/1000</f>
        <v>4.3989823699999997</v>
      </c>
      <c r="G15" s="11">
        <f>_xll.ciqfunctions.udf.CIQ("BOVESPA:MGLU3", "IQ_TOTAL_CA", "FY2022")/1000</f>
        <v>4.1497628100000004</v>
      </c>
      <c r="H15" s="5">
        <f>_xll.ciqfunctions.udf.CIQ("BOVESPA:MGLU3", "IQ_TOTAL_CA", "FY2023")/1000</f>
        <v>4.1673356999999998</v>
      </c>
      <c r="I15" s="5">
        <f>_xll.ciqfunctions.udf.CIQ("BOVESPA:MGLU3", "IQ_TOTAL_CA", IQ_LTM)/1000</f>
        <v>3.1610574200000001</v>
      </c>
    </row>
    <row r="16" spans="1:9" x14ac:dyDescent="0.3">
      <c r="A16" s="9" t="s">
        <v>13</v>
      </c>
      <c r="B16" s="10"/>
      <c r="C16" s="10" t="s">
        <v>15</v>
      </c>
      <c r="D16" s="5">
        <f>_xll.ciqfunctions.udf.CIQ("BOVESPA:MGLU3", "IQ_TOTAL_CL", "FY2019")/1000</f>
        <v>1.9908913800000001</v>
      </c>
      <c r="E16" s="5">
        <f>_xll.ciqfunctions.udf.CIQ("BOVESPA:MGLU3", "IQ_TOTAL_CL", "FY2020")/1000</f>
        <v>2.5834061900000003</v>
      </c>
      <c r="F16" s="5">
        <f>_xll.ciqfunctions.udf.CIQ("BOVESPA:MGLU3", "IQ_TOTAL_CL", "FY2021")/1000</f>
        <v>2.73833642</v>
      </c>
      <c r="G16" s="5">
        <f>_xll.ciqfunctions.udf.CIQ("BOVESPA:MGLU3", "IQ_TOTAL_CL", "FY2022")/1000</f>
        <v>2.8057589100000002</v>
      </c>
      <c r="H16" s="5">
        <f>_xll.ciqfunctions.udf.CIQ("BOVESPA:MGLU3", "IQ_TOTAL_CL", "FY2023")/1000</f>
        <v>3.5876032100000002</v>
      </c>
      <c r="I16" s="5">
        <f>_xll.ciqfunctions.udf.CIQ("BOVESPA:MGLU3", "IQ_WORKING_CAP", "FY2019")</f>
        <v>1203.74515</v>
      </c>
    </row>
    <row r="17" spans="1:9" x14ac:dyDescent="0.3">
      <c r="A17" s="10"/>
      <c r="B17" s="10"/>
      <c r="C17" s="10" t="s">
        <v>16</v>
      </c>
      <c r="D17" s="5">
        <f>_xll.ciqfunctions.udf.CIQ("BOVESPA:MGLU3", "IQ_WORKING_CAP", "FY2019")/1000</f>
        <v>1.20374515</v>
      </c>
      <c r="E17" s="5">
        <f>_xll.ciqfunctions.udf.CIQ("BOVESPA:MGLU3", "IQ_WORKING_CAP", "FY2020")/1000</f>
        <v>0.65136428000000002</v>
      </c>
      <c r="F17" s="5">
        <f>_xll.ciqfunctions.udf.CIQ("BOVESPA:MGLU3", "IQ_WORKING_CAP", "FY2021")/1000</f>
        <v>1.6606459500000001</v>
      </c>
      <c r="G17" s="5">
        <f>_xll.ciqfunctions.udf.CIQ("BOVESPA:MGLU3", "IQ_WORKING_CAP", "FY2022")/1000</f>
        <v>1.3440038999999999</v>
      </c>
      <c r="H17" s="5">
        <f>_xll.ciqfunctions.udf.CIQ("BOVESPA:MGLU3", "IQ_WORKING_CAP", "FY2023")/1000</f>
        <v>0.57973249999999998</v>
      </c>
      <c r="I17" s="5">
        <f>_xll.ciqfunctions.udf.CIQ("BOVESPA:MGLU3", "IQ_WORKING_CAP", IQ_LTM)/1000</f>
        <v>0.45922714999999997</v>
      </c>
    </row>
    <row r="18" spans="1:9" x14ac:dyDescent="0.3">
      <c r="A18" s="9" t="s">
        <v>13</v>
      </c>
      <c r="B18" s="10"/>
      <c r="C18" s="10" t="s">
        <v>17</v>
      </c>
      <c r="D18" s="5">
        <f>_xll.ciqfunctions.udf.CIQ("BOVESPA:MGLU3", "IQ_TOTAL_ASSETS", "FY2019")/1000</f>
        <v>4.9236423999999994</v>
      </c>
      <c r="E18" s="5">
        <f>_xll.ciqfunctions.udf.CIQ("BOVESPA:MGLU3", "IQ_TOTAL_ASSETS", "FY2020")/1000</f>
        <v>4.7460531100000001</v>
      </c>
      <c r="F18" s="5">
        <f>_xll.ciqfunctions.udf.CIQ("BOVESPA:MGLU3", "IQ_TOTAL_ASSETS", "FY2021")/1000</f>
        <v>6.8892108500000004</v>
      </c>
      <c r="G18" s="5">
        <f>_xll.ciqfunctions.udf.CIQ("BOVESPA:MGLU3", "IQ_TOTAL_ASSETS", "FY2022")/1000</f>
        <v>7.1436925600000007</v>
      </c>
      <c r="H18" s="5">
        <f>_xll.ciqfunctions.udf.CIQ("BOVESPA:MGLU3", "IQ_TOTAL_ASSETS", "FY2023")/1000</f>
        <v>7.71903367</v>
      </c>
      <c r="I18" s="5">
        <f>_xll.ciqfunctions.udf.CIQ("BOVESPA:MGLU3", "IQ_TOTAL_ASSETS", IQ_LTM)/1000</f>
        <v>6.0327342599999998</v>
      </c>
    </row>
    <row r="19" spans="1:9" ht="15.6" x14ac:dyDescent="0.35">
      <c r="A19" s="10"/>
      <c r="B19" s="12" t="s">
        <v>18</v>
      </c>
      <c r="C19" s="12" t="s">
        <v>4</v>
      </c>
      <c r="D19" s="6">
        <f>D17/D18</f>
        <v>0.24448265170516856</v>
      </c>
      <c r="E19" s="6">
        <f t="shared" ref="E19:I19" si="1">E17/E18</f>
        <v>0.13724336093659939</v>
      </c>
      <c r="F19" s="6">
        <f t="shared" si="1"/>
        <v>0.24105024307682499</v>
      </c>
      <c r="G19" s="6">
        <f t="shared" si="1"/>
        <v>0.18813854161719409</v>
      </c>
      <c r="H19" s="6">
        <f t="shared" si="1"/>
        <v>7.5104284394188939E-2</v>
      </c>
      <c r="I19" s="6">
        <f t="shared" si="1"/>
        <v>7.6122555744731243E-2</v>
      </c>
    </row>
    <row r="20" spans="1:9" x14ac:dyDescent="0.3">
      <c r="A20" s="9" t="s">
        <v>13</v>
      </c>
      <c r="B20" s="10"/>
      <c r="C20" s="10" t="s">
        <v>19</v>
      </c>
      <c r="D20" s="5">
        <f>_xll.ciqfunctions.udf.CIQ("BOVESPA:MGLU3", "IQ_RE", "FY2019")/1000</f>
        <v>0.35096949999999999</v>
      </c>
      <c r="E20" s="5">
        <f>_xll.ciqfunctions.udf.CIQ("BOVESPA:MGLU3", "IQ_RE", "FY2020")/1000</f>
        <v>0.30326022999999996</v>
      </c>
      <c r="F20" s="5">
        <f>_xll.ciqfunctions.udf.CIQ("BOVESPA:MGLU3", "IQ_RE", "FY2021")/1000</f>
        <v>0.35789920999999997</v>
      </c>
      <c r="G20" s="5">
        <f>_xll.ciqfunctions.udf.CIQ("BOVESPA:MGLU3", "IQ_RE", "FY2022")/1000</f>
        <v>0.27170261000000001</v>
      </c>
      <c r="H20" s="5">
        <f>_xll.ciqfunctions.udf.CIQ("BOVESPA:MGLU3", "IQ_RE", "FY2023")/1000</f>
        <v>9.423964E-2</v>
      </c>
      <c r="I20" s="5">
        <f>_xll.ciqfunctions.udf.CIQ("BOVESPA:MGLU3", "IQ_RE", IQ_LTM)/1000</f>
        <v>0.14648515000000001</v>
      </c>
    </row>
    <row r="21" spans="1:9" ht="15.6" x14ac:dyDescent="0.35">
      <c r="A21" s="10"/>
      <c r="B21" s="12" t="s">
        <v>20</v>
      </c>
      <c r="C21" s="12" t="s">
        <v>6</v>
      </c>
      <c r="D21" s="6">
        <f>D20/D18</f>
        <v>7.1282492002262401E-2</v>
      </c>
      <c r="E21" s="6">
        <f t="shared" ref="E21:I21" si="2">E20/E18</f>
        <v>6.3897352804802465E-2</v>
      </c>
      <c r="F21" s="6">
        <f t="shared" si="2"/>
        <v>5.1950683146822246E-2</v>
      </c>
      <c r="G21" s="6">
        <f t="shared" si="2"/>
        <v>3.8033917013920317E-2</v>
      </c>
      <c r="H21" s="6">
        <f t="shared" si="2"/>
        <v>1.2208735449135566E-2</v>
      </c>
      <c r="I21" s="6">
        <f t="shared" si="2"/>
        <v>2.4281717656829131E-2</v>
      </c>
    </row>
    <row r="22" spans="1:9" x14ac:dyDescent="0.3">
      <c r="A22" s="9" t="s">
        <v>21</v>
      </c>
      <c r="B22" s="10"/>
      <c r="C22" s="10" t="s">
        <v>22</v>
      </c>
      <c r="D22" s="5">
        <f>_xll.ciqfunctions.udf.CIQ("BOVESPA:MGLU3", "IQ_EBIT", "FY2019")/1000</f>
        <v>0.21140437000000001</v>
      </c>
      <c r="E22" s="5">
        <f>_xll.ciqfunctions.udf.CIQ("BOVESPA:MGLU3", "IQ_EBIT", "FY2020")/1000</f>
        <v>0.12129380999999999</v>
      </c>
      <c r="F22" s="5">
        <f>_xll.ciqfunctions.udf.CIQ("BOVESPA:MGLU3", "IQ_EBIT", "FY2021")/1000</f>
        <v>1.96554E-2</v>
      </c>
      <c r="G22" s="5">
        <f>_xll.ciqfunctions.udf.CIQ("BOVESPA:MGLU3", "IQ_EBIT", "FY2022")/1000</f>
        <v>0.17123595999999999</v>
      </c>
      <c r="H22" s="5">
        <f>_xll.ciqfunctions.udf.CIQ("BOVESPA:MGLU3", "IQ_EBIT", "FY2023")/1000</f>
        <v>-9.9408940000000001E-2</v>
      </c>
      <c r="I22" s="5">
        <f>_xll.ciqfunctions.udf.CIQ("BOVESPA:MGLU3", "IQ_EBIT", IQ_LTM)/1000</f>
        <v>0.22861743999999998</v>
      </c>
    </row>
    <row r="23" spans="1:9" ht="15.6" x14ac:dyDescent="0.35">
      <c r="A23" s="10"/>
      <c r="B23" s="12" t="s">
        <v>23</v>
      </c>
      <c r="C23" s="12" t="s">
        <v>24</v>
      </c>
      <c r="D23" s="6">
        <f>D22/D18</f>
        <v>4.2936580853231751E-2</v>
      </c>
      <c r="E23" s="6">
        <f t="shared" ref="E23:I23" si="3">E22/E18</f>
        <v>2.5556774690201473E-2</v>
      </c>
      <c r="F23" s="6">
        <f t="shared" si="3"/>
        <v>2.8530698839040465E-3</v>
      </c>
      <c r="G23" s="6">
        <f t="shared" si="3"/>
        <v>2.3970230880148623E-2</v>
      </c>
      <c r="H23" s="6">
        <f t="shared" si="3"/>
        <v>-1.2878417720388049E-2</v>
      </c>
      <c r="I23" s="6">
        <f t="shared" si="3"/>
        <v>3.7896156228171066E-2</v>
      </c>
    </row>
    <row r="24" spans="1:9" x14ac:dyDescent="0.3">
      <c r="A24" s="9" t="s">
        <v>25</v>
      </c>
      <c r="B24" s="10"/>
      <c r="C24" s="10" t="s">
        <v>26</v>
      </c>
      <c r="D24" s="5">
        <f>_xll.ciqfunctions.udf.CIQ("BOVESPA:MGLU3", "IQ_MARKETCAP", "17/02/2020")/1000</f>
        <v>22.078491669999998</v>
      </c>
      <c r="E24" s="5">
        <f>_xll.ciqfunctions.udf.CIQ("BOVESPA:MGLU3", "IQ_MARKETCAP", "08/03/2021")/1000</f>
        <v>26.121320400000002</v>
      </c>
      <c r="F24" s="5">
        <f>_xll.ciqfunctions.udf.CIQ("BOVESPA:MGLU3", "IQ_MARKETCAP", "14/03/2022")/1000</f>
        <v>6.9713144599999994</v>
      </c>
      <c r="G24" s="5">
        <f>_xll.ciqfunctions.udf.CIQ("BOVESPA:MGLU3", "IQ_MARKETCAP", "21/03/2023")/1000</f>
        <v>4.7133035300000001</v>
      </c>
      <c r="H24" s="5">
        <f>_xll.ciqfunctions.udf.CIQ("BOVESPA:MGLU3", "IQ_MARKETCAP", "03/04/2024")/1000</f>
        <v>2.44291495</v>
      </c>
      <c r="I24" s="5">
        <f>_xll.ciqfunctions.udf.CIQ("BOVESPA:MGLU3", "IQ_MARKETCAP", "31/12/2024")/1000</f>
        <v>0.77356002999999995</v>
      </c>
    </row>
    <row r="25" spans="1:9" x14ac:dyDescent="0.3">
      <c r="A25" s="9" t="s">
        <v>13</v>
      </c>
      <c r="B25" s="10"/>
      <c r="C25" s="10" t="s">
        <v>27</v>
      </c>
      <c r="D25" s="5">
        <f>_xll.ciqfunctions.udf.CIQ("BOVESPA:MGLU3", "IQ_TOTAL_LIAB", "FY2019")/1000</f>
        <v>3.04163001</v>
      </c>
      <c r="E25" s="5">
        <f>_xll.ciqfunctions.udf.CIQ("BOVESPA:MGLU3", "IQ_TOTAL_LIAB", "FY2020")/1000</f>
        <v>3.3354995000000001</v>
      </c>
      <c r="F25" s="5">
        <f>_xll.ciqfunctions.udf.CIQ("BOVESPA:MGLU3", "IQ_TOTAL_LIAB", "FY2021")/1000</f>
        <v>4.8680627200000002</v>
      </c>
      <c r="G25" s="5">
        <f>_xll.ciqfunctions.udf.CIQ("BOVESPA:MGLU3", "IQ_TOTAL_LIAB", "FY2022")/1000</f>
        <v>5.1294109799999994</v>
      </c>
      <c r="H25" s="5">
        <f>_xll.ciqfunctions.udf.CIQ("BOVESPA:MGLU3", "IQ_TOTAL_LIAB", "FY2023")/1000</f>
        <v>5.7384195200000008</v>
      </c>
      <c r="I25" s="5">
        <f>_xll.ciqfunctions.udf.CIQ("BOVESPA:MGLU3", "IQ_TOTAL_LIAB", IQ_LTM)/1000</f>
        <v>4.20258954</v>
      </c>
    </row>
    <row r="26" spans="1:9" ht="15.6" x14ac:dyDescent="0.35">
      <c r="A26" s="10"/>
      <c r="B26" s="12" t="s">
        <v>28</v>
      </c>
      <c r="C26" s="12" t="s">
        <v>9</v>
      </c>
      <c r="D26" s="6">
        <f>D24/D25</f>
        <v>7.258769671989131</v>
      </c>
      <c r="E26" s="6">
        <f t="shared" ref="E26:I26" si="4">E24/E25</f>
        <v>7.8313069451816739</v>
      </c>
      <c r="F26" s="6">
        <f t="shared" si="4"/>
        <v>1.4320510767782382</v>
      </c>
      <c r="G26" s="6">
        <f t="shared" si="4"/>
        <v>0.91887812233754773</v>
      </c>
      <c r="H26" s="6">
        <f t="shared" si="4"/>
        <v>0.42571215671593138</v>
      </c>
      <c r="I26" s="6">
        <f t="shared" si="4"/>
        <v>0.1840674714095443</v>
      </c>
    </row>
    <row r="27" spans="1:9" x14ac:dyDescent="0.3">
      <c r="A27" s="9" t="s">
        <v>21</v>
      </c>
      <c r="B27" s="10"/>
      <c r="C27" s="10" t="s">
        <v>29</v>
      </c>
      <c r="D27" s="5">
        <f>_xll.ciqfunctions.udf.CIQ("BOVESPA:MGLU3", "IQ_TOTAL_REV", "FY2019")/1000</f>
        <v>4.94733555</v>
      </c>
      <c r="E27" s="5">
        <f>_xll.ciqfunctions.udf.CIQ("BOVESPA:MGLU3", "IQ_TOTAL_REV", "FY2020")/1000</f>
        <v>5.6183303200000001</v>
      </c>
      <c r="F27" s="5">
        <f>_xll.ciqfunctions.udf.CIQ("BOVESPA:MGLU3", "IQ_TOTAL_REV", "FY2021")/1000</f>
        <v>6.3316671900000001</v>
      </c>
      <c r="G27" s="5">
        <f>_xll.ciqfunctions.udf.CIQ("BOVESPA:MGLU3", "IQ_TOTAL_REV", "FY2022")/1000</f>
        <v>7.0553857099999995</v>
      </c>
      <c r="H27" s="5">
        <f>_xll.ciqfunctions.udf.CIQ("BOVESPA:MGLU3", "IQ_TOTAL_REV", "FY2023")/1000</f>
        <v>7.5774682200000001</v>
      </c>
      <c r="I27" s="5">
        <f>_xll.ciqfunctions.udf.CIQ("BOVESPA:MGLU3", "IQ_TOTAL_REV", IQ_LTM)/1000</f>
        <v>6.15015087</v>
      </c>
    </row>
    <row r="28" spans="1:9" ht="15.6" x14ac:dyDescent="0.35">
      <c r="A28" s="3"/>
      <c r="B28" s="12" t="s">
        <v>30</v>
      </c>
      <c r="C28" s="12" t="s">
        <v>11</v>
      </c>
      <c r="D28" s="6">
        <f>D27/D18</f>
        <v>1.0048121183618048</v>
      </c>
      <c r="E28" s="6">
        <f t="shared" ref="E28:I28" si="5">E27/E18</f>
        <v>1.183790022948142</v>
      </c>
      <c r="F28" s="6">
        <f t="shared" si="5"/>
        <v>0.91907002527002057</v>
      </c>
      <c r="G28" s="6">
        <f t="shared" si="5"/>
        <v>0.9876384867828073</v>
      </c>
      <c r="H28" s="6">
        <f t="shared" si="5"/>
        <v>0.98166021084346433</v>
      </c>
      <c r="I28" s="6">
        <f t="shared" si="5"/>
        <v>1.019463249156942</v>
      </c>
    </row>
  </sheetData>
  <mergeCells count="1">
    <mergeCell ref="G2:H2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0DC73148993B449045A70BC579A0F8" ma:contentTypeVersion="6" ma:contentTypeDescription="Create a new document." ma:contentTypeScope="" ma:versionID="77f8bc60d79adc19807e663e84b78d4d">
  <xsd:schema xmlns:xsd="http://www.w3.org/2001/XMLSchema" xmlns:xs="http://www.w3.org/2001/XMLSchema" xmlns:p="http://schemas.microsoft.com/office/2006/metadata/properties" xmlns:ns3="82ae42cb-1c5b-4862-ac44-b9f0aa8ba540" targetNamespace="http://schemas.microsoft.com/office/2006/metadata/properties" ma:root="true" ma:fieldsID="c7e92607fda474962f00684190974eec" ns3:_="">
    <xsd:import namespace="82ae42cb-1c5b-4862-ac44-b9f0aa8ba540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ae42cb-1c5b-4862-ac44-b9f0aa8ba540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2ae42cb-1c5b-4862-ac44-b9f0aa8ba540" xsi:nil="true"/>
  </documentManagement>
</p:properties>
</file>

<file path=customXml/itemProps1.xml><?xml version="1.0" encoding="utf-8"?>
<ds:datastoreItem xmlns:ds="http://schemas.openxmlformats.org/officeDocument/2006/customXml" ds:itemID="{7570B9A6-F397-4191-AC7E-5849D979463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1EFFE2-E3A9-4B35-BA9B-A74B4B8F1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ae42cb-1c5b-4862-ac44-b9f0aa8ba5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1F70FB-D7EE-49AA-9D6A-626B3F0C2A81}">
  <ds:schemaRefs>
    <ds:schemaRef ds:uri="http://schemas.microsoft.com/office/2006/metadata/properties"/>
    <ds:schemaRef ds:uri="http://schemas.microsoft.com/office/infopath/2007/PartnerControls"/>
    <ds:schemaRef ds:uri="82ae42cb-1c5b-4862-ac44-b9f0aa8ba540"/>
  </ds:schemaRefs>
</ds:datastoreItem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Walmart</vt:lpstr>
      <vt:lpstr>Costco</vt:lpstr>
      <vt:lpstr>Alibaba</vt:lpstr>
      <vt:lpstr>Carrefour </vt:lpstr>
      <vt:lpstr>Magazine Luiza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Yaseer Rahman</dc:creator>
  <cp:keywords/>
  <dc:description/>
  <cp:lastModifiedBy>Syed Yaseer Rahman</cp:lastModifiedBy>
  <cp:revision/>
  <dcterms:created xsi:type="dcterms:W3CDTF">2025-02-24T13:44:26Z</dcterms:created>
  <dcterms:modified xsi:type="dcterms:W3CDTF">2025-03-14T15:35:41Z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0x0101004B0DC73148993B449045A70BC579A0F8</vt:lpwstr>
  </property>
</Properties>
</file>