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85" tabRatio="878" firstSheet="1" activeTab="1"/>
  </bookViews>
  <sheets>
    <sheet name="0.计算器" sheetId="3" state="hidden" r:id="rId1"/>
    <sheet name="1.管线" sheetId="2" r:id="rId2"/>
    <sheet name="2.投手" sheetId="4" r:id="rId3"/>
    <sheet name="3.海星&amp;竞技" sheetId="5" r:id="rId4"/>
    <sheet name="4.增幅" sheetId="6" r:id="rId5"/>
    <sheet name="5.产能 " sheetId="7" r:id="rId6"/>
    <sheet name="6.反弹＆承载" sheetId="8" r:id="rId7"/>
    <sheet name="7.对空" sheetId="9" r:id="rId8"/>
    <sheet name="8.旋转" sheetId="10" r:id="rId9"/>
    <sheet name="9.追踪" sheetId="11" r:id="rId10"/>
    <sheet name="10.三锅&amp;拳手&amp;鱼刺&amp;啃食" sheetId="12" r:id="rId11"/>
    <sheet name="11.对地" sheetId="13" r:id="rId12"/>
    <sheet name="12.灰烬炸弹" sheetId="14" r:id="rId13"/>
    <sheet name="12'非灰烬炸弹" sheetId="15" r:id="rId14"/>
    <sheet name="13.辅助" sheetId="16" r:id="rId15"/>
    <sheet name="14.防御" sheetId="17" r:id="rId16"/>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2729F43C6D1642BDACA68CFFDAA31DAF" descr="02-1 丘比特神使"/>
        <xdr:cNvPicPr>
          <a:picLocks noChangeAspect="1"/>
        </xdr:cNvPicPr>
      </xdr:nvPicPr>
      <xdr:blipFill>
        <a:blip r:embed="rId1"/>
        <a:stretch>
          <a:fillRect/>
        </a:stretch>
      </xdr:blipFill>
      <xdr:spPr>
        <a:xfrm>
          <a:off x="8637270" y="1803400"/>
          <a:ext cx="381000" cy="476250"/>
        </a:xfrm>
        <a:prstGeom prst="rect">
          <a:avLst/>
        </a:prstGeom>
      </xdr:spPr>
    </xdr:pic>
  </etc:cellImage>
  <etc:cellImage>
    <xdr:pic>
      <xdr:nvPicPr>
        <xdr:cNvPr id="7" name="ID_DC4321FBBFCF404483F0BF5DB63DF94D" descr="01-3 战神·阿瑞斯"/>
        <xdr:cNvPicPr>
          <a:picLocks noChangeAspect="1"/>
        </xdr:cNvPicPr>
      </xdr:nvPicPr>
      <xdr:blipFill>
        <a:blip r:embed="rId2"/>
        <a:stretch>
          <a:fillRect/>
        </a:stretch>
      </xdr:blipFill>
      <xdr:spPr>
        <a:xfrm>
          <a:off x="1924050" y="1812925"/>
          <a:ext cx="381000" cy="476250"/>
        </a:xfrm>
        <a:prstGeom prst="rect">
          <a:avLst/>
        </a:prstGeom>
      </xdr:spPr>
    </xdr:pic>
  </etc:cellImage>
  <etc:cellImage>
    <xdr:pic>
      <xdr:nvPicPr>
        <xdr:cNvPr id="21" name="ID_5DA7D2802E2C4322879B8EF98BA63717" descr="02-3 金刚二哈汪"/>
        <xdr:cNvPicPr>
          <a:picLocks noChangeAspect="1"/>
        </xdr:cNvPicPr>
      </xdr:nvPicPr>
      <xdr:blipFill>
        <a:blip r:embed="rId3"/>
        <a:stretch>
          <a:fillRect/>
        </a:stretch>
      </xdr:blipFill>
      <xdr:spPr>
        <a:xfrm>
          <a:off x="1962150" y="16046450"/>
          <a:ext cx="381000" cy="476250"/>
        </a:xfrm>
        <a:prstGeom prst="rect">
          <a:avLst/>
        </a:prstGeom>
      </xdr:spPr>
    </xdr:pic>
  </etc:cellImage>
  <etc:cellImage>
    <xdr:pic>
      <xdr:nvPicPr>
        <xdr:cNvPr id="4" name="ID_F38C9F7576AE4D7B9C4C380CA75F1FB8" descr="01-1 阿瑞斯神使"/>
        <xdr:cNvPicPr>
          <a:picLocks noChangeAspect="1"/>
        </xdr:cNvPicPr>
      </xdr:nvPicPr>
      <xdr:blipFill>
        <a:blip r:embed="rId4"/>
        <a:stretch>
          <a:fillRect/>
        </a:stretch>
      </xdr:blipFill>
      <xdr:spPr>
        <a:xfrm>
          <a:off x="904875" y="1841500"/>
          <a:ext cx="381000" cy="476250"/>
        </a:xfrm>
        <a:prstGeom prst="rect">
          <a:avLst/>
        </a:prstGeom>
      </xdr:spPr>
    </xdr:pic>
  </etc:cellImage>
  <etc:cellImage>
    <xdr:pic>
      <xdr:nvPicPr>
        <xdr:cNvPr id="8" name="ID_DF9E33285F7B4D4C9F88694C1F01D144" descr="02-2 丘比特圣神"/>
        <xdr:cNvPicPr>
          <a:picLocks noChangeAspect="1"/>
        </xdr:cNvPicPr>
      </xdr:nvPicPr>
      <xdr:blipFill>
        <a:blip r:embed="rId5"/>
        <a:stretch>
          <a:fillRect/>
        </a:stretch>
      </xdr:blipFill>
      <xdr:spPr>
        <a:xfrm>
          <a:off x="8998585" y="1860550"/>
          <a:ext cx="381000" cy="476250"/>
        </a:xfrm>
        <a:prstGeom prst="rect">
          <a:avLst/>
        </a:prstGeom>
      </xdr:spPr>
    </xdr:pic>
  </etc:cellImage>
  <etc:cellImage>
    <xdr:pic>
      <xdr:nvPicPr>
        <xdr:cNvPr id="1095" name="ID_75059C07E9B94F3199EEBBABAE3518E2" descr="10-3燃油威风虎"/>
        <xdr:cNvPicPr>
          <a:picLocks noChangeAspect="1"/>
        </xdr:cNvPicPr>
      </xdr:nvPicPr>
      <xdr:blipFill>
        <a:blip r:embed="rId6"/>
        <a:stretch>
          <a:fillRect/>
        </a:stretch>
      </xdr:blipFill>
      <xdr:spPr>
        <a:xfrm>
          <a:off x="2066925" y="25146000"/>
          <a:ext cx="381000" cy="476250"/>
        </a:xfrm>
        <a:prstGeom prst="rect">
          <a:avLst/>
        </a:prstGeom>
      </xdr:spPr>
    </xdr:pic>
  </etc:cellImage>
  <etc:cellImage>
    <xdr:pic>
      <xdr:nvPicPr>
        <xdr:cNvPr id="14" name="ID_A476A4B61D1C4F4E9F8C4508F37B57FE" descr="03-3 暗殇砰砰鸡"/>
        <xdr:cNvPicPr>
          <a:picLocks noChangeAspect="1"/>
        </xdr:cNvPicPr>
      </xdr:nvPicPr>
      <xdr:blipFill>
        <a:blip r:embed="rId7"/>
        <a:stretch>
          <a:fillRect/>
        </a:stretch>
      </xdr:blipFill>
      <xdr:spPr>
        <a:xfrm>
          <a:off x="1362075" y="9077325"/>
          <a:ext cx="381000" cy="476250"/>
        </a:xfrm>
        <a:prstGeom prst="rect">
          <a:avLst/>
        </a:prstGeom>
      </xdr:spPr>
    </xdr:pic>
  </etc:cellImage>
  <etc:cellImage>
    <xdr:pic>
      <xdr:nvPicPr>
        <xdr:cNvPr id="6" name="ID_ECEBC1ECC8EF45248023A69DC602DC34" descr="01-2 阿瑞斯圣神"/>
        <xdr:cNvPicPr>
          <a:picLocks noChangeAspect="1"/>
        </xdr:cNvPicPr>
      </xdr:nvPicPr>
      <xdr:blipFill>
        <a:blip r:embed="rId8"/>
        <a:stretch>
          <a:fillRect/>
        </a:stretch>
      </xdr:blipFill>
      <xdr:spPr>
        <a:xfrm>
          <a:off x="1266825" y="1631950"/>
          <a:ext cx="381000" cy="476250"/>
        </a:xfrm>
        <a:prstGeom prst="rect">
          <a:avLst/>
        </a:prstGeom>
      </xdr:spPr>
    </xdr:pic>
  </etc:cellImage>
  <etc:cellImage>
    <xdr:pic>
      <xdr:nvPicPr>
        <xdr:cNvPr id="3" name="ID_FCCE4506200C4BFE91C887672DE201DD" descr="01-4 至尊战神"/>
        <xdr:cNvPicPr>
          <a:picLocks noChangeAspect="1"/>
        </xdr:cNvPicPr>
      </xdr:nvPicPr>
      <xdr:blipFill>
        <a:blip r:embed="rId9"/>
        <a:stretch>
          <a:fillRect/>
        </a:stretch>
      </xdr:blipFill>
      <xdr:spPr>
        <a:xfrm>
          <a:off x="2476500" y="1831975"/>
          <a:ext cx="381000" cy="476250"/>
        </a:xfrm>
        <a:prstGeom prst="rect">
          <a:avLst/>
        </a:prstGeom>
      </xdr:spPr>
    </xdr:pic>
  </etc:cellImage>
  <etc:cellImage>
    <xdr:pic>
      <xdr:nvPicPr>
        <xdr:cNvPr id="82" name="ID_3FF65BFBEE814AC795B30DD750351ECA" descr="0x12900033"/>
        <xdr:cNvPicPr>
          <a:picLocks noChangeAspect="1"/>
        </xdr:cNvPicPr>
      </xdr:nvPicPr>
      <xdr:blipFill>
        <a:blip r:embed="rId10"/>
        <a:stretch>
          <a:fillRect/>
        </a:stretch>
      </xdr:blipFill>
      <xdr:spPr>
        <a:xfrm>
          <a:off x="3286125" y="7356475"/>
          <a:ext cx="419100" cy="419100"/>
        </a:xfrm>
        <a:prstGeom prst="rect">
          <a:avLst/>
        </a:prstGeom>
      </xdr:spPr>
    </xdr:pic>
  </etc:cellImage>
  <etc:cellImage>
    <xdr:pic>
      <xdr:nvPicPr>
        <xdr:cNvPr id="97" name="ID_298A4D4AB89D465A806CFB389BC976D6" descr="0x12900034"/>
        <xdr:cNvPicPr>
          <a:picLocks noChangeAspect="1"/>
        </xdr:cNvPicPr>
      </xdr:nvPicPr>
      <xdr:blipFill>
        <a:blip r:embed="rId11"/>
        <a:stretch>
          <a:fillRect/>
        </a:stretch>
      </xdr:blipFill>
      <xdr:spPr>
        <a:xfrm>
          <a:off x="7828280" y="7332345"/>
          <a:ext cx="419100" cy="419100"/>
        </a:xfrm>
        <a:prstGeom prst="rect">
          <a:avLst/>
        </a:prstGeom>
      </xdr:spPr>
    </xdr:pic>
  </etc:cellImage>
  <etc:cellImage>
    <xdr:pic>
      <xdr:nvPicPr>
        <xdr:cNvPr id="1094" name="ID_74791B1D25FC489D8D09A1046BEC838A" descr="11120490 c"/>
        <xdr:cNvPicPr>
          <a:picLocks noChangeAspect="1"/>
        </xdr:cNvPicPr>
      </xdr:nvPicPr>
      <xdr:blipFill>
        <a:blip r:embed="rId12"/>
        <a:stretch>
          <a:fillRect/>
        </a:stretch>
      </xdr:blipFill>
      <xdr:spPr>
        <a:xfrm>
          <a:off x="1333500" y="24959945"/>
          <a:ext cx="381000" cy="476250"/>
        </a:xfrm>
        <a:prstGeom prst="rect">
          <a:avLst/>
        </a:prstGeom>
      </xdr:spPr>
    </xdr:pic>
  </etc:cellImage>
  <etc:cellImage>
    <xdr:pic>
      <xdr:nvPicPr>
        <xdr:cNvPr id="9" name="ID_FD343B43B6BC43F8A6E533E405460787" descr="02-3 爱神·丘比特"/>
        <xdr:cNvPicPr>
          <a:picLocks noChangeAspect="1"/>
        </xdr:cNvPicPr>
      </xdr:nvPicPr>
      <xdr:blipFill>
        <a:blip r:embed="rId13"/>
        <a:stretch>
          <a:fillRect/>
        </a:stretch>
      </xdr:blipFill>
      <xdr:spPr>
        <a:xfrm>
          <a:off x="9646285" y="1851025"/>
          <a:ext cx="381000" cy="476250"/>
        </a:xfrm>
        <a:prstGeom prst="rect">
          <a:avLst/>
        </a:prstGeom>
      </xdr:spPr>
    </xdr:pic>
  </etc:cellImage>
  <etc:cellImage>
    <xdr:pic>
      <xdr:nvPicPr>
        <xdr:cNvPr id="10" name="ID_9643839A5C3B4E328C22F53D81ACF80D" descr="02-4 至尊爱神"/>
        <xdr:cNvPicPr>
          <a:picLocks noChangeAspect="1"/>
        </xdr:cNvPicPr>
      </xdr:nvPicPr>
      <xdr:blipFill>
        <a:blip r:embed="rId14"/>
        <a:stretch>
          <a:fillRect/>
        </a:stretch>
      </xdr:blipFill>
      <xdr:spPr>
        <a:xfrm>
          <a:off x="10274935" y="1898650"/>
          <a:ext cx="381000" cy="476250"/>
        </a:xfrm>
        <a:prstGeom prst="rect">
          <a:avLst/>
        </a:prstGeom>
      </xdr:spPr>
    </xdr:pic>
  </etc:cellImage>
  <etc:cellImage>
    <xdr:pic>
      <xdr:nvPicPr>
        <xdr:cNvPr id="201" name="ID_66AEEA8D385B48DFAC83F5E8CED5172A" descr="2-4-至尊战神"/>
        <xdr:cNvPicPr>
          <a:picLocks noChangeAspect="1"/>
        </xdr:cNvPicPr>
      </xdr:nvPicPr>
      <xdr:blipFill>
        <a:blip r:embed="rId15"/>
        <a:stretch>
          <a:fillRect/>
        </a:stretch>
      </xdr:blipFill>
      <xdr:spPr>
        <a:xfrm>
          <a:off x="6633845" y="7445375"/>
          <a:ext cx="1903730" cy="1666875"/>
        </a:xfrm>
        <a:prstGeom prst="rect">
          <a:avLst/>
        </a:prstGeom>
      </xdr:spPr>
    </xdr:pic>
  </etc:cellImage>
  <etc:cellImage>
    <xdr:pic>
      <xdr:nvPicPr>
        <xdr:cNvPr id="863" name="ID_7D143F4F90E3431BA6D7E18B96A278E7" descr="4-4-至尊爱神"/>
        <xdr:cNvPicPr>
          <a:picLocks noChangeAspect="1"/>
        </xdr:cNvPicPr>
      </xdr:nvPicPr>
      <xdr:blipFill>
        <a:blip r:embed="rId16"/>
        <a:stretch>
          <a:fillRect/>
        </a:stretch>
      </xdr:blipFill>
      <xdr:spPr>
        <a:xfrm>
          <a:off x="9003665" y="7445375"/>
          <a:ext cx="1903730" cy="1666875"/>
        </a:xfrm>
        <a:prstGeom prst="rect">
          <a:avLst/>
        </a:prstGeom>
      </xdr:spPr>
    </xdr:pic>
  </etc:cellImage>
  <etc:cellImage>
    <xdr:pic>
      <xdr:nvPicPr>
        <xdr:cNvPr id="12" name="ID_432222C828624D8C826BDB150D67138F" descr="26-3 终结者酒架"/>
        <xdr:cNvPicPr>
          <a:picLocks noChangeAspect="1"/>
        </xdr:cNvPicPr>
      </xdr:nvPicPr>
      <xdr:blipFill>
        <a:blip r:embed="rId17"/>
        <a:stretch>
          <a:fillRect/>
        </a:stretch>
      </xdr:blipFill>
      <xdr:spPr>
        <a:xfrm>
          <a:off x="333375" y="9020175"/>
          <a:ext cx="381000" cy="476250"/>
        </a:xfrm>
        <a:prstGeom prst="rect">
          <a:avLst/>
        </a:prstGeom>
      </xdr:spPr>
    </xdr:pic>
  </etc:cellImage>
  <etc:cellImage>
    <xdr:pic>
      <xdr:nvPicPr>
        <xdr:cNvPr id="13" name="ID_59C4427123B5417CAF23A602E78AF4EB" descr="03-3 射手座星宿"/>
        <xdr:cNvPicPr>
          <a:picLocks noChangeAspect="1"/>
        </xdr:cNvPicPr>
      </xdr:nvPicPr>
      <xdr:blipFill>
        <a:blip r:embed="rId18"/>
        <a:stretch>
          <a:fillRect/>
        </a:stretch>
      </xdr:blipFill>
      <xdr:spPr>
        <a:xfrm>
          <a:off x="752475" y="9086850"/>
          <a:ext cx="381000" cy="476250"/>
        </a:xfrm>
        <a:prstGeom prst="rect">
          <a:avLst/>
        </a:prstGeom>
      </xdr:spPr>
    </xdr:pic>
  </etc:cellImage>
  <etc:cellImage>
    <xdr:pic>
      <xdr:nvPicPr>
        <xdr:cNvPr id="15" name="ID_469DAD0C26594FE4B4A3A42307F5E530" descr="03-3 部落狩猎汪"/>
        <xdr:cNvPicPr>
          <a:picLocks noChangeAspect="1"/>
        </xdr:cNvPicPr>
      </xdr:nvPicPr>
      <xdr:blipFill>
        <a:blip r:embed="rId19"/>
        <a:stretch>
          <a:fillRect/>
        </a:stretch>
      </xdr:blipFill>
      <xdr:spPr>
        <a:xfrm>
          <a:off x="1971675" y="9115425"/>
          <a:ext cx="381000" cy="476250"/>
        </a:xfrm>
        <a:prstGeom prst="rect">
          <a:avLst/>
        </a:prstGeom>
      </xdr:spPr>
    </xdr:pic>
  </etc:cellImage>
  <etc:cellImage>
    <xdr:pic>
      <xdr:nvPicPr>
        <xdr:cNvPr id="16" name="ID_2EC6ED110CE344B59C1213CE739FC483" descr="03-3 王者猪猪猎手"/>
        <xdr:cNvPicPr>
          <a:picLocks noChangeAspect="1"/>
        </xdr:cNvPicPr>
      </xdr:nvPicPr>
      <xdr:blipFill>
        <a:blip r:embed="rId20"/>
        <a:stretch>
          <a:fillRect/>
        </a:stretch>
      </xdr:blipFill>
      <xdr:spPr>
        <a:xfrm>
          <a:off x="2514600" y="9067800"/>
          <a:ext cx="381000" cy="476250"/>
        </a:xfrm>
        <a:prstGeom prst="rect">
          <a:avLst/>
        </a:prstGeom>
      </xdr:spPr>
    </xdr:pic>
  </etc:cellImage>
  <etc:cellImage>
    <xdr:pic>
      <xdr:nvPicPr>
        <xdr:cNvPr id="17" name="ID_ACA05050663342D298BECE1DA7DEBF9F" descr="11120460-c"/>
        <xdr:cNvPicPr>
          <a:picLocks noChangeAspect="1"/>
        </xdr:cNvPicPr>
      </xdr:nvPicPr>
      <xdr:blipFill>
        <a:blip r:embed="rId21"/>
        <a:stretch>
          <a:fillRect/>
        </a:stretch>
      </xdr:blipFill>
      <xdr:spPr>
        <a:xfrm>
          <a:off x="3143250" y="8982075"/>
          <a:ext cx="381000" cy="476250"/>
        </a:xfrm>
        <a:prstGeom prst="rect">
          <a:avLst/>
        </a:prstGeom>
      </xdr:spPr>
    </xdr:pic>
  </etc:cellImage>
  <etc:cellImage>
    <xdr:pic>
      <xdr:nvPicPr>
        <xdr:cNvPr id="18" name="ID_774586B56AC64C20A7EC34F0478857E0" descr="22-3 合金水管"/>
        <xdr:cNvPicPr>
          <a:picLocks noChangeAspect="1"/>
        </xdr:cNvPicPr>
      </xdr:nvPicPr>
      <xdr:blipFill>
        <a:blip r:embed="rId22"/>
        <a:stretch>
          <a:fillRect/>
        </a:stretch>
      </xdr:blipFill>
      <xdr:spPr>
        <a:xfrm>
          <a:off x="257175" y="16065500"/>
          <a:ext cx="380365" cy="474980"/>
        </a:xfrm>
        <a:prstGeom prst="rect">
          <a:avLst/>
        </a:prstGeom>
      </xdr:spPr>
    </xdr:pic>
  </etc:cellImage>
  <etc:cellImage>
    <xdr:pic>
      <xdr:nvPicPr>
        <xdr:cNvPr id="19" name="ID_9E88D600792F45B4AB1F2AE284E786D2" descr="02-3 天秤座星宿"/>
        <xdr:cNvPicPr>
          <a:picLocks noChangeAspect="1"/>
        </xdr:cNvPicPr>
      </xdr:nvPicPr>
      <xdr:blipFill>
        <a:blip r:embed="rId23"/>
        <a:stretch>
          <a:fillRect/>
        </a:stretch>
      </xdr:blipFill>
      <xdr:spPr>
        <a:xfrm>
          <a:off x="704850" y="16036925"/>
          <a:ext cx="380365" cy="481330"/>
        </a:xfrm>
        <a:prstGeom prst="rect">
          <a:avLst/>
        </a:prstGeom>
      </xdr:spPr>
    </xdr:pic>
  </etc:cellImage>
  <etc:cellImage>
    <xdr:pic>
      <xdr:nvPicPr>
        <xdr:cNvPr id="20" name="ID_38DEC5088D8841C9BDF655174922C45F" descr="02-3 贤圣呆呆鸡"/>
        <xdr:cNvPicPr>
          <a:picLocks noChangeAspect="1"/>
        </xdr:cNvPicPr>
      </xdr:nvPicPr>
      <xdr:blipFill>
        <a:blip r:embed="rId24"/>
        <a:stretch>
          <a:fillRect/>
        </a:stretch>
      </xdr:blipFill>
      <xdr:spPr>
        <a:xfrm>
          <a:off x="1314450" y="15865475"/>
          <a:ext cx="381000" cy="476250"/>
        </a:xfrm>
        <a:prstGeom prst="rect">
          <a:avLst/>
        </a:prstGeom>
      </xdr:spPr>
    </xdr:pic>
  </etc:cellImage>
  <etc:cellImage>
    <xdr:pic>
      <xdr:nvPicPr>
        <xdr:cNvPr id="22" name="ID_7454E28D7DE54F809FDDD52FA79324CE" descr="13-3 等离子双枪喵"/>
        <xdr:cNvPicPr>
          <a:picLocks noChangeAspect="1"/>
        </xdr:cNvPicPr>
      </xdr:nvPicPr>
      <xdr:blipFill>
        <a:blip r:embed="rId25"/>
        <a:stretch>
          <a:fillRect/>
        </a:stretch>
      </xdr:blipFill>
      <xdr:spPr>
        <a:xfrm>
          <a:off x="2543175" y="15903575"/>
          <a:ext cx="381000" cy="476250"/>
        </a:xfrm>
        <a:prstGeom prst="rect">
          <a:avLst/>
        </a:prstGeom>
      </xdr:spPr>
    </xdr:pic>
  </etc:cellImage>
  <etc:cellImage>
    <xdr:pic>
      <xdr:nvPicPr>
        <xdr:cNvPr id="25" name="ID_BB598A7660BC498AAABAA10D2F98D72D" descr="08-3 射线枪塔喵"/>
        <xdr:cNvPicPr>
          <a:picLocks noChangeAspect="1"/>
        </xdr:cNvPicPr>
      </xdr:nvPicPr>
      <xdr:blipFill>
        <a:blip r:embed="rId26"/>
        <a:stretch>
          <a:fillRect/>
        </a:stretch>
      </xdr:blipFill>
      <xdr:spPr>
        <a:xfrm>
          <a:off x="1295400" y="21891625"/>
          <a:ext cx="381000" cy="476250"/>
        </a:xfrm>
        <a:prstGeom prst="rect">
          <a:avLst/>
        </a:prstGeom>
      </xdr:spPr>
    </xdr:pic>
  </etc:cellImage>
  <etc:cellImage>
    <xdr:pic>
      <xdr:nvPicPr>
        <xdr:cNvPr id="24" name="ID_6F08156CC1F841DA952F407EE30CA3F7" descr="01-3 暴力弩箭牛"/>
        <xdr:cNvPicPr>
          <a:picLocks noChangeAspect="1"/>
        </xdr:cNvPicPr>
      </xdr:nvPicPr>
      <xdr:blipFill>
        <a:blip r:embed="rId27"/>
        <a:stretch>
          <a:fillRect/>
        </a:stretch>
      </xdr:blipFill>
      <xdr:spPr>
        <a:xfrm>
          <a:off x="2047875" y="21863050"/>
          <a:ext cx="381000" cy="476250"/>
        </a:xfrm>
        <a:prstGeom prst="rect">
          <a:avLst/>
        </a:prstGeom>
      </xdr:spPr>
    </xdr:pic>
  </etc:cellImage>
  <etc:cellImage>
    <xdr:pic>
      <xdr:nvPicPr>
        <xdr:cNvPr id="28" name="ID_AF3257EBEA1E45D2B672A65B42C4A608" descr="10 仙人掌花刺身"/>
        <xdr:cNvPicPr>
          <a:picLocks noChangeAspect="1"/>
        </xdr:cNvPicPr>
      </xdr:nvPicPr>
      <xdr:blipFill>
        <a:blip r:embed="rId28"/>
        <a:stretch>
          <a:fillRect/>
        </a:stretch>
      </xdr:blipFill>
      <xdr:spPr>
        <a:xfrm>
          <a:off x="1981200" y="21838920"/>
          <a:ext cx="381000" cy="476250"/>
        </a:xfrm>
        <a:prstGeom prst="rect">
          <a:avLst/>
        </a:prstGeom>
      </xdr:spPr>
    </xdr:pic>
  </etc:cellImage>
  <etc:cellImage>
    <xdr:pic>
      <xdr:nvPicPr>
        <xdr:cNvPr id="31" name="ID_CDAAA7C8D50844D3A16197861A9C911A" descr="04-3 雷神·索尔"/>
        <xdr:cNvPicPr>
          <a:picLocks noChangeAspect="1"/>
        </xdr:cNvPicPr>
      </xdr:nvPicPr>
      <xdr:blipFill>
        <a:blip r:embed="rId29"/>
        <a:stretch>
          <a:fillRect/>
        </a:stretch>
      </xdr:blipFill>
      <xdr:spPr>
        <a:xfrm>
          <a:off x="1885950" y="1746250"/>
          <a:ext cx="381000" cy="476250"/>
        </a:xfrm>
        <a:prstGeom prst="rect">
          <a:avLst/>
        </a:prstGeom>
      </xdr:spPr>
    </xdr:pic>
  </etc:cellImage>
  <etc:cellImage>
    <xdr:pic>
      <xdr:nvPicPr>
        <xdr:cNvPr id="29" name="ID_827814AD1BF24907B6268010B24BBE7C" descr="04-1 索尔神使"/>
        <xdr:cNvPicPr>
          <a:picLocks noChangeAspect="1"/>
        </xdr:cNvPicPr>
      </xdr:nvPicPr>
      <xdr:blipFill>
        <a:blip r:embed="rId30"/>
        <a:stretch>
          <a:fillRect/>
        </a:stretch>
      </xdr:blipFill>
      <xdr:spPr>
        <a:xfrm>
          <a:off x="714375" y="1765300"/>
          <a:ext cx="381000" cy="476250"/>
        </a:xfrm>
        <a:prstGeom prst="rect">
          <a:avLst/>
        </a:prstGeom>
      </xdr:spPr>
    </xdr:pic>
  </etc:cellImage>
  <etc:cellImage>
    <xdr:pic>
      <xdr:nvPicPr>
        <xdr:cNvPr id="30" name="ID_8D13FFC925DE4968ABA8DF00392A1052" descr="04-2 索尔圣神"/>
        <xdr:cNvPicPr>
          <a:picLocks noChangeAspect="1"/>
        </xdr:cNvPicPr>
      </xdr:nvPicPr>
      <xdr:blipFill>
        <a:blip r:embed="rId31"/>
        <a:stretch>
          <a:fillRect/>
        </a:stretch>
      </xdr:blipFill>
      <xdr:spPr>
        <a:xfrm>
          <a:off x="1323975" y="1784350"/>
          <a:ext cx="381000" cy="476250"/>
        </a:xfrm>
        <a:prstGeom prst="rect">
          <a:avLst/>
        </a:prstGeom>
      </xdr:spPr>
    </xdr:pic>
  </etc:cellImage>
  <etc:cellImage>
    <xdr:pic>
      <xdr:nvPicPr>
        <xdr:cNvPr id="100" name="ID_B22E63F296EC4FA1B403E377FF32DCEB" descr="04-3 月光弹弹鸡"/>
        <xdr:cNvPicPr>
          <a:picLocks noChangeAspect="1"/>
        </xdr:cNvPicPr>
      </xdr:nvPicPr>
      <xdr:blipFill>
        <a:blip r:embed="rId32"/>
        <a:stretch>
          <a:fillRect/>
        </a:stretch>
      </xdr:blipFill>
      <xdr:spPr>
        <a:xfrm>
          <a:off x="1962150" y="9039225"/>
          <a:ext cx="381000" cy="476250"/>
        </a:xfrm>
        <a:prstGeom prst="rect">
          <a:avLst/>
        </a:prstGeom>
      </xdr:spPr>
    </xdr:pic>
  </etc:cellImage>
  <etc:cellImage>
    <xdr:pic>
      <xdr:nvPicPr>
        <xdr:cNvPr id="98" name="ID_A5B2130CE4DA41FD8004ADE44712CB43" descr="34-3 强袭煮蛋器"/>
        <xdr:cNvPicPr>
          <a:picLocks noChangeAspect="1"/>
        </xdr:cNvPicPr>
      </xdr:nvPicPr>
      <xdr:blipFill>
        <a:blip r:embed="rId33"/>
        <a:stretch>
          <a:fillRect/>
        </a:stretch>
      </xdr:blipFill>
      <xdr:spPr>
        <a:xfrm>
          <a:off x="895350" y="9144000"/>
          <a:ext cx="381000" cy="482600"/>
        </a:xfrm>
        <a:prstGeom prst="rect">
          <a:avLst/>
        </a:prstGeom>
      </xdr:spPr>
    </xdr:pic>
  </etc:cellImage>
  <etc:cellImage>
    <xdr:pic>
      <xdr:nvPicPr>
        <xdr:cNvPr id="107" name="ID_9C772009BBF440F99B78D6E2DEA07372" descr="01-3 振金投弹猪"/>
        <xdr:cNvPicPr>
          <a:picLocks noChangeAspect="1"/>
        </xdr:cNvPicPr>
      </xdr:nvPicPr>
      <xdr:blipFill>
        <a:blip r:embed="rId34"/>
        <a:stretch>
          <a:fillRect/>
        </a:stretch>
      </xdr:blipFill>
      <xdr:spPr>
        <a:xfrm>
          <a:off x="1971675" y="20237450"/>
          <a:ext cx="381000" cy="476250"/>
        </a:xfrm>
        <a:prstGeom prst="rect">
          <a:avLst/>
        </a:prstGeom>
      </xdr:spPr>
    </xdr:pic>
  </etc:cellImage>
  <etc:cellImage>
    <xdr:pic>
      <xdr:nvPicPr>
        <xdr:cNvPr id="196" name="ID_9CB4645103E442E4865ABBDD7DE5EDEF" descr="04-4 至尊雷神"/>
        <xdr:cNvPicPr>
          <a:picLocks noChangeAspect="1"/>
        </xdr:cNvPicPr>
      </xdr:nvPicPr>
      <xdr:blipFill>
        <a:blip r:embed="rId35"/>
        <a:stretch>
          <a:fillRect/>
        </a:stretch>
      </xdr:blipFill>
      <xdr:spPr>
        <a:xfrm>
          <a:off x="2428875" y="2290445"/>
          <a:ext cx="381000" cy="476250"/>
        </a:xfrm>
        <a:prstGeom prst="rect">
          <a:avLst/>
        </a:prstGeom>
      </xdr:spPr>
    </xdr:pic>
  </etc:cellImage>
  <etc:cellImage>
    <xdr:pic>
      <xdr:nvPicPr>
        <xdr:cNvPr id="99" name="ID_989F74D2A1994787A24EC38444C50368" descr="04-3 双鱼座星宿"/>
        <xdr:cNvPicPr>
          <a:picLocks noChangeAspect="1"/>
        </xdr:cNvPicPr>
      </xdr:nvPicPr>
      <xdr:blipFill>
        <a:blip r:embed="rId36"/>
        <a:stretch>
          <a:fillRect/>
        </a:stretch>
      </xdr:blipFill>
      <xdr:spPr>
        <a:xfrm>
          <a:off x="1409700" y="9172575"/>
          <a:ext cx="381000" cy="476250"/>
        </a:xfrm>
        <a:prstGeom prst="rect">
          <a:avLst/>
        </a:prstGeom>
      </xdr:spPr>
    </xdr:pic>
  </etc:cellImage>
  <etc:cellImage>
    <xdr:pic>
      <xdr:nvPicPr>
        <xdr:cNvPr id="897" name="ID_10C545E8C4024EA485B8C5CC3A25E740" descr="至尊雷神降噪-4X"/>
        <xdr:cNvPicPr>
          <a:picLocks noChangeAspect="1"/>
        </xdr:cNvPicPr>
      </xdr:nvPicPr>
      <xdr:blipFill>
        <a:blip r:embed="rId37"/>
        <a:stretch>
          <a:fillRect/>
        </a:stretch>
      </xdr:blipFill>
      <xdr:spPr>
        <a:xfrm>
          <a:off x="7438390" y="7671435"/>
          <a:ext cx="2115185" cy="1856740"/>
        </a:xfrm>
        <a:prstGeom prst="rect">
          <a:avLst/>
        </a:prstGeom>
      </xdr:spPr>
    </xdr:pic>
  </etc:cellImage>
  <etc:cellImage>
    <xdr:pic>
      <xdr:nvPicPr>
        <xdr:cNvPr id="101" name="ID_8B00624C3DF442F8AAFB138B90F89AA1" descr="04-3 自律机械汪"/>
        <xdr:cNvPicPr>
          <a:picLocks noChangeAspect="1"/>
        </xdr:cNvPicPr>
      </xdr:nvPicPr>
      <xdr:blipFill>
        <a:blip r:embed="rId38"/>
        <a:stretch>
          <a:fillRect/>
        </a:stretch>
      </xdr:blipFill>
      <xdr:spPr>
        <a:xfrm>
          <a:off x="2447925" y="8991600"/>
          <a:ext cx="381000" cy="476250"/>
        </a:xfrm>
        <a:prstGeom prst="rect">
          <a:avLst/>
        </a:prstGeom>
      </xdr:spPr>
    </xdr:pic>
  </etc:cellImage>
  <etc:cellImage>
    <xdr:pic>
      <xdr:nvPicPr>
        <xdr:cNvPr id="102" name="ID_191F21A754FC468DA7B5A4B881BF18B1" descr="07-3 深海飞鱼喵"/>
        <xdr:cNvPicPr>
          <a:picLocks noChangeAspect="1"/>
        </xdr:cNvPicPr>
      </xdr:nvPicPr>
      <xdr:blipFill>
        <a:blip r:embed="rId39"/>
        <a:stretch>
          <a:fillRect/>
        </a:stretch>
      </xdr:blipFill>
      <xdr:spPr>
        <a:xfrm>
          <a:off x="8313420" y="8877300"/>
          <a:ext cx="380365" cy="474980"/>
        </a:xfrm>
        <a:prstGeom prst="rect">
          <a:avLst/>
        </a:prstGeom>
      </xdr:spPr>
    </xdr:pic>
  </etc:cellImage>
  <etc:cellImage>
    <xdr:pic>
      <xdr:nvPicPr>
        <xdr:cNvPr id="103" name="ID_A2881838C9F7450F9223069FB3F51210" descr="07 花椒蜥蜴投手"/>
        <xdr:cNvPicPr>
          <a:picLocks noChangeAspect="1"/>
        </xdr:cNvPicPr>
      </xdr:nvPicPr>
      <xdr:blipFill>
        <a:blip r:embed="rId40"/>
        <a:stretch>
          <a:fillRect/>
        </a:stretch>
      </xdr:blipFill>
      <xdr:spPr>
        <a:xfrm>
          <a:off x="8989060" y="9153525"/>
          <a:ext cx="379730" cy="474980"/>
        </a:xfrm>
        <a:prstGeom prst="rect">
          <a:avLst/>
        </a:prstGeom>
      </xdr:spPr>
    </xdr:pic>
  </etc:cellImage>
  <etc:cellImage>
    <xdr:pic>
      <xdr:nvPicPr>
        <xdr:cNvPr id="104" name="ID_BB933059DD564C308858041A09FE2FCF" descr="04-3 乾坤壮壮牛"/>
        <xdr:cNvPicPr>
          <a:picLocks noChangeAspect="1"/>
        </xdr:cNvPicPr>
      </xdr:nvPicPr>
      <xdr:blipFill>
        <a:blip r:embed="rId41"/>
        <a:stretch>
          <a:fillRect/>
        </a:stretch>
      </xdr:blipFill>
      <xdr:spPr>
        <a:xfrm>
          <a:off x="9512935" y="9020175"/>
          <a:ext cx="380365" cy="476250"/>
        </a:xfrm>
        <a:prstGeom prst="rect">
          <a:avLst/>
        </a:prstGeom>
      </xdr:spPr>
    </xdr:pic>
  </etc:cellImage>
  <etc:cellImage>
    <xdr:pic>
      <xdr:nvPicPr>
        <xdr:cNvPr id="108" name="ID_13C49E39051242129FE0AC91A4B6DA54" descr="31-3 凯撒色拉投手"/>
        <xdr:cNvPicPr>
          <a:picLocks noChangeAspect="1"/>
        </xdr:cNvPicPr>
      </xdr:nvPicPr>
      <xdr:blipFill>
        <a:blip r:embed="rId42"/>
        <a:stretch>
          <a:fillRect/>
        </a:stretch>
      </xdr:blipFill>
      <xdr:spPr>
        <a:xfrm>
          <a:off x="1438275" y="20237450"/>
          <a:ext cx="381000" cy="476250"/>
        </a:xfrm>
        <a:prstGeom prst="rect">
          <a:avLst/>
        </a:prstGeom>
      </xdr:spPr>
    </xdr:pic>
  </etc:cellImage>
  <etc:cellImage>
    <xdr:pic>
      <xdr:nvPicPr>
        <xdr:cNvPr id="264" name="ID_1F55E9E6D6E942D6A892C84E998AFB7C" descr="1-3球星投篮虎"/>
        <xdr:cNvPicPr>
          <a:picLocks noChangeAspect="1"/>
        </xdr:cNvPicPr>
      </xdr:nvPicPr>
      <xdr:blipFill>
        <a:blip r:embed="rId43"/>
        <a:stretch>
          <a:fillRect/>
        </a:stretch>
      </xdr:blipFill>
      <xdr:spPr>
        <a:xfrm>
          <a:off x="10151110" y="9020175"/>
          <a:ext cx="381000" cy="476250"/>
        </a:xfrm>
        <a:prstGeom prst="rect">
          <a:avLst/>
        </a:prstGeom>
      </xdr:spPr>
    </xdr:pic>
  </etc:cellImage>
  <etc:cellImage>
    <xdr:pic>
      <xdr:nvPicPr>
        <xdr:cNvPr id="106" name="ID_D5CEFD9DD61446A5A99548A08724326E" descr="06 水果雪芭投手"/>
        <xdr:cNvPicPr>
          <a:picLocks noChangeAspect="1"/>
        </xdr:cNvPicPr>
      </xdr:nvPicPr>
      <xdr:blipFill>
        <a:blip r:embed="rId44"/>
        <a:stretch>
          <a:fillRect/>
        </a:stretch>
      </xdr:blipFill>
      <xdr:spPr>
        <a:xfrm>
          <a:off x="1400175" y="20304125"/>
          <a:ext cx="380365" cy="476250"/>
        </a:xfrm>
        <a:prstGeom prst="rect">
          <a:avLst/>
        </a:prstGeom>
      </xdr:spPr>
    </xdr:pic>
  </etc:cellImage>
  <etc:cellImage>
    <xdr:pic>
      <xdr:nvPicPr>
        <xdr:cNvPr id="109" name="ID_FAA764BA28244C32B7BCEDE1D6E25A40" descr="32-3 脆心巧克力投手"/>
        <xdr:cNvPicPr>
          <a:picLocks noChangeAspect="1"/>
        </xdr:cNvPicPr>
      </xdr:nvPicPr>
      <xdr:blipFill>
        <a:blip r:embed="rId45"/>
        <a:stretch>
          <a:fillRect/>
        </a:stretch>
      </xdr:blipFill>
      <xdr:spPr>
        <a:xfrm>
          <a:off x="1981200" y="20275550"/>
          <a:ext cx="381000" cy="476250"/>
        </a:xfrm>
        <a:prstGeom prst="rect">
          <a:avLst/>
        </a:prstGeom>
      </xdr:spPr>
    </xdr:pic>
  </etc:cellImage>
  <etc:cellImage>
    <xdr:pic>
      <xdr:nvPicPr>
        <xdr:cNvPr id="110" name="ID_2822C223CB244B0C838A88155DCA07B4" descr="33-3 铁板臭豆腐投手"/>
        <xdr:cNvPicPr>
          <a:picLocks noChangeAspect="1"/>
        </xdr:cNvPicPr>
      </xdr:nvPicPr>
      <xdr:blipFill>
        <a:blip r:embed="rId46"/>
        <a:stretch>
          <a:fillRect/>
        </a:stretch>
      </xdr:blipFill>
      <xdr:spPr>
        <a:xfrm>
          <a:off x="2495550" y="20275550"/>
          <a:ext cx="381000" cy="476250"/>
        </a:xfrm>
        <a:prstGeom prst="rect">
          <a:avLst/>
        </a:prstGeom>
      </xdr:spPr>
    </xdr:pic>
  </etc:cellImage>
  <etc:cellImage>
    <xdr:pic>
      <xdr:nvPicPr>
        <xdr:cNvPr id="111" name="ID_0FDE4D6F4D5945378939AA62ECD16826" descr="55-3 冰河煮蛋器"/>
        <xdr:cNvPicPr>
          <a:picLocks noChangeAspect="1"/>
        </xdr:cNvPicPr>
      </xdr:nvPicPr>
      <xdr:blipFill>
        <a:blip r:embed="rId47"/>
        <a:stretch>
          <a:fillRect/>
        </a:stretch>
      </xdr:blipFill>
      <xdr:spPr>
        <a:xfrm>
          <a:off x="1343025" y="26692225"/>
          <a:ext cx="380365" cy="474980"/>
        </a:xfrm>
        <a:prstGeom prst="rect">
          <a:avLst/>
        </a:prstGeom>
      </xdr:spPr>
    </xdr:pic>
  </etc:cellImage>
  <etc:cellImage>
    <xdr:pic>
      <xdr:nvPicPr>
        <xdr:cNvPr id="112" name="ID_0CC9DDDA9A254697BBC10B84001FE3FA" descr="8周年蛋糕"/>
        <xdr:cNvPicPr>
          <a:picLocks noChangeAspect="1"/>
        </xdr:cNvPicPr>
      </xdr:nvPicPr>
      <xdr:blipFill>
        <a:blip r:embed="rId48"/>
        <a:stretch>
          <a:fillRect/>
        </a:stretch>
      </xdr:blipFill>
      <xdr:spPr>
        <a:xfrm>
          <a:off x="2066925" y="26606500"/>
          <a:ext cx="381000" cy="482600"/>
        </a:xfrm>
        <a:prstGeom prst="rect">
          <a:avLst/>
        </a:prstGeom>
      </xdr:spPr>
    </xdr:pic>
  </etc:cellImage>
  <etc:cellImage>
    <xdr:pic>
      <xdr:nvPicPr>
        <xdr:cNvPr id="115" name="ID_608704E6EFF84F9EAA41E55991354439" descr="02-3 金翼陀螺喵"/>
        <xdr:cNvPicPr>
          <a:picLocks noChangeAspect="1"/>
        </xdr:cNvPicPr>
      </xdr:nvPicPr>
      <xdr:blipFill>
        <a:blip r:embed="rId49"/>
        <a:stretch>
          <a:fillRect/>
        </a:stretch>
      </xdr:blipFill>
      <xdr:spPr>
        <a:xfrm>
          <a:off x="1314450" y="1755775"/>
          <a:ext cx="381000" cy="482600"/>
        </a:xfrm>
        <a:prstGeom prst="rect">
          <a:avLst/>
        </a:prstGeom>
      </xdr:spPr>
    </xdr:pic>
  </etc:cellImage>
  <etc:cellImage>
    <xdr:pic>
      <xdr:nvPicPr>
        <xdr:cNvPr id="113" name="ID_9B543EDFF211464E86D8E714A465955C" descr="02-3 芥末海星刺身"/>
        <xdr:cNvPicPr>
          <a:picLocks noChangeAspect="1"/>
        </xdr:cNvPicPr>
      </xdr:nvPicPr>
      <xdr:blipFill>
        <a:blip r:embed="rId50"/>
        <a:stretch>
          <a:fillRect/>
        </a:stretch>
      </xdr:blipFill>
      <xdr:spPr>
        <a:xfrm>
          <a:off x="361950" y="1831975"/>
          <a:ext cx="381000" cy="482600"/>
        </a:xfrm>
        <a:prstGeom prst="rect">
          <a:avLst/>
        </a:prstGeom>
      </xdr:spPr>
    </xdr:pic>
  </etc:cellImage>
  <etc:cellImage>
    <xdr:pic>
      <xdr:nvPicPr>
        <xdr:cNvPr id="114" name="ID_F2A7878A12664437BEB0BFA254BE4D7E" descr="12-3 猪猪破壁机"/>
        <xdr:cNvPicPr>
          <a:picLocks noChangeAspect="1"/>
        </xdr:cNvPicPr>
      </xdr:nvPicPr>
      <xdr:blipFill>
        <a:blip r:embed="rId51"/>
        <a:stretch>
          <a:fillRect/>
        </a:stretch>
      </xdr:blipFill>
      <xdr:spPr>
        <a:xfrm>
          <a:off x="800100" y="1841500"/>
          <a:ext cx="381000" cy="476250"/>
        </a:xfrm>
        <a:prstGeom prst="rect">
          <a:avLst/>
        </a:prstGeom>
      </xdr:spPr>
    </xdr:pic>
  </etc:cellImage>
  <etc:cellImage>
    <xdr:pic>
      <xdr:nvPicPr>
        <xdr:cNvPr id="35" name="ID_73F023D2839D4319A6F28E1FAB872C28" descr="12-3 冥神·哈迪斯"/>
        <xdr:cNvPicPr>
          <a:picLocks noChangeAspect="1"/>
        </xdr:cNvPicPr>
      </xdr:nvPicPr>
      <xdr:blipFill>
        <a:blip r:embed="rId52"/>
        <a:stretch>
          <a:fillRect/>
        </a:stretch>
      </xdr:blipFill>
      <xdr:spPr>
        <a:xfrm>
          <a:off x="3114675" y="1774825"/>
          <a:ext cx="381000" cy="476250"/>
        </a:xfrm>
        <a:prstGeom prst="rect">
          <a:avLst/>
        </a:prstGeom>
      </xdr:spPr>
    </xdr:pic>
  </etc:cellImage>
  <etc:cellImage>
    <xdr:pic>
      <xdr:nvPicPr>
        <xdr:cNvPr id="33" name="ID_2ADD49AAC0DF4D5E866D67A539098D57" descr="12-1 哈迪斯神使"/>
        <xdr:cNvPicPr>
          <a:picLocks noChangeAspect="1"/>
        </xdr:cNvPicPr>
      </xdr:nvPicPr>
      <xdr:blipFill>
        <a:blip r:embed="rId53"/>
        <a:stretch>
          <a:fillRect/>
        </a:stretch>
      </xdr:blipFill>
      <xdr:spPr>
        <a:xfrm>
          <a:off x="2085975" y="1784350"/>
          <a:ext cx="380365" cy="474980"/>
        </a:xfrm>
        <a:prstGeom prst="rect">
          <a:avLst/>
        </a:prstGeom>
      </xdr:spPr>
    </xdr:pic>
  </etc:cellImage>
  <etc:cellImage>
    <xdr:pic>
      <xdr:nvPicPr>
        <xdr:cNvPr id="34" name="ID_D5542EDE35B34EA2A4133D96C8112FE7" descr="12-2 哈迪斯圣神"/>
        <xdr:cNvPicPr>
          <a:picLocks noChangeAspect="1"/>
        </xdr:cNvPicPr>
      </xdr:nvPicPr>
      <xdr:blipFill>
        <a:blip r:embed="rId54"/>
        <a:stretch>
          <a:fillRect/>
        </a:stretch>
      </xdr:blipFill>
      <xdr:spPr>
        <a:xfrm>
          <a:off x="2400300" y="1793875"/>
          <a:ext cx="378460" cy="474980"/>
        </a:xfrm>
        <a:prstGeom prst="rect">
          <a:avLst/>
        </a:prstGeom>
      </xdr:spPr>
    </xdr:pic>
  </etc:cellImage>
  <etc:cellImage>
    <xdr:pic>
      <xdr:nvPicPr>
        <xdr:cNvPr id="263" name="ID_F21561F2AD374EDD8FAB90CE275097C4" descr="6-3金牌厨师虎"/>
        <xdr:cNvPicPr>
          <a:picLocks noChangeAspect="1"/>
        </xdr:cNvPicPr>
      </xdr:nvPicPr>
      <xdr:blipFill>
        <a:blip r:embed="rId55"/>
        <a:stretch>
          <a:fillRect/>
        </a:stretch>
      </xdr:blipFill>
      <xdr:spPr>
        <a:xfrm>
          <a:off x="1828800" y="27190700"/>
          <a:ext cx="381000" cy="482600"/>
        </a:xfrm>
        <a:prstGeom prst="rect">
          <a:avLst/>
        </a:prstGeom>
      </xdr:spPr>
    </xdr:pic>
  </etc:cellImage>
  <etc:cellImage>
    <xdr:pic>
      <xdr:nvPicPr>
        <xdr:cNvPr id="933" name="ID_9E3AEF143C2E4014BC8E19EBC589F6FA" descr="12-3-冥神·哈迪斯"/>
        <xdr:cNvPicPr>
          <a:picLocks noChangeAspect="1"/>
        </xdr:cNvPicPr>
      </xdr:nvPicPr>
      <xdr:blipFill>
        <a:blip r:embed="rId56"/>
        <a:stretch>
          <a:fillRect/>
        </a:stretch>
      </xdr:blipFill>
      <xdr:spPr>
        <a:xfrm>
          <a:off x="9509760" y="7626350"/>
          <a:ext cx="909955" cy="1038225"/>
        </a:xfrm>
        <a:prstGeom prst="rect">
          <a:avLst/>
        </a:prstGeom>
      </xdr:spPr>
    </xdr:pic>
  </etc:cellImage>
  <etc:cellImage>
    <xdr:pic>
      <xdr:nvPicPr>
        <xdr:cNvPr id="1261" name="ID_69AE383DD7BC4937AEF816CB4F6FD6FA" descr="14-3 天椒怪味鱿鱼"/>
        <xdr:cNvPicPr>
          <a:picLocks noChangeAspect="1"/>
        </xdr:cNvPicPr>
      </xdr:nvPicPr>
      <xdr:blipFill>
        <a:blip r:embed="rId57"/>
        <a:stretch>
          <a:fillRect/>
        </a:stretch>
      </xdr:blipFill>
      <xdr:spPr>
        <a:xfrm>
          <a:off x="8922385" y="10769600"/>
          <a:ext cx="381000" cy="476250"/>
        </a:xfrm>
        <a:prstGeom prst="rect">
          <a:avLst/>
        </a:prstGeom>
      </xdr:spPr>
    </xdr:pic>
  </etc:cellImage>
  <etc:cellImage>
    <xdr:pic>
      <xdr:nvPicPr>
        <xdr:cNvPr id="119" name="ID_8FE8662A61704457AE8B558C0786ACEC" descr="36-3 龙门鲈鱼"/>
        <xdr:cNvPicPr>
          <a:picLocks noChangeAspect="1"/>
        </xdr:cNvPicPr>
      </xdr:nvPicPr>
      <xdr:blipFill>
        <a:blip r:embed="rId58"/>
        <a:stretch>
          <a:fillRect/>
        </a:stretch>
      </xdr:blipFill>
      <xdr:spPr>
        <a:xfrm>
          <a:off x="152400" y="10062845"/>
          <a:ext cx="381000" cy="476250"/>
        </a:xfrm>
        <a:prstGeom prst="rect">
          <a:avLst/>
        </a:prstGeom>
      </xdr:spPr>
    </xdr:pic>
  </etc:cellImage>
  <etc:cellImage>
    <xdr:pic>
      <xdr:nvPicPr>
        <xdr:cNvPr id="120" name="ID_059086BA15204467ACB4E5AE587F97EC" descr="08-3 黄金便便汪"/>
        <xdr:cNvPicPr>
          <a:picLocks noChangeAspect="1"/>
        </xdr:cNvPicPr>
      </xdr:nvPicPr>
      <xdr:blipFill>
        <a:blip r:embed="rId59"/>
        <a:stretch>
          <a:fillRect/>
        </a:stretch>
      </xdr:blipFill>
      <xdr:spPr>
        <a:xfrm>
          <a:off x="828675" y="10010775"/>
          <a:ext cx="381000" cy="476250"/>
        </a:xfrm>
        <a:prstGeom prst="rect">
          <a:avLst/>
        </a:prstGeom>
      </xdr:spPr>
    </xdr:pic>
  </etc:cellImage>
  <etc:cellImage>
    <xdr:pic>
      <xdr:nvPicPr>
        <xdr:cNvPr id="181" name="ID_618161E019514C638E907EBC2B7985D9" descr="龙虾"/>
        <xdr:cNvPicPr>
          <a:picLocks noChangeAspect="1"/>
        </xdr:cNvPicPr>
      </xdr:nvPicPr>
      <xdr:blipFill>
        <a:blip r:embed="rId60"/>
        <a:stretch>
          <a:fillRect/>
        </a:stretch>
      </xdr:blipFill>
      <xdr:spPr>
        <a:xfrm>
          <a:off x="1295400" y="10067925"/>
          <a:ext cx="381000" cy="476250"/>
        </a:xfrm>
        <a:prstGeom prst="rect">
          <a:avLst/>
        </a:prstGeom>
      </xdr:spPr>
    </xdr:pic>
  </etc:cellImage>
  <etc:cellImage>
    <xdr:pic>
      <xdr:nvPicPr>
        <xdr:cNvPr id="121" name="ID_7AA31508B50A49ADA1312A739AEDE5F7" descr="35-3 奥尔良烤鸡"/>
        <xdr:cNvPicPr>
          <a:picLocks noChangeAspect="1"/>
        </xdr:cNvPicPr>
      </xdr:nvPicPr>
      <xdr:blipFill>
        <a:blip r:embed="rId61"/>
        <a:stretch>
          <a:fillRect/>
        </a:stretch>
      </xdr:blipFill>
      <xdr:spPr>
        <a:xfrm>
          <a:off x="2009775" y="10006330"/>
          <a:ext cx="380365" cy="474980"/>
        </a:xfrm>
        <a:prstGeom prst="rect">
          <a:avLst/>
        </a:prstGeom>
      </xdr:spPr>
    </xdr:pic>
  </etc:cellImage>
  <etc:cellImage>
    <xdr:pic>
      <xdr:nvPicPr>
        <xdr:cNvPr id="122" name="ID_EF5E953F68984A869BF56B2ECBA64C04" descr="07-3 加农饼干汪"/>
        <xdr:cNvPicPr>
          <a:picLocks noChangeAspect="1"/>
        </xdr:cNvPicPr>
      </xdr:nvPicPr>
      <xdr:blipFill>
        <a:blip r:embed="rId62"/>
        <a:stretch>
          <a:fillRect/>
        </a:stretch>
      </xdr:blipFill>
      <xdr:spPr>
        <a:xfrm>
          <a:off x="2628900" y="10172700"/>
          <a:ext cx="381000" cy="476250"/>
        </a:xfrm>
        <a:prstGeom prst="rect">
          <a:avLst/>
        </a:prstGeom>
      </xdr:spPr>
    </xdr:pic>
  </etc:cellImage>
  <etc:cellImage>
    <xdr:pic>
      <xdr:nvPicPr>
        <xdr:cNvPr id="123" name="ID_5100732683C846E8BEEC7ADC28C07771" descr="37-1 牛角面包"/>
        <xdr:cNvPicPr>
          <a:picLocks noChangeAspect="1"/>
        </xdr:cNvPicPr>
      </xdr:nvPicPr>
      <xdr:blipFill>
        <a:blip r:embed="rId63"/>
        <a:stretch>
          <a:fillRect/>
        </a:stretch>
      </xdr:blipFill>
      <xdr:spPr>
        <a:xfrm>
          <a:off x="8865235" y="10086975"/>
          <a:ext cx="381000" cy="476250"/>
        </a:xfrm>
        <a:prstGeom prst="rect">
          <a:avLst/>
        </a:prstGeom>
      </xdr:spPr>
    </xdr:pic>
  </etc:cellImage>
  <etc:cellImage>
    <xdr:pic>
      <xdr:nvPicPr>
        <xdr:cNvPr id="124" name="ID_C0929E4AD73D4F7BAB0F13842D08E222" descr="09-2 钢化盾盾汪"/>
        <xdr:cNvPicPr>
          <a:picLocks noChangeAspect="1"/>
        </xdr:cNvPicPr>
      </xdr:nvPicPr>
      <xdr:blipFill>
        <a:blip r:embed="rId64"/>
        <a:stretch>
          <a:fillRect/>
        </a:stretch>
      </xdr:blipFill>
      <xdr:spPr>
        <a:xfrm>
          <a:off x="9684385" y="10144125"/>
          <a:ext cx="381000" cy="476250"/>
        </a:xfrm>
        <a:prstGeom prst="rect">
          <a:avLst/>
        </a:prstGeom>
      </xdr:spPr>
    </xdr:pic>
  </etc:cellImage>
  <etc:cellImage>
    <xdr:pic>
      <xdr:nvPicPr>
        <xdr:cNvPr id="77" name="ID_F2370A9EFCAD4D6781301B3CF02F0BA2" descr="06-3 金牛座星宿"/>
        <xdr:cNvPicPr>
          <a:picLocks noChangeAspect="1"/>
        </xdr:cNvPicPr>
      </xdr:nvPicPr>
      <xdr:blipFill>
        <a:blip r:embed="rId65"/>
        <a:stretch>
          <a:fillRect/>
        </a:stretch>
      </xdr:blipFill>
      <xdr:spPr>
        <a:xfrm>
          <a:off x="1895475" y="1793875"/>
          <a:ext cx="381000" cy="476250"/>
        </a:xfrm>
        <a:prstGeom prst="rect">
          <a:avLst/>
        </a:prstGeom>
      </xdr:spPr>
    </xdr:pic>
  </etc:cellImage>
  <etc:cellImage>
    <xdr:pic>
      <xdr:nvPicPr>
        <xdr:cNvPr id="614" name="ID_4CC638CFB1F04DF784FF9FF953976DDE" descr="06-1 金牛座精灵"/>
        <xdr:cNvPicPr>
          <a:picLocks noChangeAspect="1"/>
        </xdr:cNvPicPr>
      </xdr:nvPicPr>
      <xdr:blipFill>
        <a:blip r:embed="rId66"/>
        <a:stretch>
          <a:fillRect/>
        </a:stretch>
      </xdr:blipFill>
      <xdr:spPr>
        <a:xfrm>
          <a:off x="3629025" y="27063700"/>
          <a:ext cx="380365" cy="474980"/>
        </a:xfrm>
        <a:prstGeom prst="rect">
          <a:avLst/>
        </a:prstGeom>
      </xdr:spPr>
    </xdr:pic>
  </etc:cellImage>
  <etc:cellImage>
    <xdr:pic>
      <xdr:nvPicPr>
        <xdr:cNvPr id="75" name="ID_C6EAD150E1794B5495C6BD4A720B081E" descr="21-3 岩烧烤盘"/>
        <xdr:cNvPicPr>
          <a:picLocks noChangeAspect="1"/>
        </xdr:cNvPicPr>
      </xdr:nvPicPr>
      <xdr:blipFill>
        <a:blip r:embed="rId67"/>
        <a:stretch>
          <a:fillRect/>
        </a:stretch>
      </xdr:blipFill>
      <xdr:spPr>
        <a:xfrm>
          <a:off x="733425" y="1793875"/>
          <a:ext cx="380365" cy="482600"/>
        </a:xfrm>
        <a:prstGeom prst="rect">
          <a:avLst/>
        </a:prstGeom>
      </xdr:spPr>
    </xdr:pic>
  </etc:cellImage>
  <etc:cellImage>
    <xdr:pic>
      <xdr:nvPicPr>
        <xdr:cNvPr id="76" name="ID_B02A4A6D03424117BB8904D6238812B0" descr="06-3 火热暖炉汪"/>
        <xdr:cNvPicPr>
          <a:picLocks noChangeAspect="1"/>
        </xdr:cNvPicPr>
      </xdr:nvPicPr>
      <xdr:blipFill>
        <a:blip r:embed="rId68"/>
        <a:stretch>
          <a:fillRect/>
        </a:stretch>
      </xdr:blipFill>
      <xdr:spPr>
        <a:xfrm>
          <a:off x="1314450" y="1946275"/>
          <a:ext cx="381000" cy="476250"/>
        </a:xfrm>
        <a:prstGeom prst="rect">
          <a:avLst/>
        </a:prstGeom>
      </xdr:spPr>
    </xdr:pic>
  </etc:cellImage>
  <etc:cellImage>
    <xdr:pic>
      <xdr:nvPicPr>
        <xdr:cNvPr id="78" name="ID_476B14BF7E9C495BACF9A7A4449453E3" descr="05-3 樱红能量喵"/>
        <xdr:cNvPicPr>
          <a:picLocks noChangeAspect="1"/>
        </xdr:cNvPicPr>
      </xdr:nvPicPr>
      <xdr:blipFill>
        <a:blip r:embed="rId69"/>
        <a:stretch>
          <a:fillRect/>
        </a:stretch>
      </xdr:blipFill>
      <xdr:spPr>
        <a:xfrm>
          <a:off x="2647950" y="1755775"/>
          <a:ext cx="381000" cy="482600"/>
        </a:xfrm>
        <a:prstGeom prst="rect">
          <a:avLst/>
        </a:prstGeom>
      </xdr:spPr>
    </xdr:pic>
  </etc:cellImage>
  <etc:cellImage>
    <xdr:pic>
      <xdr:nvPicPr>
        <xdr:cNvPr id="921" name="ID_A6BCC0644EF046A6B089518901E1C118" descr="09-1 火箭猪"/>
        <xdr:cNvPicPr>
          <a:picLocks noChangeAspect="1"/>
        </xdr:cNvPicPr>
      </xdr:nvPicPr>
      <xdr:blipFill>
        <a:blip r:embed="rId70"/>
        <a:stretch>
          <a:fillRect/>
        </a:stretch>
      </xdr:blipFill>
      <xdr:spPr>
        <a:xfrm>
          <a:off x="66675" y="16598900"/>
          <a:ext cx="381000" cy="476250"/>
        </a:xfrm>
        <a:prstGeom prst="rect">
          <a:avLst/>
        </a:prstGeom>
      </xdr:spPr>
    </xdr:pic>
  </etc:cellImage>
  <etc:cellImage>
    <xdr:pic>
      <xdr:nvPicPr>
        <xdr:cNvPr id="313" name="ID_B4EB458107BA451686BCC70A2E5EA375" descr="06-3 火神·洛基"/>
        <xdr:cNvPicPr>
          <a:picLocks noChangeAspect="1"/>
        </xdr:cNvPicPr>
      </xdr:nvPicPr>
      <xdr:blipFill>
        <a:blip r:embed="rId71"/>
        <a:stretch>
          <a:fillRect/>
        </a:stretch>
      </xdr:blipFill>
      <xdr:spPr>
        <a:xfrm>
          <a:off x="9579610" y="1655445"/>
          <a:ext cx="382905" cy="476250"/>
        </a:xfrm>
        <a:prstGeom prst="rect">
          <a:avLst/>
        </a:prstGeom>
      </xdr:spPr>
    </xdr:pic>
  </etc:cellImage>
  <etc:cellImage>
    <xdr:pic>
      <xdr:nvPicPr>
        <xdr:cNvPr id="926" name="ID_96B7A10F35064B0F86FAD37C01298AD1" descr="1-1-2"/>
        <xdr:cNvPicPr>
          <a:picLocks noChangeAspect="1"/>
        </xdr:cNvPicPr>
      </xdr:nvPicPr>
      <xdr:blipFill>
        <a:blip r:embed="rId72">
          <a:grayscl/>
        </a:blip>
        <a:stretch>
          <a:fillRect/>
        </a:stretch>
      </xdr:blipFill>
      <xdr:spPr>
        <a:xfrm>
          <a:off x="2428875" y="16517620"/>
          <a:ext cx="381000" cy="476250"/>
        </a:xfrm>
        <a:prstGeom prst="rect">
          <a:avLst/>
        </a:prstGeom>
      </xdr:spPr>
    </xdr:pic>
  </etc:cellImage>
  <etc:cellImage>
    <xdr:pic>
      <xdr:nvPicPr>
        <xdr:cNvPr id="266" name="ID_252549DFAF6A4BACA10C8B7EE4231D00" descr="06-1 洛基神使"/>
        <xdr:cNvPicPr>
          <a:picLocks noChangeAspect="1"/>
        </xdr:cNvPicPr>
      </xdr:nvPicPr>
      <xdr:blipFill>
        <a:blip r:embed="rId73"/>
        <a:stretch>
          <a:fillRect/>
        </a:stretch>
      </xdr:blipFill>
      <xdr:spPr>
        <a:xfrm>
          <a:off x="8354060" y="1655445"/>
          <a:ext cx="382905" cy="476250"/>
        </a:xfrm>
        <a:prstGeom prst="rect">
          <a:avLst/>
        </a:prstGeom>
      </xdr:spPr>
    </xdr:pic>
  </etc:cellImage>
  <etc:cellImage>
    <xdr:pic>
      <xdr:nvPicPr>
        <xdr:cNvPr id="314" name="ID_5A57F67B56874BE1BB01C8B5BAD70012" descr="06-4 至尊火神"/>
        <xdr:cNvPicPr>
          <a:picLocks noChangeAspect="1"/>
        </xdr:cNvPicPr>
      </xdr:nvPicPr>
      <xdr:blipFill>
        <a:blip r:embed="rId74"/>
        <a:stretch>
          <a:fillRect/>
        </a:stretch>
      </xdr:blipFill>
      <xdr:spPr>
        <a:xfrm>
          <a:off x="10191115" y="1655445"/>
          <a:ext cx="382905" cy="476250"/>
        </a:xfrm>
        <a:prstGeom prst="rect">
          <a:avLst/>
        </a:prstGeom>
      </xdr:spPr>
    </xdr:pic>
  </etc:cellImage>
  <etc:cellImage>
    <xdr:pic>
      <xdr:nvPicPr>
        <xdr:cNvPr id="312" name="ID_878350DAC8BA48FA9D73EBFB59A9914B" descr="06-2 洛基圣神"/>
        <xdr:cNvPicPr>
          <a:picLocks noChangeAspect="1"/>
        </xdr:cNvPicPr>
      </xdr:nvPicPr>
      <xdr:blipFill>
        <a:blip r:embed="rId75"/>
        <a:stretch>
          <a:fillRect/>
        </a:stretch>
      </xdr:blipFill>
      <xdr:spPr>
        <a:xfrm>
          <a:off x="8968105" y="1655445"/>
          <a:ext cx="382905" cy="476250"/>
        </a:xfrm>
        <a:prstGeom prst="rect">
          <a:avLst/>
        </a:prstGeom>
      </xdr:spPr>
    </xdr:pic>
  </etc:cellImage>
  <etc:cellImage>
    <xdr:pic>
      <xdr:nvPicPr>
        <xdr:cNvPr id="80" name="ID_08291703FF254558BD8D52424FB1D04B" descr="蓝莓信号塔塔"/>
        <xdr:cNvPicPr>
          <a:picLocks noChangeAspect="1"/>
        </xdr:cNvPicPr>
      </xdr:nvPicPr>
      <xdr:blipFill>
        <a:blip r:embed="rId76"/>
        <a:stretch>
          <a:fillRect/>
        </a:stretch>
      </xdr:blipFill>
      <xdr:spPr>
        <a:xfrm>
          <a:off x="942975" y="8248650"/>
          <a:ext cx="381000" cy="482600"/>
        </a:xfrm>
        <a:prstGeom prst="rect">
          <a:avLst/>
        </a:prstGeom>
      </xdr:spPr>
    </xdr:pic>
  </etc:cellImage>
  <etc:cellImage>
    <xdr:pic>
      <xdr:nvPicPr>
        <xdr:cNvPr id="287" name="ID_382A72711FDE49CEAE3C6917D1D69D85" descr="蓝莓信号塔塔"/>
        <xdr:cNvPicPr>
          <a:picLocks noChangeAspect="1"/>
        </xdr:cNvPicPr>
      </xdr:nvPicPr>
      <xdr:blipFill>
        <a:blip r:embed="rId76"/>
        <a:stretch>
          <a:fillRect/>
        </a:stretch>
      </xdr:blipFill>
      <xdr:spPr>
        <a:xfrm>
          <a:off x="9073515" y="17365345"/>
          <a:ext cx="381000" cy="482600"/>
        </a:xfrm>
        <a:prstGeom prst="rect">
          <a:avLst/>
        </a:prstGeom>
      </xdr:spPr>
    </xdr:pic>
  </etc:cellImage>
  <etc:cellImage>
    <xdr:pic>
      <xdr:nvPicPr>
        <xdr:cNvPr id="975" name="ID_20C8D29166994F4BB3A29D78F633C465" descr="巧克力水果塔"/>
        <xdr:cNvPicPr>
          <a:picLocks noChangeAspect="1"/>
        </xdr:cNvPicPr>
      </xdr:nvPicPr>
      <xdr:blipFill>
        <a:blip r:embed="rId77"/>
        <a:stretch>
          <a:fillRect/>
        </a:stretch>
      </xdr:blipFill>
      <xdr:spPr>
        <a:xfrm>
          <a:off x="1247775" y="8940800"/>
          <a:ext cx="381000" cy="482600"/>
        </a:xfrm>
        <a:prstGeom prst="rect">
          <a:avLst/>
        </a:prstGeom>
      </xdr:spPr>
    </xdr:pic>
  </etc:cellImage>
  <etc:cellImage>
    <xdr:pic>
      <xdr:nvPicPr>
        <xdr:cNvPr id="972" name="ID_9024D7F831CF46508EF2435D1C04CA98" descr="05-3 樱红能量喵"/>
        <xdr:cNvPicPr>
          <a:picLocks noChangeAspect="1"/>
        </xdr:cNvPicPr>
      </xdr:nvPicPr>
      <xdr:blipFill>
        <a:blip r:embed="rId69"/>
        <a:stretch>
          <a:fillRect/>
        </a:stretch>
      </xdr:blipFill>
      <xdr:spPr>
        <a:xfrm>
          <a:off x="1743075" y="8808720"/>
          <a:ext cx="381000" cy="482600"/>
        </a:xfrm>
        <a:prstGeom prst="rect">
          <a:avLst/>
        </a:prstGeom>
      </xdr:spPr>
    </xdr:pic>
  </etc:cellImage>
  <etc:cellImage>
    <xdr:pic>
      <xdr:nvPicPr>
        <xdr:cNvPr id="288" name="ID_F156BB1178AB447A905F8F844D76677F" descr="11120470-c"/>
        <xdr:cNvPicPr>
          <a:picLocks noChangeAspect="1"/>
        </xdr:cNvPicPr>
      </xdr:nvPicPr>
      <xdr:blipFill>
        <a:blip r:embed="rId78"/>
        <a:stretch>
          <a:fillRect/>
        </a:stretch>
      </xdr:blipFill>
      <xdr:spPr>
        <a:xfrm>
          <a:off x="9808845" y="17387570"/>
          <a:ext cx="381000" cy="476250"/>
        </a:xfrm>
        <a:prstGeom prst="rect">
          <a:avLst/>
        </a:prstGeom>
      </xdr:spPr>
    </xdr:pic>
  </etc:cellImage>
  <etc:cellImage>
    <xdr:pic>
      <xdr:nvPicPr>
        <xdr:cNvPr id="974" name="ID_9726CFC615CE43F2AD104AF6FB0D5CE1" descr="04-3 猪猪发射站"/>
        <xdr:cNvPicPr>
          <a:picLocks noChangeAspect="1"/>
        </xdr:cNvPicPr>
      </xdr:nvPicPr>
      <xdr:blipFill>
        <a:blip r:embed="rId79"/>
        <a:stretch>
          <a:fillRect/>
        </a:stretch>
      </xdr:blipFill>
      <xdr:spPr>
        <a:xfrm>
          <a:off x="2324100" y="8808720"/>
          <a:ext cx="381000" cy="482600"/>
        </a:xfrm>
        <a:prstGeom prst="rect">
          <a:avLst/>
        </a:prstGeom>
      </xdr:spPr>
    </xdr:pic>
  </etc:cellImage>
  <etc:cellImage>
    <xdr:pic>
      <xdr:nvPicPr>
        <xdr:cNvPr id="83" name="ID_53C05205E77F40F28BF32D2B4B36F0A6" descr="11120470-c"/>
        <xdr:cNvPicPr>
          <a:picLocks noChangeAspect="1"/>
        </xdr:cNvPicPr>
      </xdr:nvPicPr>
      <xdr:blipFill>
        <a:blip r:embed="rId78"/>
        <a:stretch>
          <a:fillRect/>
        </a:stretch>
      </xdr:blipFill>
      <xdr:spPr>
        <a:xfrm>
          <a:off x="1362075" y="11703050"/>
          <a:ext cx="381000" cy="476250"/>
        </a:xfrm>
        <a:prstGeom prst="rect">
          <a:avLst/>
        </a:prstGeom>
      </xdr:spPr>
    </xdr:pic>
  </etc:cellImage>
  <etc:cellImage>
    <xdr:pic>
      <xdr:nvPicPr>
        <xdr:cNvPr id="265" name="ID_BC7005D18B6347FCAA963865FA790DCC" descr="3-3魔力香料虎"/>
        <xdr:cNvPicPr>
          <a:picLocks noChangeAspect="1"/>
        </xdr:cNvPicPr>
      </xdr:nvPicPr>
      <xdr:blipFill>
        <a:blip r:embed="rId80"/>
        <a:stretch>
          <a:fillRect/>
        </a:stretch>
      </xdr:blipFill>
      <xdr:spPr>
        <a:xfrm>
          <a:off x="1933575" y="11750675"/>
          <a:ext cx="381000" cy="482600"/>
        </a:xfrm>
        <a:prstGeom prst="rect">
          <a:avLst/>
        </a:prstGeom>
      </xdr:spPr>
    </xdr:pic>
  </etc:cellImage>
  <etc:cellImage>
    <xdr:pic>
      <xdr:nvPicPr>
        <xdr:cNvPr id="300" name="ID_535A709EE8584D929F74CB5F84FA3C8D" descr="51-1 章鱼烧"/>
        <xdr:cNvPicPr>
          <a:picLocks noChangeAspect="1"/>
        </xdr:cNvPicPr>
      </xdr:nvPicPr>
      <xdr:blipFill>
        <a:blip r:embed="rId81"/>
        <a:stretch>
          <a:fillRect/>
        </a:stretch>
      </xdr:blipFill>
      <xdr:spPr>
        <a:xfrm>
          <a:off x="1419225" y="14938375"/>
          <a:ext cx="381000" cy="476250"/>
        </a:xfrm>
        <a:prstGeom prst="rect">
          <a:avLst/>
        </a:prstGeom>
      </xdr:spPr>
    </xdr:pic>
  </etc:cellImage>
  <etc:cellImage>
    <xdr:pic>
      <xdr:nvPicPr>
        <xdr:cNvPr id="301" name="ID_C7CC999F97C94006AA84D4C751EC09F9" descr="51-2 两栖章鱼烧"/>
        <xdr:cNvPicPr>
          <a:picLocks noChangeAspect="1"/>
        </xdr:cNvPicPr>
      </xdr:nvPicPr>
      <xdr:blipFill>
        <a:blip r:embed="rId82"/>
        <a:stretch>
          <a:fillRect/>
        </a:stretch>
      </xdr:blipFill>
      <xdr:spPr>
        <a:xfrm>
          <a:off x="1838325" y="14959965"/>
          <a:ext cx="380365" cy="474980"/>
        </a:xfrm>
        <a:prstGeom prst="rect">
          <a:avLst/>
        </a:prstGeom>
      </xdr:spPr>
    </xdr:pic>
  </etc:cellImage>
  <etc:cellImage>
    <xdr:pic>
      <xdr:nvPicPr>
        <xdr:cNvPr id="302" name="ID_DFE74962C1DD49019CB64C68CB0D8EF0" descr="51-3 火影章鱼烧"/>
        <xdr:cNvPicPr>
          <a:picLocks noChangeAspect="1"/>
        </xdr:cNvPicPr>
      </xdr:nvPicPr>
      <xdr:blipFill>
        <a:blip r:embed="rId83"/>
        <a:stretch>
          <a:fillRect/>
        </a:stretch>
      </xdr:blipFill>
      <xdr:spPr>
        <a:xfrm>
          <a:off x="2580640" y="14995525"/>
          <a:ext cx="384175" cy="481330"/>
        </a:xfrm>
        <a:prstGeom prst="rect">
          <a:avLst/>
        </a:prstGeom>
      </xdr:spPr>
    </xdr:pic>
  </etc:cellImage>
  <etc:cellImage>
    <xdr:pic>
      <xdr:nvPicPr>
        <xdr:cNvPr id="303" name="ID_1C93D6906DA6425BA5CEA8211D97B7FA" descr="05-1 巨蟹座精灵"/>
        <xdr:cNvPicPr>
          <a:picLocks noChangeAspect="1"/>
        </xdr:cNvPicPr>
      </xdr:nvPicPr>
      <xdr:blipFill>
        <a:blip r:embed="rId84"/>
        <a:stretch>
          <a:fillRect/>
        </a:stretch>
      </xdr:blipFill>
      <xdr:spPr>
        <a:xfrm>
          <a:off x="3771900" y="15071725"/>
          <a:ext cx="381000" cy="476250"/>
        </a:xfrm>
        <a:prstGeom prst="rect">
          <a:avLst/>
        </a:prstGeom>
      </xdr:spPr>
    </xdr:pic>
  </etc:cellImage>
  <etc:cellImage>
    <xdr:pic>
      <xdr:nvPicPr>
        <xdr:cNvPr id="304" name="ID_B5B7D18E6ADC4B4FB012583682F45B8F" descr="05-2 巨蟹座战将"/>
        <xdr:cNvPicPr>
          <a:picLocks noChangeAspect="1"/>
        </xdr:cNvPicPr>
      </xdr:nvPicPr>
      <xdr:blipFill>
        <a:blip r:embed="rId85"/>
        <a:stretch>
          <a:fillRect/>
        </a:stretch>
      </xdr:blipFill>
      <xdr:spPr>
        <a:xfrm>
          <a:off x="4257675" y="14976475"/>
          <a:ext cx="381000" cy="476250"/>
        </a:xfrm>
        <a:prstGeom prst="rect">
          <a:avLst/>
        </a:prstGeom>
      </xdr:spPr>
    </xdr:pic>
  </etc:cellImage>
  <etc:cellImage>
    <xdr:pic>
      <xdr:nvPicPr>
        <xdr:cNvPr id="919" name="ID_E5FA3D2C94AB4CD581E08CBEA8DC4011" descr="09-3 反重力火箭猪"/>
        <xdr:cNvPicPr>
          <a:picLocks noChangeAspect="1"/>
        </xdr:cNvPicPr>
      </xdr:nvPicPr>
      <xdr:blipFill>
        <a:blip r:embed="rId86"/>
        <a:stretch>
          <a:fillRect/>
        </a:stretch>
      </xdr:blipFill>
      <xdr:spPr>
        <a:xfrm>
          <a:off x="1314450" y="16675100"/>
          <a:ext cx="381000" cy="476250"/>
        </a:xfrm>
        <a:prstGeom prst="rect">
          <a:avLst/>
        </a:prstGeom>
      </xdr:spPr>
    </xdr:pic>
  </etc:cellImage>
  <etc:cellImage>
    <xdr:pic>
      <xdr:nvPicPr>
        <xdr:cNvPr id="305" name="ID_81A722FAC89B4912AE02FB2E741FD9F3" descr="05-3 巨蟹座星宿"/>
        <xdr:cNvPicPr>
          <a:picLocks noChangeAspect="1"/>
        </xdr:cNvPicPr>
      </xdr:nvPicPr>
      <xdr:blipFill>
        <a:blip r:embed="rId87"/>
        <a:stretch>
          <a:fillRect/>
        </a:stretch>
      </xdr:blipFill>
      <xdr:spPr>
        <a:xfrm>
          <a:off x="4848225" y="15005050"/>
          <a:ext cx="381000" cy="476250"/>
        </a:xfrm>
        <a:prstGeom prst="rect">
          <a:avLst/>
        </a:prstGeom>
      </xdr:spPr>
    </xdr:pic>
  </etc:cellImage>
  <etc:cellImage>
    <xdr:pic>
      <xdr:nvPicPr>
        <xdr:cNvPr id="321" name="ID_8738FF3754C74E3598D61E929DC852DC" descr="05-1 忍忍鸡"/>
        <xdr:cNvPicPr>
          <a:picLocks noChangeAspect="1"/>
        </xdr:cNvPicPr>
      </xdr:nvPicPr>
      <xdr:blipFill>
        <a:blip r:embed="rId88"/>
        <a:stretch>
          <a:fillRect/>
        </a:stretch>
      </xdr:blipFill>
      <xdr:spPr>
        <a:xfrm>
          <a:off x="3657600" y="15009495"/>
          <a:ext cx="381000" cy="476250"/>
        </a:xfrm>
        <a:prstGeom prst="rect">
          <a:avLst/>
        </a:prstGeom>
      </xdr:spPr>
    </xdr:pic>
  </etc:cellImage>
  <etc:cellImage>
    <xdr:pic>
      <xdr:nvPicPr>
        <xdr:cNvPr id="320" name="ID_4A9D246A582B47D7B7E3A4436E227AF3" descr="05-2 疾风忍忍鸡"/>
        <xdr:cNvPicPr>
          <a:picLocks noChangeAspect="1"/>
        </xdr:cNvPicPr>
      </xdr:nvPicPr>
      <xdr:blipFill>
        <a:blip r:embed="rId89"/>
        <a:stretch>
          <a:fillRect/>
        </a:stretch>
      </xdr:blipFill>
      <xdr:spPr>
        <a:xfrm>
          <a:off x="4257675" y="15009495"/>
          <a:ext cx="381000" cy="476250"/>
        </a:xfrm>
        <a:prstGeom prst="rect">
          <a:avLst/>
        </a:prstGeom>
      </xdr:spPr>
    </xdr:pic>
  </etc:cellImage>
  <etc:cellImage>
    <xdr:pic>
      <xdr:nvPicPr>
        <xdr:cNvPr id="322" name="ID_9919AA1DEB324B1DADEF752C8642969F" descr="05-3 幻影忍忍鸡"/>
        <xdr:cNvPicPr>
          <a:picLocks noChangeAspect="1"/>
        </xdr:cNvPicPr>
      </xdr:nvPicPr>
      <xdr:blipFill>
        <a:blip r:embed="rId90"/>
        <a:stretch>
          <a:fillRect/>
        </a:stretch>
      </xdr:blipFill>
      <xdr:spPr>
        <a:xfrm>
          <a:off x="4871720" y="15009495"/>
          <a:ext cx="381000" cy="476250"/>
        </a:xfrm>
        <a:prstGeom prst="rect">
          <a:avLst/>
        </a:prstGeom>
      </xdr:spPr>
    </xdr:pic>
  </etc:cellImage>
  <etc:cellImage>
    <xdr:pic>
      <xdr:nvPicPr>
        <xdr:cNvPr id="323" name="ID_C0A1C8D46C11481BBE15ED100CB281B6" descr="05-1 飞盘汪"/>
        <xdr:cNvPicPr>
          <a:picLocks noChangeAspect="1"/>
        </xdr:cNvPicPr>
      </xdr:nvPicPr>
      <xdr:blipFill>
        <a:blip r:embed="rId91"/>
        <a:stretch>
          <a:fillRect/>
        </a:stretch>
      </xdr:blipFill>
      <xdr:spPr>
        <a:xfrm>
          <a:off x="5324475" y="15015845"/>
          <a:ext cx="381000" cy="482600"/>
        </a:xfrm>
        <a:prstGeom prst="rect">
          <a:avLst/>
        </a:prstGeom>
      </xdr:spPr>
    </xdr:pic>
  </etc:cellImage>
  <etc:cellImage>
    <xdr:pic>
      <xdr:nvPicPr>
        <xdr:cNvPr id="324" name="ID_0F0CF7F37285493A8CBE1A573E49FB11" descr="05-2 大厨飞盘汪"/>
        <xdr:cNvPicPr>
          <a:picLocks noChangeAspect="1"/>
        </xdr:cNvPicPr>
      </xdr:nvPicPr>
      <xdr:blipFill>
        <a:blip r:embed="rId92"/>
        <a:stretch>
          <a:fillRect/>
        </a:stretch>
      </xdr:blipFill>
      <xdr:spPr>
        <a:xfrm>
          <a:off x="5938520" y="15015845"/>
          <a:ext cx="381000" cy="482600"/>
        </a:xfrm>
        <a:prstGeom prst="rect">
          <a:avLst/>
        </a:prstGeom>
      </xdr:spPr>
    </xdr:pic>
  </etc:cellImage>
  <etc:cellImage>
    <xdr:pic>
      <xdr:nvPicPr>
        <xdr:cNvPr id="325" name="ID_5DD47B05B22F4677A5A0071D22C85194" descr="05-3 名厨飞盘汪"/>
        <xdr:cNvPicPr>
          <a:picLocks noChangeAspect="1"/>
        </xdr:cNvPicPr>
      </xdr:nvPicPr>
      <xdr:blipFill>
        <a:blip r:embed="rId93"/>
        <a:stretch>
          <a:fillRect/>
        </a:stretch>
      </xdr:blipFill>
      <xdr:spPr>
        <a:xfrm>
          <a:off x="6547485" y="15015845"/>
          <a:ext cx="381000" cy="482600"/>
        </a:xfrm>
        <a:prstGeom prst="rect">
          <a:avLst/>
        </a:prstGeom>
      </xdr:spPr>
    </xdr:pic>
  </etc:cellImage>
  <etc:cellImage>
    <xdr:pic>
      <xdr:nvPicPr>
        <xdr:cNvPr id="326" name="ID_086D00306895470BA90211D3BA4A9B30" descr="15-1 铁甲飞镖猪"/>
        <xdr:cNvPicPr>
          <a:picLocks noChangeAspect="1"/>
        </xdr:cNvPicPr>
      </xdr:nvPicPr>
      <xdr:blipFill>
        <a:blip r:embed="rId94"/>
        <a:stretch>
          <a:fillRect/>
        </a:stretch>
      </xdr:blipFill>
      <xdr:spPr>
        <a:xfrm>
          <a:off x="7218680" y="14999970"/>
          <a:ext cx="381000" cy="476250"/>
        </a:xfrm>
        <a:prstGeom prst="rect">
          <a:avLst/>
        </a:prstGeom>
      </xdr:spPr>
    </xdr:pic>
  </etc:cellImage>
  <etc:cellImage>
    <xdr:pic>
      <xdr:nvPicPr>
        <xdr:cNvPr id="327" name="ID_60230ABFA6D347F6B45A0CC0740589B7" descr="15-2 银甲飞镖猪"/>
        <xdr:cNvPicPr>
          <a:picLocks noChangeAspect="1"/>
        </xdr:cNvPicPr>
      </xdr:nvPicPr>
      <xdr:blipFill>
        <a:blip r:embed="rId95"/>
        <a:stretch>
          <a:fillRect/>
        </a:stretch>
      </xdr:blipFill>
      <xdr:spPr>
        <a:xfrm>
          <a:off x="7801610" y="14999970"/>
          <a:ext cx="380365" cy="476250"/>
        </a:xfrm>
        <a:prstGeom prst="rect">
          <a:avLst/>
        </a:prstGeom>
      </xdr:spPr>
    </xdr:pic>
  </etc:cellImage>
  <etc:cellImage>
    <xdr:pic>
      <xdr:nvPicPr>
        <xdr:cNvPr id="328" name="ID_39F22F116DAE46FD919B14280B09DB28" descr="15-3 金甲飞镖猪"/>
        <xdr:cNvPicPr>
          <a:picLocks noChangeAspect="1"/>
        </xdr:cNvPicPr>
      </xdr:nvPicPr>
      <xdr:blipFill>
        <a:blip r:embed="rId96"/>
        <a:stretch>
          <a:fillRect/>
        </a:stretch>
      </xdr:blipFill>
      <xdr:spPr>
        <a:xfrm>
          <a:off x="8383905" y="14999970"/>
          <a:ext cx="380365" cy="476250"/>
        </a:xfrm>
        <a:prstGeom prst="rect">
          <a:avLst/>
        </a:prstGeom>
      </xdr:spPr>
    </xdr:pic>
  </etc:cellImage>
  <etc:cellImage>
    <xdr:pic>
      <xdr:nvPicPr>
        <xdr:cNvPr id="329" name="ID_E80D1633A02043D8A35F67B33C33968B" descr="05-1 狄安娜神使"/>
        <xdr:cNvPicPr>
          <a:picLocks noChangeAspect="1"/>
        </xdr:cNvPicPr>
      </xdr:nvPicPr>
      <xdr:blipFill>
        <a:blip r:embed="rId97"/>
        <a:stretch>
          <a:fillRect/>
        </a:stretch>
      </xdr:blipFill>
      <xdr:spPr>
        <a:xfrm>
          <a:off x="9011920" y="15009495"/>
          <a:ext cx="380365" cy="476250"/>
        </a:xfrm>
        <a:prstGeom prst="rect">
          <a:avLst/>
        </a:prstGeom>
      </xdr:spPr>
    </xdr:pic>
  </etc:cellImage>
  <etc:cellImage>
    <xdr:pic>
      <xdr:nvPicPr>
        <xdr:cNvPr id="330" name="ID_EFD537B3029D41E893EB9BEDE7B21BE9" descr="05-2 狄安娜圣神"/>
        <xdr:cNvPicPr>
          <a:picLocks noChangeAspect="1"/>
        </xdr:cNvPicPr>
      </xdr:nvPicPr>
      <xdr:blipFill>
        <a:blip r:embed="rId98"/>
        <a:stretch>
          <a:fillRect/>
        </a:stretch>
      </xdr:blipFill>
      <xdr:spPr>
        <a:xfrm>
          <a:off x="9613900" y="15009495"/>
          <a:ext cx="380365" cy="476250"/>
        </a:xfrm>
        <a:prstGeom prst="rect">
          <a:avLst/>
        </a:prstGeom>
      </xdr:spPr>
    </xdr:pic>
  </etc:cellImage>
  <etc:cellImage>
    <xdr:pic>
      <xdr:nvPicPr>
        <xdr:cNvPr id="331" name="ID_12450917C2A445C1A6F06D37B895FE15" descr="05-3 月神·狄安娜"/>
        <xdr:cNvPicPr>
          <a:picLocks noChangeAspect="1"/>
        </xdr:cNvPicPr>
      </xdr:nvPicPr>
      <xdr:blipFill>
        <a:blip r:embed="rId99"/>
        <a:stretch>
          <a:fillRect/>
        </a:stretch>
      </xdr:blipFill>
      <xdr:spPr>
        <a:xfrm>
          <a:off x="10230485" y="15009495"/>
          <a:ext cx="380365" cy="476250"/>
        </a:xfrm>
        <a:prstGeom prst="rect">
          <a:avLst/>
        </a:prstGeom>
      </xdr:spPr>
    </xdr:pic>
  </etc:cellImage>
  <etc:cellImage>
    <xdr:pic>
      <xdr:nvPicPr>
        <xdr:cNvPr id="925" name="ID_1A42BE92219C463396C149C80FC44EB5" descr="1-1-1"/>
        <xdr:cNvPicPr>
          <a:picLocks noChangeAspect="1"/>
        </xdr:cNvPicPr>
      </xdr:nvPicPr>
      <xdr:blipFill>
        <a:blip r:embed="rId100">
          <a:grayscl/>
        </a:blip>
        <a:stretch>
          <a:fillRect/>
        </a:stretch>
      </xdr:blipFill>
      <xdr:spPr>
        <a:xfrm>
          <a:off x="1847850" y="16517620"/>
          <a:ext cx="381000" cy="476250"/>
        </a:xfrm>
        <a:prstGeom prst="rect">
          <a:avLst/>
        </a:prstGeom>
      </xdr:spPr>
    </xdr:pic>
  </etc:cellImage>
  <etc:cellImage>
    <xdr:pic>
      <xdr:nvPicPr>
        <xdr:cNvPr id="332" name="ID_22B51514DAD74C05B364829CE468EC68" descr="05-4 至尊月神"/>
        <xdr:cNvPicPr>
          <a:picLocks noChangeAspect="1"/>
        </xdr:cNvPicPr>
      </xdr:nvPicPr>
      <xdr:blipFill>
        <a:blip r:embed="rId101"/>
        <a:stretch>
          <a:fillRect/>
        </a:stretch>
      </xdr:blipFill>
      <xdr:spPr>
        <a:xfrm>
          <a:off x="10841355" y="15009495"/>
          <a:ext cx="380365" cy="476250"/>
        </a:xfrm>
        <a:prstGeom prst="rect">
          <a:avLst/>
        </a:prstGeom>
      </xdr:spPr>
    </xdr:pic>
  </etc:cellImage>
  <etc:cellImage>
    <xdr:pic>
      <xdr:nvPicPr>
        <xdr:cNvPr id="920" name="ID_F564D478A285408D93ACD584DEFA674B" descr="09-2 运载火箭猪"/>
        <xdr:cNvPicPr>
          <a:picLocks noChangeAspect="1"/>
        </xdr:cNvPicPr>
      </xdr:nvPicPr>
      <xdr:blipFill>
        <a:blip r:embed="rId102"/>
        <a:stretch>
          <a:fillRect/>
        </a:stretch>
      </xdr:blipFill>
      <xdr:spPr>
        <a:xfrm>
          <a:off x="838200" y="16589375"/>
          <a:ext cx="381000" cy="476250"/>
        </a:xfrm>
        <a:prstGeom prst="rect">
          <a:avLst/>
        </a:prstGeom>
      </xdr:spPr>
    </xdr:pic>
  </etc:cellImage>
  <etc:cellImage>
    <xdr:pic>
      <xdr:nvPicPr>
        <xdr:cNvPr id="927" name="ID_1F9322DE456649E8868E9861F1FA8981" descr="1-1-3"/>
        <xdr:cNvPicPr>
          <a:picLocks noChangeAspect="1"/>
        </xdr:cNvPicPr>
      </xdr:nvPicPr>
      <xdr:blipFill>
        <a:blip r:embed="rId103">
          <a:grayscl/>
        </a:blip>
        <a:stretch>
          <a:fillRect/>
        </a:stretch>
      </xdr:blipFill>
      <xdr:spPr>
        <a:xfrm>
          <a:off x="3009900" y="16517620"/>
          <a:ext cx="381000" cy="476250"/>
        </a:xfrm>
        <a:prstGeom prst="rect">
          <a:avLst/>
        </a:prstGeom>
      </xdr:spPr>
    </xdr:pic>
  </etc:cellImage>
  <etc:cellImage>
    <xdr:pic>
      <xdr:nvPicPr>
        <xdr:cNvPr id="84" name="ID_DEA39E43A0634A68ACFC55AE4B873AE0" descr="0x11120530"/>
        <xdr:cNvPicPr>
          <a:picLocks noChangeAspect="1"/>
        </xdr:cNvPicPr>
      </xdr:nvPicPr>
      <xdr:blipFill>
        <a:blip r:embed="rId104"/>
        <a:stretch>
          <a:fillRect/>
        </a:stretch>
      </xdr:blipFill>
      <xdr:spPr>
        <a:xfrm>
          <a:off x="1847850" y="15309850"/>
          <a:ext cx="381000" cy="476250"/>
        </a:xfrm>
        <a:prstGeom prst="rect">
          <a:avLst/>
        </a:prstGeom>
      </xdr:spPr>
    </xdr:pic>
  </etc:cellImage>
  <etc:cellImage>
    <xdr:pic>
      <xdr:nvPicPr>
        <xdr:cNvPr id="281" name="ID_C8504AC849F347C9B7C9C142E5ABE93A" descr="06-3 金牛座星宿"/>
        <xdr:cNvPicPr>
          <a:picLocks noChangeAspect="1"/>
        </xdr:cNvPicPr>
      </xdr:nvPicPr>
      <xdr:blipFill>
        <a:blip r:embed="rId65"/>
        <a:stretch>
          <a:fillRect/>
        </a:stretch>
      </xdr:blipFill>
      <xdr:spPr>
        <a:xfrm>
          <a:off x="123825" y="17358995"/>
          <a:ext cx="381000" cy="476250"/>
        </a:xfrm>
        <a:prstGeom prst="rect">
          <a:avLst/>
        </a:prstGeom>
      </xdr:spPr>
    </xdr:pic>
  </etc:cellImage>
  <etc:cellImage>
    <xdr:pic>
      <xdr:nvPicPr>
        <xdr:cNvPr id="282" name="ID_B851682C81504105A1151FD175416173" descr="06-4 至尊火神"/>
        <xdr:cNvPicPr>
          <a:picLocks noChangeAspect="1"/>
        </xdr:cNvPicPr>
      </xdr:nvPicPr>
      <xdr:blipFill>
        <a:blip r:embed="rId74"/>
        <a:stretch>
          <a:fillRect/>
        </a:stretch>
      </xdr:blipFill>
      <xdr:spPr>
        <a:xfrm>
          <a:off x="703580" y="17358995"/>
          <a:ext cx="382905" cy="476250"/>
        </a:xfrm>
        <a:prstGeom prst="rect">
          <a:avLst/>
        </a:prstGeom>
      </xdr:spPr>
    </xdr:pic>
  </etc:cellImage>
  <etc:cellImage>
    <xdr:pic>
      <xdr:nvPicPr>
        <xdr:cNvPr id="283" name="ID_3CDCB960651A412192AA42CBBD03C817" descr="06-3 火热暖炉汪"/>
        <xdr:cNvPicPr>
          <a:picLocks noChangeAspect="1"/>
        </xdr:cNvPicPr>
      </xdr:nvPicPr>
      <xdr:blipFill>
        <a:blip r:embed="rId68"/>
        <a:stretch>
          <a:fillRect/>
        </a:stretch>
      </xdr:blipFill>
      <xdr:spPr>
        <a:xfrm>
          <a:off x="1285875" y="17358995"/>
          <a:ext cx="381000" cy="476250"/>
        </a:xfrm>
        <a:prstGeom prst="rect">
          <a:avLst/>
        </a:prstGeom>
      </xdr:spPr>
    </xdr:pic>
  </etc:cellImage>
  <etc:cellImage>
    <xdr:pic>
      <xdr:nvPicPr>
        <xdr:cNvPr id="284" name="ID_563F95CBD32A4486AE736E59AB28B411" descr="04-3 猪猪发射站"/>
        <xdr:cNvPicPr>
          <a:picLocks noChangeAspect="1"/>
        </xdr:cNvPicPr>
      </xdr:nvPicPr>
      <xdr:blipFill>
        <a:blip r:embed="rId79"/>
        <a:stretch>
          <a:fillRect/>
        </a:stretch>
      </xdr:blipFill>
      <xdr:spPr>
        <a:xfrm>
          <a:off x="1866900" y="17355820"/>
          <a:ext cx="381000" cy="482600"/>
        </a:xfrm>
        <a:prstGeom prst="rect">
          <a:avLst/>
        </a:prstGeom>
      </xdr:spPr>
    </xdr:pic>
  </etc:cellImage>
  <etc:cellImage>
    <xdr:pic>
      <xdr:nvPicPr>
        <xdr:cNvPr id="285" name="ID_BE6068FB93104C659DBBB13CF3C92FED" descr="05-3 樱红能量喵"/>
        <xdr:cNvPicPr>
          <a:picLocks noChangeAspect="1"/>
        </xdr:cNvPicPr>
      </xdr:nvPicPr>
      <xdr:blipFill>
        <a:blip r:embed="rId69"/>
        <a:stretch>
          <a:fillRect/>
        </a:stretch>
      </xdr:blipFill>
      <xdr:spPr>
        <a:xfrm>
          <a:off x="2447925" y="17355820"/>
          <a:ext cx="381000" cy="482600"/>
        </a:xfrm>
        <a:prstGeom prst="rect">
          <a:avLst/>
        </a:prstGeom>
      </xdr:spPr>
    </xdr:pic>
  </etc:cellImage>
  <etc:cellImage>
    <xdr:pic>
      <xdr:nvPicPr>
        <xdr:cNvPr id="608" name="ID_4B51F5DD6AD14786890DC09952ED9581" descr="21-1 火盆"/>
        <xdr:cNvPicPr>
          <a:picLocks noChangeAspect="1"/>
        </xdr:cNvPicPr>
      </xdr:nvPicPr>
      <xdr:blipFill>
        <a:blip r:embed="rId105"/>
        <a:stretch>
          <a:fillRect/>
        </a:stretch>
      </xdr:blipFill>
      <xdr:spPr>
        <a:xfrm>
          <a:off x="9525" y="26997025"/>
          <a:ext cx="381000" cy="476250"/>
        </a:xfrm>
        <a:prstGeom prst="rect">
          <a:avLst/>
        </a:prstGeom>
      </xdr:spPr>
    </xdr:pic>
  </etc:cellImage>
  <etc:cellImage>
    <xdr:pic>
      <xdr:nvPicPr>
        <xdr:cNvPr id="286" name="ID_FD2F89D14CC64A46BB20E8464DE83A07" descr="21-3 岩烧烤盘"/>
        <xdr:cNvPicPr>
          <a:picLocks noChangeAspect="1"/>
        </xdr:cNvPicPr>
      </xdr:nvPicPr>
      <xdr:blipFill>
        <a:blip r:embed="rId67"/>
        <a:stretch>
          <a:fillRect/>
        </a:stretch>
      </xdr:blipFill>
      <xdr:spPr>
        <a:xfrm>
          <a:off x="8312785" y="17384395"/>
          <a:ext cx="380365" cy="482600"/>
        </a:xfrm>
        <a:prstGeom prst="rect">
          <a:avLst/>
        </a:prstGeom>
      </xdr:spPr>
    </xdr:pic>
  </etc:cellImage>
  <etc:cellImage>
    <xdr:pic>
      <xdr:nvPicPr>
        <xdr:cNvPr id="929" name="ID_E31B5FB0A674444CAC802716E96E9C9F"/>
        <xdr:cNvPicPr>
          <a:picLocks noChangeAspect="1"/>
        </xdr:cNvPicPr>
      </xdr:nvPicPr>
      <xdr:blipFill>
        <a:blip r:embed="rId106">
          <a:clrChange>
            <a:clrFrom>
              <a:srgbClr val="FFFFFF">
                <a:alpha val="100000"/>
              </a:srgbClr>
            </a:clrFrom>
            <a:clrTo>
              <a:srgbClr val="FFFFFF">
                <a:alpha val="100000"/>
                <a:alpha val="0"/>
              </a:srgbClr>
            </a:clrTo>
          </a:clrChange>
        </a:blip>
        <a:stretch>
          <a:fillRect/>
        </a:stretch>
      </xdr:blipFill>
      <xdr:spPr>
        <a:xfrm>
          <a:off x="9269095" y="23828375"/>
          <a:ext cx="1809750" cy="1114425"/>
        </a:xfrm>
        <a:prstGeom prst="rect">
          <a:avLst/>
        </a:prstGeom>
        <a:noFill/>
        <a:ln w="9525">
          <a:noFill/>
        </a:ln>
      </xdr:spPr>
    </xdr:pic>
  </etc:cellImage>
  <etc:cellImage>
    <xdr:pic>
      <xdr:nvPicPr>
        <xdr:cNvPr id="41" name="ID_0B5897B7F10A45249D5874E5EF4B5DCD" descr="03-3 太阳神·阿波罗"/>
        <xdr:cNvPicPr>
          <a:picLocks noChangeAspect="1"/>
        </xdr:cNvPicPr>
      </xdr:nvPicPr>
      <xdr:blipFill>
        <a:blip r:embed="rId107"/>
        <a:stretch>
          <a:fillRect/>
        </a:stretch>
      </xdr:blipFill>
      <xdr:spPr>
        <a:xfrm>
          <a:off x="2162175" y="1774825"/>
          <a:ext cx="381000" cy="476250"/>
        </a:xfrm>
        <a:prstGeom prst="rect">
          <a:avLst/>
        </a:prstGeom>
      </xdr:spPr>
    </xdr:pic>
  </etc:cellImage>
  <etc:cellImage>
    <xdr:pic>
      <xdr:nvPicPr>
        <xdr:cNvPr id="43" name="ID_71ED4D95A7C3488B869995A44CC33D3E" descr="03-1 阿波罗神使"/>
        <xdr:cNvPicPr>
          <a:picLocks noChangeAspect="1"/>
        </xdr:cNvPicPr>
      </xdr:nvPicPr>
      <xdr:blipFill>
        <a:blip r:embed="rId108"/>
        <a:stretch>
          <a:fillRect/>
        </a:stretch>
      </xdr:blipFill>
      <xdr:spPr>
        <a:xfrm>
          <a:off x="981075" y="1784350"/>
          <a:ext cx="381000" cy="476250"/>
        </a:xfrm>
        <a:prstGeom prst="rect">
          <a:avLst/>
        </a:prstGeom>
      </xdr:spPr>
    </xdr:pic>
  </etc:cellImage>
  <etc:cellImage>
    <xdr:pic>
      <xdr:nvPicPr>
        <xdr:cNvPr id="40" name="ID_45C1CFB49B8F43DBACAAAA209589202C" descr="03-4 至尊阿波罗"/>
        <xdr:cNvPicPr>
          <a:picLocks noChangeAspect="1"/>
        </xdr:cNvPicPr>
      </xdr:nvPicPr>
      <xdr:blipFill>
        <a:blip r:embed="rId109">
          <a:grayscl/>
        </a:blip>
        <a:stretch>
          <a:fillRect/>
        </a:stretch>
      </xdr:blipFill>
      <xdr:spPr>
        <a:xfrm>
          <a:off x="2647950" y="1689100"/>
          <a:ext cx="381000" cy="476250"/>
        </a:xfrm>
        <a:prstGeom prst="rect">
          <a:avLst/>
        </a:prstGeom>
      </xdr:spPr>
    </xdr:pic>
  </etc:cellImage>
  <etc:cellImage>
    <xdr:pic>
      <xdr:nvPicPr>
        <xdr:cNvPr id="42" name="ID_4D31F0927F4C4609AE6D924D81D492D4" descr="03-2 阿波罗圣神"/>
        <xdr:cNvPicPr>
          <a:picLocks noChangeAspect="1"/>
        </xdr:cNvPicPr>
      </xdr:nvPicPr>
      <xdr:blipFill>
        <a:blip r:embed="rId110"/>
        <a:stretch>
          <a:fillRect/>
        </a:stretch>
      </xdr:blipFill>
      <xdr:spPr>
        <a:xfrm>
          <a:off x="1485900" y="1784350"/>
          <a:ext cx="381000" cy="476250"/>
        </a:xfrm>
        <a:prstGeom prst="rect">
          <a:avLst/>
        </a:prstGeom>
      </xdr:spPr>
    </xdr:pic>
  </etc:cellImage>
  <etc:cellImage>
    <xdr:pic>
      <xdr:nvPicPr>
        <xdr:cNvPr id="92" name="ID_7A6FE2F8F1D64C18A24D562070F376F5" descr="50-3 超能燃气炉"/>
        <xdr:cNvPicPr>
          <a:picLocks noChangeAspect="1"/>
        </xdr:cNvPicPr>
      </xdr:nvPicPr>
      <xdr:blipFill>
        <a:blip r:embed="rId111"/>
        <a:stretch>
          <a:fillRect/>
        </a:stretch>
      </xdr:blipFill>
      <xdr:spPr>
        <a:xfrm>
          <a:off x="1409700" y="7025005"/>
          <a:ext cx="380365" cy="474980"/>
        </a:xfrm>
        <a:prstGeom prst="rect">
          <a:avLst/>
        </a:prstGeom>
      </xdr:spPr>
    </xdr:pic>
  </etc:cellImage>
  <etc:cellImage>
    <xdr:pic>
      <xdr:nvPicPr>
        <xdr:cNvPr id="1369" name="ID_0E92740E49A0432AB48F4DE400879C43" descr="01-3 耀金守能汪"/>
        <xdr:cNvPicPr>
          <a:picLocks noChangeAspect="1"/>
        </xdr:cNvPicPr>
      </xdr:nvPicPr>
      <xdr:blipFill>
        <a:blip r:embed="rId112">
          <a:grayscl/>
        </a:blip>
        <a:stretch>
          <a:fillRect/>
        </a:stretch>
      </xdr:blipFill>
      <xdr:spPr>
        <a:xfrm>
          <a:off x="895350" y="22375495"/>
          <a:ext cx="381000" cy="476250"/>
        </a:xfrm>
        <a:prstGeom prst="rect">
          <a:avLst/>
        </a:prstGeom>
      </xdr:spPr>
    </xdr:pic>
  </etc:cellImage>
  <etc:cellImage>
    <xdr:pic>
      <xdr:nvPicPr>
        <xdr:cNvPr id="923" name="ID_C2B541B3E99844209DCC91A9398A341C" descr="1-4-至尊阿波罗"/>
        <xdr:cNvPicPr>
          <a:picLocks noChangeAspect="1"/>
        </xdr:cNvPicPr>
      </xdr:nvPicPr>
      <xdr:blipFill>
        <a:blip r:embed="rId113"/>
        <a:stretch>
          <a:fillRect/>
        </a:stretch>
      </xdr:blipFill>
      <xdr:spPr>
        <a:xfrm>
          <a:off x="8114030" y="6940550"/>
          <a:ext cx="1905000" cy="1666875"/>
        </a:xfrm>
        <a:prstGeom prst="rect">
          <a:avLst/>
        </a:prstGeom>
      </xdr:spPr>
    </xdr:pic>
  </etc:cellImage>
  <etc:cellImage>
    <xdr:pic>
      <xdr:nvPicPr>
        <xdr:cNvPr id="88" name="ID_DF5AB30343BD495BBAED7C4292415A15" descr="01-3 太阳能高效炉"/>
        <xdr:cNvPicPr>
          <a:picLocks noChangeAspect="1"/>
        </xdr:cNvPicPr>
      </xdr:nvPicPr>
      <xdr:blipFill>
        <a:blip r:embed="rId114"/>
        <a:stretch>
          <a:fillRect/>
        </a:stretch>
      </xdr:blipFill>
      <xdr:spPr>
        <a:xfrm>
          <a:off x="742950" y="7162800"/>
          <a:ext cx="381000" cy="476250"/>
        </a:xfrm>
        <a:prstGeom prst="rect">
          <a:avLst/>
        </a:prstGeom>
      </xdr:spPr>
    </xdr:pic>
  </etc:cellImage>
  <etc:cellImage>
    <xdr:pic>
      <xdr:nvPicPr>
        <xdr:cNvPr id="91" name="ID_B17DA600AAF640DCA7B1F0409C39BF4B" descr="13-3 高效节能灯"/>
        <xdr:cNvPicPr>
          <a:picLocks noChangeAspect="1"/>
        </xdr:cNvPicPr>
      </xdr:nvPicPr>
      <xdr:blipFill>
        <a:blip r:embed="rId115"/>
        <a:stretch>
          <a:fillRect/>
        </a:stretch>
      </xdr:blipFill>
      <xdr:spPr>
        <a:xfrm>
          <a:off x="1885950" y="7091045"/>
          <a:ext cx="381000" cy="476250"/>
        </a:xfrm>
        <a:prstGeom prst="rect">
          <a:avLst/>
        </a:prstGeom>
      </xdr:spPr>
    </xdr:pic>
  </etc:cellImage>
  <etc:cellImage>
    <xdr:pic>
      <xdr:nvPicPr>
        <xdr:cNvPr id="93" name="ID_D494B13CDB3D48C889988B6061436624" descr="7周年蜡烛"/>
        <xdr:cNvPicPr>
          <a:picLocks noChangeAspect="1"/>
        </xdr:cNvPicPr>
      </xdr:nvPicPr>
      <xdr:blipFill>
        <a:blip r:embed="rId116"/>
        <a:stretch>
          <a:fillRect/>
        </a:stretch>
      </xdr:blipFill>
      <xdr:spPr>
        <a:xfrm>
          <a:off x="2667000" y="7172325"/>
          <a:ext cx="381000" cy="476250"/>
        </a:xfrm>
        <a:prstGeom prst="rect">
          <a:avLst/>
        </a:prstGeom>
      </xdr:spPr>
    </xdr:pic>
  </etc:cellImage>
  <etc:cellImage>
    <xdr:pic>
      <xdr:nvPicPr>
        <xdr:cNvPr id="646" name="ID_D6E6ABB6F8614D5C8EE4DD340D4ADFB1" descr="01-2 双子座战将"/>
        <xdr:cNvPicPr>
          <a:picLocks noChangeAspect="1"/>
        </xdr:cNvPicPr>
      </xdr:nvPicPr>
      <xdr:blipFill>
        <a:blip r:embed="rId117"/>
        <a:stretch>
          <a:fillRect/>
        </a:stretch>
      </xdr:blipFill>
      <xdr:spPr>
        <a:xfrm>
          <a:off x="8191500" y="26692225"/>
          <a:ext cx="381000" cy="476250"/>
        </a:xfrm>
        <a:prstGeom prst="rect">
          <a:avLst/>
        </a:prstGeom>
      </xdr:spPr>
    </xdr:pic>
  </etc:cellImage>
  <etc:cellImage>
    <xdr:pic>
      <xdr:nvPicPr>
        <xdr:cNvPr id="1023" name="ID_AEA1071F7ABF4703B87E9830DA1F6F51" descr="01-3 双子座星宿"/>
        <xdr:cNvPicPr>
          <a:picLocks noChangeAspect="1"/>
        </xdr:cNvPicPr>
      </xdr:nvPicPr>
      <xdr:blipFill>
        <a:blip r:embed="rId118"/>
        <a:stretch>
          <a:fillRect/>
        </a:stretch>
      </xdr:blipFill>
      <xdr:spPr>
        <a:xfrm>
          <a:off x="7818755" y="9357995"/>
          <a:ext cx="381000" cy="476250"/>
        </a:xfrm>
        <a:prstGeom prst="rect">
          <a:avLst/>
        </a:prstGeom>
      </xdr:spPr>
    </xdr:pic>
  </etc:cellImage>
  <etc:cellImage>
    <xdr:pic>
      <xdr:nvPicPr>
        <xdr:cNvPr id="645" name="ID_81C92B6FC84B4AC7AB297A52665849ED" descr="01-3 双子座星宿"/>
        <xdr:cNvPicPr>
          <a:picLocks noChangeAspect="1"/>
        </xdr:cNvPicPr>
      </xdr:nvPicPr>
      <xdr:blipFill>
        <a:blip r:embed="rId118"/>
        <a:stretch>
          <a:fillRect/>
        </a:stretch>
      </xdr:blipFill>
      <xdr:spPr>
        <a:xfrm>
          <a:off x="8791575" y="26591895"/>
          <a:ext cx="381000" cy="476250"/>
        </a:xfrm>
        <a:prstGeom prst="rect">
          <a:avLst/>
        </a:prstGeom>
      </xdr:spPr>
    </xdr:pic>
  </etc:cellImage>
  <etc:cellImage>
    <xdr:pic>
      <xdr:nvPicPr>
        <xdr:cNvPr id="1028" name="ID_D9845B24F04743A8A52AD7B97A371A2E" descr="01-3 日耀暖暖鸡"/>
        <xdr:cNvPicPr>
          <a:picLocks noChangeAspect="1"/>
        </xdr:cNvPicPr>
      </xdr:nvPicPr>
      <xdr:blipFill>
        <a:blip r:embed="rId119"/>
        <a:stretch>
          <a:fillRect/>
        </a:stretch>
      </xdr:blipFill>
      <xdr:spPr>
        <a:xfrm>
          <a:off x="8418195" y="9357995"/>
          <a:ext cx="381000" cy="476250"/>
        </a:xfrm>
        <a:prstGeom prst="rect">
          <a:avLst/>
        </a:prstGeom>
      </xdr:spPr>
    </xdr:pic>
  </etc:cellImage>
  <etc:cellImage>
    <xdr:pic>
      <xdr:nvPicPr>
        <xdr:cNvPr id="643" name="ID_C1000CDB9E574F01B7B93707FAB57172" descr="50-2 高能火炉"/>
        <xdr:cNvPicPr>
          <a:picLocks noChangeAspect="1"/>
        </xdr:cNvPicPr>
      </xdr:nvPicPr>
      <xdr:blipFill>
        <a:blip r:embed="rId120"/>
        <a:stretch>
          <a:fillRect/>
        </a:stretch>
      </xdr:blipFill>
      <xdr:spPr>
        <a:xfrm>
          <a:off x="4943475" y="26854150"/>
          <a:ext cx="377190" cy="471805"/>
        </a:xfrm>
        <a:prstGeom prst="rect">
          <a:avLst/>
        </a:prstGeom>
      </xdr:spPr>
    </xdr:pic>
  </etc:cellImage>
  <etc:cellImage>
    <xdr:pic>
      <xdr:nvPicPr>
        <xdr:cNvPr id="1029" name="ID_99D2ACA1825E471FBB473E520E44E9ED" descr="07-3 梦幻咕咕鸡"/>
        <xdr:cNvPicPr>
          <a:picLocks noChangeAspect="1"/>
        </xdr:cNvPicPr>
      </xdr:nvPicPr>
      <xdr:blipFill>
        <a:blip r:embed="rId121"/>
        <a:stretch>
          <a:fillRect/>
        </a:stretch>
      </xdr:blipFill>
      <xdr:spPr>
        <a:xfrm>
          <a:off x="8998585" y="9357995"/>
          <a:ext cx="381000" cy="476250"/>
        </a:xfrm>
        <a:prstGeom prst="rect">
          <a:avLst/>
        </a:prstGeom>
      </xdr:spPr>
    </xdr:pic>
  </etc:cellImage>
  <etc:cellImage>
    <xdr:pic>
      <xdr:nvPicPr>
        <xdr:cNvPr id="1039" name="ID_C827B09A519E4F64A0D5B33FA4E766A5" descr="02-3 幻紫火焰牛"/>
        <xdr:cNvPicPr>
          <a:picLocks noChangeAspect="1"/>
        </xdr:cNvPicPr>
      </xdr:nvPicPr>
      <xdr:blipFill>
        <a:blip r:embed="rId122"/>
        <a:stretch>
          <a:fillRect/>
        </a:stretch>
      </xdr:blipFill>
      <xdr:spPr>
        <a:xfrm>
          <a:off x="9579610" y="9357995"/>
          <a:ext cx="381000" cy="476250"/>
        </a:xfrm>
        <a:prstGeom prst="rect">
          <a:avLst/>
        </a:prstGeom>
      </xdr:spPr>
    </xdr:pic>
  </etc:cellImage>
  <etc:cellImage>
    <xdr:pic>
      <xdr:nvPicPr>
        <xdr:cNvPr id="647" name="ID_48F0D9660579441F94B742E9949EB7E3" descr="01-1 双子座精灵"/>
        <xdr:cNvPicPr>
          <a:picLocks noChangeAspect="1"/>
        </xdr:cNvPicPr>
      </xdr:nvPicPr>
      <xdr:blipFill>
        <a:blip r:embed="rId123"/>
        <a:stretch>
          <a:fillRect/>
        </a:stretch>
      </xdr:blipFill>
      <xdr:spPr>
        <a:xfrm>
          <a:off x="7858125" y="26682700"/>
          <a:ext cx="377190" cy="471805"/>
        </a:xfrm>
        <a:prstGeom prst="rect">
          <a:avLst/>
        </a:prstGeom>
      </xdr:spPr>
    </xdr:pic>
  </etc:cellImage>
  <etc:cellImage>
    <xdr:pic>
      <xdr:nvPicPr>
        <xdr:cNvPr id="1018" name="ID_1881C0A300784B09AB36A0E6EB85AC84" descr="11-3燃油烈火虎"/>
        <xdr:cNvPicPr>
          <a:picLocks noChangeAspect="1"/>
        </xdr:cNvPicPr>
      </xdr:nvPicPr>
      <xdr:blipFill>
        <a:blip r:embed="rId124"/>
        <a:stretch>
          <a:fillRect/>
        </a:stretch>
      </xdr:blipFill>
      <xdr:spPr>
        <a:xfrm>
          <a:off x="10874375" y="9363075"/>
          <a:ext cx="381000" cy="476250"/>
        </a:xfrm>
        <a:prstGeom prst="rect">
          <a:avLst/>
        </a:prstGeom>
      </xdr:spPr>
    </xdr:pic>
  </etc:cellImage>
  <etc:cellImage>
    <xdr:pic>
      <xdr:nvPicPr>
        <xdr:cNvPr id="1368" name="ID_F4D931B311854F94B9B829E2FD60CEE1" descr="生日帽"/>
        <xdr:cNvPicPr>
          <a:picLocks noChangeAspect="1"/>
        </xdr:cNvPicPr>
      </xdr:nvPicPr>
      <xdr:blipFill>
        <a:blip r:embed="rId125">
          <a:grayscl/>
        </a:blip>
        <a:stretch>
          <a:fillRect/>
        </a:stretch>
      </xdr:blipFill>
      <xdr:spPr>
        <a:xfrm>
          <a:off x="314325" y="22375495"/>
          <a:ext cx="381000" cy="476250"/>
        </a:xfrm>
        <a:prstGeom prst="rect">
          <a:avLst/>
        </a:prstGeom>
      </xdr:spPr>
    </xdr:pic>
  </etc:cellImage>
  <etc:cellImage>
    <xdr:pic>
      <xdr:nvPicPr>
        <xdr:cNvPr id="1370" name="ID_14B894B4A8104BDB9A75204388B693E0" descr="11-3 炫紫喵喵炉"/>
        <xdr:cNvPicPr>
          <a:picLocks noChangeAspect="1"/>
        </xdr:cNvPicPr>
      </xdr:nvPicPr>
      <xdr:blipFill>
        <a:blip r:embed="rId126">
          <a:grayscl/>
        </a:blip>
        <a:stretch>
          <a:fillRect/>
        </a:stretch>
      </xdr:blipFill>
      <xdr:spPr>
        <a:xfrm>
          <a:off x="1476375" y="22376130"/>
          <a:ext cx="380365" cy="474980"/>
        </a:xfrm>
        <a:prstGeom prst="rect">
          <a:avLst/>
        </a:prstGeom>
      </xdr:spPr>
    </xdr:pic>
  </etc:cellImage>
  <etc:cellImage>
    <xdr:pic>
      <xdr:nvPicPr>
        <xdr:cNvPr id="983" name="ID_1C1A22EFC2E14C99B33B95F0DF783FDD" descr="07-3 招财钱罐猪"/>
        <xdr:cNvPicPr>
          <a:picLocks noChangeAspect="1"/>
        </xdr:cNvPicPr>
      </xdr:nvPicPr>
      <xdr:blipFill>
        <a:blip r:embed="rId127"/>
        <a:stretch>
          <a:fillRect/>
        </a:stretch>
      </xdr:blipFill>
      <xdr:spPr>
        <a:xfrm>
          <a:off x="904875" y="26074370"/>
          <a:ext cx="381000" cy="482600"/>
        </a:xfrm>
        <a:prstGeom prst="rect">
          <a:avLst/>
        </a:prstGeom>
      </xdr:spPr>
    </xdr:pic>
  </etc:cellImage>
  <etc:cellImage>
    <xdr:pic>
      <xdr:nvPicPr>
        <xdr:cNvPr id="1372" name="ID_C53BF9D549E04A108BBDE17CBBF2BC2F" descr="13-3 豪华梅花护罩"/>
        <xdr:cNvPicPr>
          <a:picLocks noChangeAspect="1"/>
        </xdr:cNvPicPr>
      </xdr:nvPicPr>
      <xdr:blipFill>
        <a:blip r:embed="rId128"/>
        <a:stretch>
          <a:fillRect/>
        </a:stretch>
      </xdr:blipFill>
      <xdr:spPr>
        <a:xfrm>
          <a:off x="2114550" y="22261195"/>
          <a:ext cx="381000" cy="476250"/>
        </a:xfrm>
        <a:prstGeom prst="rect">
          <a:avLst/>
        </a:prstGeom>
      </xdr:spPr>
    </xdr:pic>
  </etc:cellImage>
  <etc:cellImage>
    <xdr:pic>
      <xdr:nvPicPr>
        <xdr:cNvPr id="1343" name="ID_EB8851E86AB14E4799834F5F572C8E9C" descr="月蟾兔"/>
        <xdr:cNvPicPr>
          <a:picLocks noChangeAspect="1"/>
        </xdr:cNvPicPr>
      </xdr:nvPicPr>
      <xdr:blipFill>
        <a:blip r:embed="rId129"/>
        <a:stretch>
          <a:fillRect/>
        </a:stretch>
      </xdr:blipFill>
      <xdr:spPr>
        <a:xfrm>
          <a:off x="3095625" y="22337395"/>
          <a:ext cx="381000" cy="476250"/>
        </a:xfrm>
        <a:prstGeom prst="rect">
          <a:avLst/>
        </a:prstGeom>
      </xdr:spPr>
    </xdr:pic>
  </etc:cellImage>
  <etc:cellImage>
    <xdr:pic>
      <xdr:nvPicPr>
        <xdr:cNvPr id="648" name="ID_A93E12148BE04414AD9CECB4AAA614EC" descr="01-3 日耀暖暖鸡"/>
        <xdr:cNvPicPr>
          <a:picLocks noChangeAspect="1"/>
        </xdr:cNvPicPr>
      </xdr:nvPicPr>
      <xdr:blipFill>
        <a:blip r:embed="rId119"/>
        <a:stretch>
          <a:fillRect/>
        </a:stretch>
      </xdr:blipFill>
      <xdr:spPr>
        <a:xfrm>
          <a:off x="10629900" y="26720800"/>
          <a:ext cx="381000" cy="476250"/>
        </a:xfrm>
        <a:prstGeom prst="rect">
          <a:avLst/>
        </a:prstGeom>
      </xdr:spPr>
    </xdr:pic>
  </etc:cellImage>
  <etc:cellImage>
    <xdr:pic>
      <xdr:nvPicPr>
        <xdr:cNvPr id="1016" name="ID_ABD5906352174791BCAFC9AC6B0292EE" descr="08-3 香辣罐罐牛"/>
        <xdr:cNvPicPr>
          <a:picLocks noChangeAspect="1"/>
        </xdr:cNvPicPr>
      </xdr:nvPicPr>
      <xdr:blipFill>
        <a:blip r:embed="rId130"/>
        <a:stretch>
          <a:fillRect/>
        </a:stretch>
      </xdr:blipFill>
      <xdr:spPr>
        <a:xfrm>
          <a:off x="1485900" y="26077545"/>
          <a:ext cx="381000" cy="476250"/>
        </a:xfrm>
        <a:prstGeom prst="rect">
          <a:avLst/>
        </a:prstGeom>
      </xdr:spPr>
    </xdr:pic>
  </etc:cellImage>
  <etc:cellImage>
    <xdr:pic>
      <xdr:nvPicPr>
        <xdr:cNvPr id="1093" name="ID_046E83E4724D43C0BEE58B24779CAD7A" descr="11-3燃油烈火虎"/>
        <xdr:cNvPicPr>
          <a:picLocks noChangeAspect="1"/>
        </xdr:cNvPicPr>
      </xdr:nvPicPr>
      <xdr:blipFill>
        <a:blip r:embed="rId124"/>
        <a:stretch>
          <a:fillRect/>
        </a:stretch>
      </xdr:blipFill>
      <xdr:spPr>
        <a:xfrm>
          <a:off x="2581275" y="27220545"/>
          <a:ext cx="381000" cy="476250"/>
        </a:xfrm>
        <a:prstGeom prst="rect">
          <a:avLst/>
        </a:prstGeom>
      </xdr:spPr>
    </xdr:pic>
  </etc:cellImage>
  <etc:cellImage>
    <xdr:pic>
      <xdr:nvPicPr>
        <xdr:cNvPr id="650" name="ID_C1C82FE8AE544974BBF3DEC9153EB50C" descr="01-1 暖暖鸡"/>
        <xdr:cNvPicPr>
          <a:picLocks noChangeAspect="1"/>
        </xdr:cNvPicPr>
      </xdr:nvPicPr>
      <xdr:blipFill>
        <a:blip r:embed="rId131"/>
        <a:stretch>
          <a:fillRect/>
        </a:stretch>
      </xdr:blipFill>
      <xdr:spPr>
        <a:xfrm>
          <a:off x="9582150" y="26635075"/>
          <a:ext cx="381000" cy="476250"/>
        </a:xfrm>
        <a:prstGeom prst="rect">
          <a:avLst/>
        </a:prstGeom>
      </xdr:spPr>
    </xdr:pic>
  </etc:cellImage>
  <etc:cellImage>
    <xdr:pic>
      <xdr:nvPicPr>
        <xdr:cNvPr id="649" name="ID_B98B888C60E34AE999EDA300B67245DF" descr="01-2 焰羽暖暖鸡"/>
        <xdr:cNvPicPr>
          <a:picLocks noChangeAspect="1"/>
        </xdr:cNvPicPr>
      </xdr:nvPicPr>
      <xdr:blipFill>
        <a:blip r:embed="rId132"/>
        <a:stretch>
          <a:fillRect/>
        </a:stretch>
      </xdr:blipFill>
      <xdr:spPr>
        <a:xfrm>
          <a:off x="10077450" y="26663650"/>
          <a:ext cx="381000" cy="476250"/>
        </a:xfrm>
        <a:prstGeom prst="rect">
          <a:avLst/>
        </a:prstGeom>
      </xdr:spPr>
    </xdr:pic>
  </etc:cellImage>
  <etc:cellImage>
    <xdr:pic>
      <xdr:nvPicPr>
        <xdr:cNvPr id="138" name="ID_70D70E06D47546B1AF141048CED5403E" descr="15-3 无敌猫猫盘"/>
        <xdr:cNvPicPr>
          <a:picLocks noChangeAspect="1"/>
        </xdr:cNvPicPr>
      </xdr:nvPicPr>
      <xdr:blipFill>
        <a:blip r:embed="rId133"/>
        <a:stretch>
          <a:fillRect/>
        </a:stretch>
      </xdr:blipFill>
      <xdr:spPr>
        <a:xfrm>
          <a:off x="2019300" y="7696200"/>
          <a:ext cx="381000" cy="476250"/>
        </a:xfrm>
        <a:prstGeom prst="rect">
          <a:avLst/>
        </a:prstGeom>
      </xdr:spPr>
    </xdr:pic>
  </etc:cellImage>
  <etc:cellImage>
    <xdr:pic>
      <xdr:nvPicPr>
        <xdr:cNvPr id="136" name="ID_4BA7952B2E124B31B701F575AD50D5A8" descr="06-2 友情木盘子"/>
        <xdr:cNvPicPr>
          <a:picLocks noChangeAspect="1"/>
        </xdr:cNvPicPr>
      </xdr:nvPicPr>
      <xdr:blipFill>
        <a:blip r:embed="rId134"/>
        <a:stretch>
          <a:fillRect/>
        </a:stretch>
      </xdr:blipFill>
      <xdr:spPr>
        <a:xfrm>
          <a:off x="809625" y="7715250"/>
          <a:ext cx="380365" cy="474980"/>
        </a:xfrm>
        <a:prstGeom prst="rect">
          <a:avLst/>
        </a:prstGeom>
      </xdr:spPr>
    </xdr:pic>
  </etc:cellImage>
  <etc:cellImage>
    <xdr:pic>
      <xdr:nvPicPr>
        <xdr:cNvPr id="133" name="ID_AFA2AFC27402489C99929FF3B180B9DC" descr="13-3 什锦布丁汪"/>
        <xdr:cNvPicPr>
          <a:picLocks noChangeAspect="1"/>
        </xdr:cNvPicPr>
      </xdr:nvPicPr>
      <xdr:blipFill>
        <a:blip r:embed="rId135"/>
        <a:stretch>
          <a:fillRect/>
        </a:stretch>
      </xdr:blipFill>
      <xdr:spPr>
        <a:xfrm>
          <a:off x="1876425" y="1870075"/>
          <a:ext cx="381000" cy="476250"/>
        </a:xfrm>
        <a:prstGeom prst="rect">
          <a:avLst/>
        </a:prstGeom>
      </xdr:spPr>
    </xdr:pic>
  </etc:cellImage>
  <etc:cellImage>
    <xdr:pic>
      <xdr:nvPicPr>
        <xdr:cNvPr id="131" name="ID_635F7211A4154CA8A9767410EE602609" descr="41-2 节能反弹布丁"/>
        <xdr:cNvPicPr>
          <a:picLocks noChangeAspect="1"/>
        </xdr:cNvPicPr>
      </xdr:nvPicPr>
      <xdr:blipFill>
        <a:blip r:embed="rId136"/>
        <a:stretch>
          <a:fillRect/>
        </a:stretch>
      </xdr:blipFill>
      <xdr:spPr>
        <a:xfrm>
          <a:off x="942975" y="1898650"/>
          <a:ext cx="381000" cy="476250"/>
        </a:xfrm>
        <a:prstGeom prst="rect">
          <a:avLst/>
        </a:prstGeom>
      </xdr:spPr>
    </xdr:pic>
  </etc:cellImage>
  <etc:cellImage>
    <xdr:pic>
      <xdr:nvPicPr>
        <xdr:cNvPr id="139" name="ID_25C25EBBE7A7473D92B484C0AB4F9793" descr="43-1 棉花糖"/>
        <xdr:cNvPicPr>
          <a:picLocks noChangeAspect="1"/>
        </xdr:cNvPicPr>
      </xdr:nvPicPr>
      <xdr:blipFill>
        <a:blip r:embed="rId137"/>
        <a:stretch>
          <a:fillRect/>
        </a:stretch>
      </xdr:blipFill>
      <xdr:spPr>
        <a:xfrm>
          <a:off x="8389620" y="7724775"/>
          <a:ext cx="381000" cy="476250"/>
        </a:xfrm>
        <a:prstGeom prst="rect">
          <a:avLst/>
        </a:prstGeom>
      </xdr:spPr>
    </xdr:pic>
  </etc:cellImage>
  <etc:cellImage>
    <xdr:pic>
      <xdr:nvPicPr>
        <xdr:cNvPr id="137" name="ID_E06BE0E9FC394FC6A8A6B66BC2C3A18A" descr="09-3 超神盘盘鸡"/>
        <xdr:cNvPicPr>
          <a:picLocks noChangeAspect="1"/>
        </xdr:cNvPicPr>
      </xdr:nvPicPr>
      <xdr:blipFill>
        <a:blip r:embed="rId138"/>
        <a:stretch>
          <a:fillRect/>
        </a:stretch>
      </xdr:blipFill>
      <xdr:spPr>
        <a:xfrm>
          <a:off x="1409700" y="7772400"/>
          <a:ext cx="381000" cy="476250"/>
        </a:xfrm>
        <a:prstGeom prst="rect">
          <a:avLst/>
        </a:prstGeom>
      </xdr:spPr>
    </xdr:pic>
  </etc:cellImage>
  <etc:cellImage>
    <xdr:pic>
      <xdr:nvPicPr>
        <xdr:cNvPr id="134" name="ID_0CC578DAAD4B4756B03CBE1B8B05925B" descr="03-3 山楂冰粉牛"/>
        <xdr:cNvPicPr>
          <a:picLocks noChangeAspect="1"/>
        </xdr:cNvPicPr>
      </xdr:nvPicPr>
      <xdr:blipFill>
        <a:blip r:embed="rId139"/>
        <a:stretch>
          <a:fillRect/>
        </a:stretch>
      </xdr:blipFill>
      <xdr:spPr>
        <a:xfrm>
          <a:off x="2495550" y="1984375"/>
          <a:ext cx="381000" cy="476250"/>
        </a:xfrm>
        <a:prstGeom prst="rect">
          <a:avLst/>
        </a:prstGeom>
      </xdr:spPr>
    </xdr:pic>
  </etc:cellImage>
  <etc:cellImage>
    <xdr:pic>
      <xdr:nvPicPr>
        <xdr:cNvPr id="132" name="ID_5242C2E6D77D4559B5DFB60A6CF75C51" descr="艾草粑粑"/>
        <xdr:cNvPicPr>
          <a:picLocks noChangeAspect="1"/>
        </xdr:cNvPicPr>
      </xdr:nvPicPr>
      <xdr:blipFill>
        <a:blip r:embed="rId140"/>
        <a:stretch>
          <a:fillRect/>
        </a:stretch>
      </xdr:blipFill>
      <xdr:spPr>
        <a:xfrm>
          <a:off x="1371600" y="1803400"/>
          <a:ext cx="380365" cy="481330"/>
        </a:xfrm>
        <a:prstGeom prst="rect">
          <a:avLst/>
        </a:prstGeom>
      </xdr:spPr>
    </xdr:pic>
  </etc:cellImage>
  <etc:cellImage>
    <xdr:pic>
      <xdr:nvPicPr>
        <xdr:cNvPr id="140" name="ID_75EFC33BDF3E4C6EA92C55A5F914C592" descr="01-2 五彩香皂泡泡"/>
        <xdr:cNvPicPr>
          <a:picLocks noChangeAspect="1"/>
        </xdr:cNvPicPr>
      </xdr:nvPicPr>
      <xdr:blipFill>
        <a:blip r:embed="rId141"/>
        <a:stretch>
          <a:fillRect/>
        </a:stretch>
      </xdr:blipFill>
      <xdr:spPr>
        <a:xfrm>
          <a:off x="8989060" y="7620000"/>
          <a:ext cx="381000" cy="476250"/>
        </a:xfrm>
        <a:prstGeom prst="rect">
          <a:avLst/>
        </a:prstGeom>
      </xdr:spPr>
    </xdr:pic>
  </etc:cellImage>
  <etc:cellImage>
    <xdr:pic>
      <xdr:nvPicPr>
        <xdr:cNvPr id="141" name="ID_B14BB45C32234BC582EA9260DCCD9070" descr="11370060-b"/>
        <xdr:cNvPicPr>
          <a:picLocks noChangeAspect="1"/>
        </xdr:cNvPicPr>
      </xdr:nvPicPr>
      <xdr:blipFill>
        <a:blip r:embed="rId142"/>
        <a:stretch>
          <a:fillRect/>
        </a:stretch>
      </xdr:blipFill>
      <xdr:spPr>
        <a:xfrm>
          <a:off x="9598660" y="7696200"/>
          <a:ext cx="380365" cy="476250"/>
        </a:xfrm>
        <a:prstGeom prst="rect">
          <a:avLst/>
        </a:prstGeom>
      </xdr:spPr>
    </xdr:pic>
  </etc:cellImage>
  <etc:cellImage>
    <xdr:pic>
      <xdr:nvPicPr>
        <xdr:cNvPr id="45" name="ID_2D16F61906CB444282A32806EFECB1CB" descr="13-2 赫丘利圣神"/>
        <xdr:cNvPicPr>
          <a:picLocks noChangeAspect="1"/>
        </xdr:cNvPicPr>
      </xdr:nvPicPr>
      <xdr:blipFill>
        <a:blip r:embed="rId143"/>
        <a:stretch>
          <a:fillRect/>
        </a:stretch>
      </xdr:blipFill>
      <xdr:spPr>
        <a:xfrm>
          <a:off x="2619375" y="1784350"/>
          <a:ext cx="381000" cy="476250"/>
        </a:xfrm>
        <a:prstGeom prst="rect">
          <a:avLst/>
        </a:prstGeom>
      </xdr:spPr>
    </xdr:pic>
  </etc:cellImage>
  <etc:cellImage>
    <xdr:pic>
      <xdr:nvPicPr>
        <xdr:cNvPr id="144" name="ID_E04C355FC2D840AEB4BAE59D439D8693" descr="14-3 狂暴防空喵"/>
        <xdr:cNvPicPr>
          <a:picLocks noChangeAspect="1"/>
        </xdr:cNvPicPr>
      </xdr:nvPicPr>
      <xdr:blipFill>
        <a:blip r:embed="rId144"/>
        <a:stretch>
          <a:fillRect/>
        </a:stretch>
      </xdr:blipFill>
      <xdr:spPr>
        <a:xfrm>
          <a:off x="1400175" y="1889125"/>
          <a:ext cx="381000" cy="476250"/>
        </a:xfrm>
        <a:prstGeom prst="rect">
          <a:avLst/>
        </a:prstGeom>
      </xdr:spPr>
    </xdr:pic>
  </etc:cellImage>
  <etc:cellImage>
    <xdr:pic>
      <xdr:nvPicPr>
        <xdr:cNvPr id="142" name="ID_F0FAF88A251845FC910815A3E8DD014D" descr="07-3 七彩糖葫芦弹"/>
        <xdr:cNvPicPr>
          <a:picLocks noChangeAspect="1"/>
        </xdr:cNvPicPr>
      </xdr:nvPicPr>
      <xdr:blipFill>
        <a:blip r:embed="rId145"/>
        <a:stretch>
          <a:fillRect/>
        </a:stretch>
      </xdr:blipFill>
      <xdr:spPr>
        <a:xfrm>
          <a:off x="266700" y="1822450"/>
          <a:ext cx="381000" cy="482600"/>
        </a:xfrm>
        <a:prstGeom prst="rect">
          <a:avLst/>
        </a:prstGeom>
      </xdr:spPr>
    </xdr:pic>
  </etc:cellImage>
  <etc:cellImage>
    <xdr:pic>
      <xdr:nvPicPr>
        <xdr:cNvPr id="44" name="ID_89FD986349234475B81DA9E197CEC7E2" descr="13-3 大力神·赫丘利"/>
        <xdr:cNvPicPr>
          <a:picLocks noChangeAspect="1"/>
        </xdr:cNvPicPr>
      </xdr:nvPicPr>
      <xdr:blipFill>
        <a:blip r:embed="rId146"/>
        <a:stretch>
          <a:fillRect/>
        </a:stretch>
      </xdr:blipFill>
      <xdr:spPr>
        <a:xfrm>
          <a:off x="3086100" y="1812925"/>
          <a:ext cx="381000" cy="476250"/>
        </a:xfrm>
        <a:prstGeom prst="rect">
          <a:avLst/>
        </a:prstGeom>
      </xdr:spPr>
    </xdr:pic>
  </etc:cellImage>
  <etc:cellImage>
    <xdr:pic>
      <xdr:nvPicPr>
        <xdr:cNvPr id="46" name="ID_721F43C02B414AA69743E3A17E44852B" descr="13-1 赫丘利神使"/>
        <xdr:cNvPicPr>
          <a:picLocks noChangeAspect="1"/>
        </xdr:cNvPicPr>
      </xdr:nvPicPr>
      <xdr:blipFill>
        <a:blip r:embed="rId147"/>
        <a:stretch>
          <a:fillRect/>
        </a:stretch>
      </xdr:blipFill>
      <xdr:spPr>
        <a:xfrm>
          <a:off x="1943100" y="1784350"/>
          <a:ext cx="381000" cy="476250"/>
        </a:xfrm>
        <a:prstGeom prst="rect">
          <a:avLst/>
        </a:prstGeom>
      </xdr:spPr>
    </xdr:pic>
  </etc:cellImage>
  <etc:cellImage>
    <xdr:pic>
      <xdr:nvPicPr>
        <xdr:cNvPr id="143" name="ID_85C9C57A189C48A7B2C623DB49D4C448" descr="10-3 魔音跳跳鸡"/>
        <xdr:cNvPicPr>
          <a:picLocks noChangeAspect="1"/>
        </xdr:cNvPicPr>
      </xdr:nvPicPr>
      <xdr:blipFill>
        <a:blip r:embed="rId148"/>
        <a:stretch>
          <a:fillRect/>
        </a:stretch>
      </xdr:blipFill>
      <xdr:spPr>
        <a:xfrm>
          <a:off x="847725" y="1803400"/>
          <a:ext cx="381000" cy="476250"/>
        </a:xfrm>
        <a:prstGeom prst="rect">
          <a:avLst/>
        </a:prstGeom>
      </xdr:spPr>
    </xdr:pic>
  </etc:cellImage>
  <etc:cellImage>
    <xdr:pic>
      <xdr:nvPicPr>
        <xdr:cNvPr id="979" name="ID_0D2182BEFE234C77BB11008C19370DD3" descr="13-3-大力神·赫丘利"/>
        <xdr:cNvPicPr>
          <a:picLocks noChangeAspect="1"/>
        </xdr:cNvPicPr>
      </xdr:nvPicPr>
      <xdr:blipFill>
        <a:blip r:embed="rId149"/>
        <a:stretch>
          <a:fillRect/>
        </a:stretch>
      </xdr:blipFill>
      <xdr:spPr>
        <a:xfrm>
          <a:off x="10712450" y="2476500"/>
          <a:ext cx="511810" cy="597535"/>
        </a:xfrm>
        <a:prstGeom prst="rect">
          <a:avLst/>
        </a:prstGeom>
      </xdr:spPr>
    </xdr:pic>
  </etc:cellImage>
  <etc:cellImage>
    <xdr:pic>
      <xdr:nvPicPr>
        <xdr:cNvPr id="205" name="ID_EB91D7427EFD472C9CD19BA28729A0E8" descr="14-3 爆弹奶茶猪"/>
        <xdr:cNvPicPr>
          <a:picLocks noChangeAspect="1"/>
        </xdr:cNvPicPr>
      </xdr:nvPicPr>
      <xdr:blipFill>
        <a:blip r:embed="rId150"/>
        <a:stretch>
          <a:fillRect/>
        </a:stretch>
      </xdr:blipFill>
      <xdr:spPr>
        <a:xfrm>
          <a:off x="1333500" y="9183370"/>
          <a:ext cx="381000" cy="476250"/>
        </a:xfrm>
        <a:prstGeom prst="rect">
          <a:avLst/>
        </a:prstGeom>
      </xdr:spPr>
    </xdr:pic>
  </etc:cellImage>
  <etc:cellImage>
    <xdr:pic>
      <xdr:nvPicPr>
        <xdr:cNvPr id="868" name="ID_BB5202C07BEB4AF89DCB7D0B44EA348C" descr="03-3 重坦科技喵"/>
        <xdr:cNvPicPr>
          <a:picLocks noChangeAspect="1"/>
        </xdr:cNvPicPr>
      </xdr:nvPicPr>
      <xdr:blipFill>
        <a:blip r:embed="rId151"/>
        <a:stretch>
          <a:fillRect/>
        </a:stretch>
      </xdr:blipFill>
      <xdr:spPr>
        <a:xfrm>
          <a:off x="1914525" y="9183370"/>
          <a:ext cx="381000" cy="476250"/>
        </a:xfrm>
        <a:prstGeom prst="rect">
          <a:avLst/>
        </a:prstGeom>
      </xdr:spPr>
    </xdr:pic>
  </etc:cellImage>
  <etc:cellImage>
    <xdr:pic>
      <xdr:nvPicPr>
        <xdr:cNvPr id="907" name="ID_A1ED1953E52042E2B616A1477AB59D06" descr="24-1 香肠"/>
        <xdr:cNvPicPr>
          <a:picLocks noChangeAspect="1"/>
        </xdr:cNvPicPr>
      </xdr:nvPicPr>
      <xdr:blipFill>
        <a:blip r:embed="rId152"/>
        <a:stretch>
          <a:fillRect/>
        </a:stretch>
      </xdr:blipFill>
      <xdr:spPr>
        <a:xfrm>
          <a:off x="209550" y="12875895"/>
          <a:ext cx="381000" cy="476250"/>
        </a:xfrm>
        <a:prstGeom prst="rect">
          <a:avLst/>
        </a:prstGeom>
      </xdr:spPr>
    </xdr:pic>
  </etc:cellImage>
  <etc:cellImage>
    <xdr:pic>
      <xdr:nvPicPr>
        <xdr:cNvPr id="908" name="ID_C337372A1A274A28A3E92107900B3952" descr="45-3 热狗榴弹炮"/>
        <xdr:cNvPicPr>
          <a:picLocks noChangeAspect="1"/>
        </xdr:cNvPicPr>
      </xdr:nvPicPr>
      <xdr:blipFill>
        <a:blip r:embed="rId153"/>
        <a:stretch>
          <a:fillRect/>
        </a:stretch>
      </xdr:blipFill>
      <xdr:spPr>
        <a:xfrm>
          <a:off x="790575" y="12875895"/>
          <a:ext cx="381000" cy="476250"/>
        </a:xfrm>
        <a:prstGeom prst="rect">
          <a:avLst/>
        </a:prstGeom>
      </xdr:spPr>
    </xdr:pic>
  </etc:cellImage>
  <etc:cellImage>
    <xdr:pic>
      <xdr:nvPicPr>
        <xdr:cNvPr id="922" name="ID_5ECF8284CA6E4EAF82244091897E2230" descr="1-2-3"/>
        <xdr:cNvPicPr>
          <a:picLocks noChangeAspect="1"/>
        </xdr:cNvPicPr>
      </xdr:nvPicPr>
      <xdr:blipFill>
        <a:blip r:embed="rId154"/>
        <a:stretch>
          <a:fillRect/>
        </a:stretch>
      </xdr:blipFill>
      <xdr:spPr>
        <a:xfrm>
          <a:off x="1371600" y="12872720"/>
          <a:ext cx="381000" cy="482600"/>
        </a:xfrm>
        <a:prstGeom prst="rect">
          <a:avLst/>
        </a:prstGeom>
      </xdr:spPr>
    </xdr:pic>
  </etc:cellImage>
  <etc:cellImage>
    <xdr:pic>
      <xdr:nvPicPr>
        <xdr:cNvPr id="202" name="ID_E13FD1AE10BF4364A75F13FB7605F85A" descr="1-5"/>
        <xdr:cNvPicPr>
          <a:picLocks noChangeAspect="1"/>
        </xdr:cNvPicPr>
      </xdr:nvPicPr>
      <xdr:blipFill>
        <a:blip r:embed="rId155"/>
        <a:stretch>
          <a:fillRect/>
        </a:stretch>
      </xdr:blipFill>
      <xdr:spPr>
        <a:xfrm>
          <a:off x="2524125" y="12875895"/>
          <a:ext cx="381000" cy="476250"/>
        </a:xfrm>
        <a:prstGeom prst="rect">
          <a:avLst/>
        </a:prstGeom>
      </xdr:spPr>
    </xdr:pic>
  </etc:cellImage>
  <etc:cellImage>
    <xdr:pic>
      <xdr:nvPicPr>
        <xdr:cNvPr id="204" name="ID_037069F3371E48FD9BBEF89662A5193B" descr="4-6小喷菇"/>
        <xdr:cNvPicPr>
          <a:picLocks noChangeAspect="1"/>
        </xdr:cNvPicPr>
      </xdr:nvPicPr>
      <xdr:blipFill>
        <a:blip r:embed="rId156"/>
        <a:stretch>
          <a:fillRect/>
        </a:stretch>
      </xdr:blipFill>
      <xdr:spPr>
        <a:xfrm>
          <a:off x="3086100" y="12901295"/>
          <a:ext cx="419100" cy="425450"/>
        </a:xfrm>
        <a:prstGeom prst="rect">
          <a:avLst/>
        </a:prstGeom>
      </xdr:spPr>
    </xdr:pic>
  </etc:cellImage>
  <etc:cellImage>
    <xdr:pic>
      <xdr:nvPicPr>
        <xdr:cNvPr id="151" name="ID_B8C8566BBC9D450C972E0C27E493812F" descr="06-3 王室转转鸡"/>
        <xdr:cNvPicPr>
          <a:picLocks noChangeAspect="1"/>
        </xdr:cNvPicPr>
      </xdr:nvPicPr>
      <xdr:blipFill>
        <a:blip r:embed="rId157"/>
        <a:stretch>
          <a:fillRect/>
        </a:stretch>
      </xdr:blipFill>
      <xdr:spPr>
        <a:xfrm>
          <a:off x="1390650" y="9772650"/>
          <a:ext cx="381000" cy="476250"/>
        </a:xfrm>
        <a:prstGeom prst="rect">
          <a:avLst/>
        </a:prstGeom>
      </xdr:spPr>
    </xdr:pic>
  </etc:cellImage>
  <etc:cellImage>
    <xdr:pic>
      <xdr:nvPicPr>
        <xdr:cNvPr id="149" name="ID_D799A0916E9248D592064F214EE5583E" descr="54-3 原子咖啡壶"/>
        <xdr:cNvPicPr>
          <a:picLocks noChangeAspect="1"/>
        </xdr:cNvPicPr>
      </xdr:nvPicPr>
      <xdr:blipFill>
        <a:blip r:embed="rId158"/>
        <a:stretch>
          <a:fillRect/>
        </a:stretch>
      </xdr:blipFill>
      <xdr:spPr>
        <a:xfrm>
          <a:off x="76200" y="9582150"/>
          <a:ext cx="381000" cy="476250"/>
        </a:xfrm>
        <a:prstGeom prst="rect">
          <a:avLst/>
        </a:prstGeom>
      </xdr:spPr>
    </xdr:pic>
  </etc:cellImage>
  <etc:cellImage>
    <xdr:pic>
      <xdr:nvPicPr>
        <xdr:cNvPr id="153" name="ID_23CCF82585834138AEF6139E2FD4C30E" descr="11120500 c"/>
        <xdr:cNvPicPr>
          <a:picLocks noChangeAspect="1"/>
        </xdr:cNvPicPr>
      </xdr:nvPicPr>
      <xdr:blipFill>
        <a:blip r:embed="rId159"/>
        <a:stretch>
          <a:fillRect/>
        </a:stretch>
      </xdr:blipFill>
      <xdr:spPr>
        <a:xfrm>
          <a:off x="2381250" y="9639300"/>
          <a:ext cx="381000" cy="476250"/>
        </a:xfrm>
        <a:prstGeom prst="rect">
          <a:avLst/>
        </a:prstGeom>
      </xdr:spPr>
    </xdr:pic>
  </etc:cellImage>
  <etc:cellImage>
    <xdr:pic>
      <xdr:nvPicPr>
        <xdr:cNvPr id="48" name="ID_D368773327FE4B6792450165FA13F6B1" descr="07-3 海神·波塞冬"/>
        <xdr:cNvPicPr>
          <a:picLocks noChangeAspect="1"/>
        </xdr:cNvPicPr>
      </xdr:nvPicPr>
      <xdr:blipFill>
        <a:blip r:embed="rId160"/>
        <a:stretch>
          <a:fillRect/>
        </a:stretch>
      </xdr:blipFill>
      <xdr:spPr>
        <a:xfrm>
          <a:off x="1981200" y="2822575"/>
          <a:ext cx="381000" cy="476250"/>
        </a:xfrm>
        <a:prstGeom prst="rect">
          <a:avLst/>
        </a:prstGeom>
      </xdr:spPr>
    </xdr:pic>
  </etc:cellImage>
  <etc:cellImage>
    <xdr:pic>
      <xdr:nvPicPr>
        <xdr:cNvPr id="50" name="ID_6DF8D7AE149545A880E10A147809C8E1" descr="07-1 波塞冬神使"/>
        <xdr:cNvPicPr>
          <a:picLocks noChangeAspect="1"/>
        </xdr:cNvPicPr>
      </xdr:nvPicPr>
      <xdr:blipFill>
        <a:blip r:embed="rId161"/>
        <a:stretch>
          <a:fillRect/>
        </a:stretch>
      </xdr:blipFill>
      <xdr:spPr>
        <a:xfrm>
          <a:off x="781050" y="2813050"/>
          <a:ext cx="381000" cy="476250"/>
        </a:xfrm>
        <a:prstGeom prst="rect">
          <a:avLst/>
        </a:prstGeom>
      </xdr:spPr>
    </xdr:pic>
  </etc:cellImage>
  <etc:cellImage>
    <xdr:pic>
      <xdr:nvPicPr>
        <xdr:cNvPr id="150" name="ID_6A156CDC4DAE4C10B9824E0125FB012C" descr="07-3 狮子座星宿"/>
        <xdr:cNvPicPr>
          <a:picLocks noChangeAspect="1"/>
        </xdr:cNvPicPr>
      </xdr:nvPicPr>
      <xdr:blipFill>
        <a:blip r:embed="rId162"/>
        <a:stretch>
          <a:fillRect/>
        </a:stretch>
      </xdr:blipFill>
      <xdr:spPr>
        <a:xfrm>
          <a:off x="828675" y="9658350"/>
          <a:ext cx="381000" cy="476250"/>
        </a:xfrm>
        <a:prstGeom prst="rect">
          <a:avLst/>
        </a:prstGeom>
      </xdr:spPr>
    </xdr:pic>
  </etc:cellImage>
  <etc:cellImage>
    <xdr:pic>
      <xdr:nvPicPr>
        <xdr:cNvPr id="47" name="ID_B8CBCF94A39E4EB88285185D0E1A931F" descr="07-4 至尊海神"/>
        <xdr:cNvPicPr>
          <a:picLocks noChangeAspect="1"/>
        </xdr:cNvPicPr>
      </xdr:nvPicPr>
      <xdr:blipFill>
        <a:blip r:embed="rId163">
          <a:grayscl/>
        </a:blip>
        <a:stretch>
          <a:fillRect/>
        </a:stretch>
      </xdr:blipFill>
      <xdr:spPr>
        <a:xfrm>
          <a:off x="2409825" y="2879725"/>
          <a:ext cx="381000" cy="476250"/>
        </a:xfrm>
        <a:prstGeom prst="rect">
          <a:avLst/>
        </a:prstGeom>
      </xdr:spPr>
    </xdr:pic>
  </etc:cellImage>
  <etc:cellImage>
    <xdr:pic>
      <xdr:nvPicPr>
        <xdr:cNvPr id="49" name="ID_91AAED441E2443F6A86CD367E2101926" descr="07-2 波塞冬圣神"/>
        <xdr:cNvPicPr>
          <a:picLocks noChangeAspect="1"/>
        </xdr:cNvPicPr>
      </xdr:nvPicPr>
      <xdr:blipFill>
        <a:blip r:embed="rId164"/>
        <a:stretch>
          <a:fillRect/>
        </a:stretch>
      </xdr:blipFill>
      <xdr:spPr>
        <a:xfrm>
          <a:off x="1276350" y="2889250"/>
          <a:ext cx="381000" cy="476250"/>
        </a:xfrm>
        <a:prstGeom prst="rect">
          <a:avLst/>
        </a:prstGeom>
      </xdr:spPr>
    </xdr:pic>
  </etc:cellImage>
  <etc:cellImage>
    <xdr:pic>
      <xdr:nvPicPr>
        <xdr:cNvPr id="924" name="ID_7211959232154EE28EAD258ACBE78F37" descr="3-4-至尊海神"/>
        <xdr:cNvPicPr>
          <a:picLocks noChangeAspect="1"/>
        </xdr:cNvPicPr>
      </xdr:nvPicPr>
      <xdr:blipFill>
        <a:blip r:embed="rId165"/>
        <a:stretch>
          <a:fillRect/>
        </a:stretch>
      </xdr:blipFill>
      <xdr:spPr>
        <a:xfrm>
          <a:off x="7561580" y="7540625"/>
          <a:ext cx="1905000" cy="1666875"/>
        </a:xfrm>
        <a:prstGeom prst="rect">
          <a:avLst/>
        </a:prstGeom>
      </xdr:spPr>
    </xdr:pic>
  </etc:cellImage>
  <etc:cellImage>
    <xdr:pic>
      <xdr:nvPicPr>
        <xdr:cNvPr id="152" name="ID_26868E5643A94DCCBA8C0FA1D6F6EE25" descr="11-3 星杯可乐汪"/>
        <xdr:cNvPicPr>
          <a:picLocks noChangeAspect="1"/>
        </xdr:cNvPicPr>
      </xdr:nvPicPr>
      <xdr:blipFill>
        <a:blip r:embed="rId166"/>
        <a:stretch>
          <a:fillRect/>
        </a:stretch>
      </xdr:blipFill>
      <xdr:spPr>
        <a:xfrm>
          <a:off x="1847850" y="9648825"/>
          <a:ext cx="381000" cy="476250"/>
        </a:xfrm>
        <a:prstGeom prst="rect">
          <a:avLst/>
        </a:prstGeom>
      </xdr:spPr>
    </xdr:pic>
  </etc:cellImage>
  <etc:cellImage>
    <xdr:pic>
      <xdr:nvPicPr>
        <xdr:cNvPr id="52" name="ID_11C4FDFF7CC94F6D847E188DF4A3CD32" descr="05-3 月神·狄安娜"/>
        <xdr:cNvPicPr>
          <a:picLocks noChangeAspect="1"/>
        </xdr:cNvPicPr>
      </xdr:nvPicPr>
      <xdr:blipFill>
        <a:blip r:embed="rId99"/>
        <a:stretch>
          <a:fillRect/>
        </a:stretch>
      </xdr:blipFill>
      <xdr:spPr>
        <a:xfrm>
          <a:off x="1809750" y="1765300"/>
          <a:ext cx="381000" cy="476250"/>
        </a:xfrm>
        <a:prstGeom prst="rect">
          <a:avLst/>
        </a:prstGeom>
      </xdr:spPr>
    </xdr:pic>
  </etc:cellImage>
  <etc:cellImage>
    <xdr:pic>
      <xdr:nvPicPr>
        <xdr:cNvPr id="54" name="ID_1365DF6878974CB49162FD310D2B1E12" descr="05-1 狄安娜神使"/>
        <xdr:cNvPicPr>
          <a:picLocks noChangeAspect="1"/>
        </xdr:cNvPicPr>
      </xdr:nvPicPr>
      <xdr:blipFill>
        <a:blip r:embed="rId97"/>
        <a:stretch>
          <a:fillRect/>
        </a:stretch>
      </xdr:blipFill>
      <xdr:spPr>
        <a:xfrm>
          <a:off x="952500" y="1879600"/>
          <a:ext cx="381000" cy="476250"/>
        </a:xfrm>
        <a:prstGeom prst="rect">
          <a:avLst/>
        </a:prstGeom>
      </xdr:spPr>
    </xdr:pic>
  </etc:cellImage>
  <etc:cellImage>
    <xdr:pic>
      <xdr:nvPicPr>
        <xdr:cNvPr id="858" name="ID_EEC07D233C7E4A628FAC207E5431B381" descr="5-3氢能电流虎"/>
        <xdr:cNvPicPr>
          <a:picLocks noChangeAspect="1"/>
        </xdr:cNvPicPr>
      </xdr:nvPicPr>
      <xdr:blipFill>
        <a:blip r:embed="rId167"/>
        <a:stretch>
          <a:fillRect/>
        </a:stretch>
      </xdr:blipFill>
      <xdr:spPr>
        <a:xfrm>
          <a:off x="2438400" y="17057370"/>
          <a:ext cx="381000" cy="476250"/>
        </a:xfrm>
        <a:prstGeom prst="rect">
          <a:avLst/>
        </a:prstGeom>
      </xdr:spPr>
    </xdr:pic>
  </etc:cellImage>
  <etc:cellImage>
    <xdr:pic>
      <xdr:nvPicPr>
        <xdr:cNvPr id="53" name="ID_187979642AA548179D8D2278F99A2767" descr="05-2 狄安娜圣神"/>
        <xdr:cNvPicPr>
          <a:picLocks noChangeAspect="1"/>
        </xdr:cNvPicPr>
      </xdr:nvPicPr>
      <xdr:blipFill>
        <a:blip r:embed="rId98"/>
        <a:stretch>
          <a:fillRect/>
        </a:stretch>
      </xdr:blipFill>
      <xdr:spPr>
        <a:xfrm>
          <a:off x="1390650" y="1698625"/>
          <a:ext cx="381000" cy="476250"/>
        </a:xfrm>
        <a:prstGeom prst="rect">
          <a:avLst/>
        </a:prstGeom>
      </xdr:spPr>
    </xdr:pic>
  </etc:cellImage>
  <etc:cellImage>
    <xdr:pic>
      <xdr:nvPicPr>
        <xdr:cNvPr id="154" name="ID_5444D46B96A1420A95D61AE809EA476B" descr="51-3 火影章鱼烧"/>
        <xdr:cNvPicPr>
          <a:picLocks noChangeAspect="1"/>
        </xdr:cNvPicPr>
      </xdr:nvPicPr>
      <xdr:blipFill>
        <a:blip r:embed="rId83"/>
        <a:stretch>
          <a:fillRect/>
        </a:stretch>
      </xdr:blipFill>
      <xdr:spPr>
        <a:xfrm>
          <a:off x="333375" y="6886575"/>
          <a:ext cx="380365" cy="474980"/>
        </a:xfrm>
        <a:prstGeom prst="rect">
          <a:avLst/>
        </a:prstGeom>
      </xdr:spPr>
    </xdr:pic>
  </etc:cellImage>
  <etc:cellImage>
    <xdr:pic>
      <xdr:nvPicPr>
        <xdr:cNvPr id="167" name="ID_175554FCD7144713850DA5DC43342E6F" descr="08-3 涡轮空投猪"/>
        <xdr:cNvPicPr>
          <a:picLocks noChangeAspect="1"/>
        </xdr:cNvPicPr>
      </xdr:nvPicPr>
      <xdr:blipFill>
        <a:blip r:embed="rId168"/>
        <a:stretch>
          <a:fillRect/>
        </a:stretch>
      </xdr:blipFill>
      <xdr:spPr>
        <a:xfrm>
          <a:off x="1809750" y="17071975"/>
          <a:ext cx="381000" cy="476250"/>
        </a:xfrm>
        <a:prstGeom prst="rect">
          <a:avLst/>
        </a:prstGeom>
      </xdr:spPr>
    </xdr:pic>
  </etc:cellImage>
  <etc:cellImage>
    <xdr:pic>
      <xdr:nvPicPr>
        <xdr:cNvPr id="51" name="ID_409ACF13F0864D8EB7C0F845D5F670E2" descr="05-4 至尊月神"/>
        <xdr:cNvPicPr>
          <a:picLocks noChangeAspect="1"/>
        </xdr:cNvPicPr>
      </xdr:nvPicPr>
      <xdr:blipFill>
        <a:blip r:embed="rId101">
          <a:grayscl/>
        </a:blip>
        <a:stretch>
          <a:fillRect/>
        </a:stretch>
      </xdr:blipFill>
      <xdr:spPr>
        <a:xfrm>
          <a:off x="2419350" y="1812925"/>
          <a:ext cx="381000" cy="476250"/>
        </a:xfrm>
        <a:prstGeom prst="rect">
          <a:avLst/>
        </a:prstGeom>
      </xdr:spPr>
    </xdr:pic>
  </etc:cellImage>
  <etc:cellImage>
    <xdr:pic>
      <xdr:nvPicPr>
        <xdr:cNvPr id="928" name="ID_D3C930F20C8E48D49E9B47BEAF6DA7D3" descr="7-4-至尊月神"/>
        <xdr:cNvPicPr>
          <a:picLocks noChangeAspect="1"/>
        </xdr:cNvPicPr>
      </xdr:nvPicPr>
      <xdr:blipFill>
        <a:blip r:embed="rId169"/>
        <a:stretch>
          <a:fillRect/>
        </a:stretch>
      </xdr:blipFill>
      <xdr:spPr>
        <a:xfrm>
          <a:off x="7171055" y="4959350"/>
          <a:ext cx="1905000" cy="1666875"/>
        </a:xfrm>
        <a:prstGeom prst="rect">
          <a:avLst/>
        </a:prstGeom>
      </xdr:spPr>
    </xdr:pic>
  </etc:cellImage>
  <etc:cellImage>
    <xdr:pic>
      <xdr:nvPicPr>
        <xdr:cNvPr id="978" name="ID_86BA902086B846D1B702DD8B5AC807C6"/>
        <xdr:cNvPicPr>
          <a:picLocks noChangeAspect="1"/>
        </xdr:cNvPicPr>
      </xdr:nvPicPr>
      <xdr:blipFill>
        <a:blip r:embed="rId170"/>
        <a:stretch>
          <a:fillRect/>
        </a:stretch>
      </xdr:blipFill>
      <xdr:spPr>
        <a:xfrm>
          <a:off x="8171180" y="5130800"/>
          <a:ext cx="1143000" cy="1428750"/>
        </a:xfrm>
        <a:prstGeom prst="rect">
          <a:avLst/>
        </a:prstGeom>
        <a:noFill/>
        <a:ln w="9525">
          <a:noFill/>
        </a:ln>
      </xdr:spPr>
    </xdr:pic>
  </etc:cellImage>
  <etc:cellImage>
    <xdr:pic>
      <xdr:nvPicPr>
        <xdr:cNvPr id="973" name="ID_3DA49205BF1948DD8EFA69CE27360F7A" descr="8-3-天神·宙斯"/>
        <xdr:cNvPicPr>
          <a:picLocks noChangeAspect="1"/>
        </xdr:cNvPicPr>
      </xdr:nvPicPr>
      <xdr:blipFill>
        <a:blip r:embed="rId171"/>
        <a:stretch>
          <a:fillRect/>
        </a:stretch>
      </xdr:blipFill>
      <xdr:spPr>
        <a:xfrm>
          <a:off x="9389110" y="5117465"/>
          <a:ext cx="1732915" cy="1521460"/>
        </a:xfrm>
        <a:prstGeom prst="rect">
          <a:avLst/>
        </a:prstGeom>
      </xdr:spPr>
    </xdr:pic>
  </etc:cellImage>
  <etc:cellImage>
    <xdr:pic>
      <xdr:nvPicPr>
        <xdr:cNvPr id="155" name="ID_C1D7B187309E401790B89A459AE0A950" descr="05-3 幻影忍忍鸡"/>
        <xdr:cNvPicPr>
          <a:picLocks noChangeAspect="1"/>
        </xdr:cNvPicPr>
      </xdr:nvPicPr>
      <xdr:blipFill>
        <a:blip r:embed="rId90"/>
        <a:stretch>
          <a:fillRect/>
        </a:stretch>
      </xdr:blipFill>
      <xdr:spPr>
        <a:xfrm>
          <a:off x="771525" y="6896100"/>
          <a:ext cx="381000" cy="476250"/>
        </a:xfrm>
        <a:prstGeom prst="rect">
          <a:avLst/>
        </a:prstGeom>
      </xdr:spPr>
    </xdr:pic>
  </etc:cellImage>
  <etc:cellImage>
    <xdr:pic>
      <xdr:nvPicPr>
        <xdr:cNvPr id="156" name="ID_A208655891194282B9CB922F8C253AC0" descr="05-3 巨蟹座星宿"/>
        <xdr:cNvPicPr>
          <a:picLocks noChangeAspect="1"/>
        </xdr:cNvPicPr>
      </xdr:nvPicPr>
      <xdr:blipFill>
        <a:blip r:embed="rId87"/>
        <a:stretch>
          <a:fillRect/>
        </a:stretch>
      </xdr:blipFill>
      <xdr:spPr>
        <a:xfrm>
          <a:off x="1457325" y="6934200"/>
          <a:ext cx="381000" cy="476250"/>
        </a:xfrm>
        <a:prstGeom prst="rect">
          <a:avLst/>
        </a:prstGeom>
      </xdr:spPr>
    </xdr:pic>
  </etc:cellImage>
  <etc:cellImage>
    <xdr:pic>
      <xdr:nvPicPr>
        <xdr:cNvPr id="157" name="ID_777FEAF4FAE848988730AD2CAFE1DB1E" descr="05-3 名厨飞盘汪"/>
        <xdr:cNvPicPr>
          <a:picLocks noChangeAspect="1"/>
        </xdr:cNvPicPr>
      </xdr:nvPicPr>
      <xdr:blipFill>
        <a:blip r:embed="rId93"/>
        <a:stretch>
          <a:fillRect/>
        </a:stretch>
      </xdr:blipFill>
      <xdr:spPr>
        <a:xfrm>
          <a:off x="1847850" y="6981825"/>
          <a:ext cx="381000" cy="476250"/>
        </a:xfrm>
        <a:prstGeom prst="rect">
          <a:avLst/>
        </a:prstGeom>
      </xdr:spPr>
    </xdr:pic>
  </etc:cellImage>
  <etc:cellImage>
    <xdr:pic>
      <xdr:nvPicPr>
        <xdr:cNvPr id="158" name="ID_91273419955D4FB0BF032A671F5179D6" descr="15-3 金甲飞镖猪"/>
        <xdr:cNvPicPr>
          <a:picLocks noChangeAspect="1"/>
        </xdr:cNvPicPr>
      </xdr:nvPicPr>
      <xdr:blipFill>
        <a:blip r:embed="rId96"/>
        <a:stretch>
          <a:fillRect/>
        </a:stretch>
      </xdr:blipFill>
      <xdr:spPr>
        <a:xfrm>
          <a:off x="2457450" y="6924675"/>
          <a:ext cx="381000" cy="476250"/>
        </a:xfrm>
        <a:prstGeom prst="rect">
          <a:avLst/>
        </a:prstGeom>
      </xdr:spPr>
    </xdr:pic>
  </etc:cellImage>
  <etc:cellImage>
    <xdr:pic>
      <xdr:nvPicPr>
        <xdr:cNvPr id="159" name="ID_23668A1C1FD14BD78069361FF7427053" descr="03-3 加农龙虾炮"/>
        <xdr:cNvPicPr>
          <a:picLocks noChangeAspect="1"/>
        </xdr:cNvPicPr>
      </xdr:nvPicPr>
      <xdr:blipFill>
        <a:blip r:embed="rId172"/>
        <a:stretch>
          <a:fillRect/>
        </a:stretch>
      </xdr:blipFill>
      <xdr:spPr>
        <a:xfrm>
          <a:off x="266700" y="11445875"/>
          <a:ext cx="381000" cy="482600"/>
        </a:xfrm>
        <a:prstGeom prst="rect">
          <a:avLst/>
        </a:prstGeom>
      </xdr:spPr>
    </xdr:pic>
  </etc:cellImage>
  <etc:cellImage>
    <xdr:pic>
      <xdr:nvPicPr>
        <xdr:cNvPr id="161" name="ID_262E507FC95142689666AC0C5085B6B9" descr="13-3 雅典娜光辉"/>
        <xdr:cNvPicPr>
          <a:picLocks noChangeAspect="1"/>
        </xdr:cNvPicPr>
      </xdr:nvPicPr>
      <xdr:blipFill>
        <a:blip r:embed="rId173"/>
        <a:stretch>
          <a:fillRect/>
        </a:stretch>
      </xdr:blipFill>
      <xdr:spPr>
        <a:xfrm>
          <a:off x="828675" y="11636375"/>
          <a:ext cx="381000" cy="476250"/>
        </a:xfrm>
        <a:prstGeom prst="rect">
          <a:avLst/>
        </a:prstGeom>
      </xdr:spPr>
    </xdr:pic>
  </etc:cellImage>
  <etc:cellImage>
    <xdr:pic>
      <xdr:nvPicPr>
        <xdr:cNvPr id="162" name="ID_F323EB6D7B694AB7ADAD08FC4766F623" descr="09-3 反重力火箭猪"/>
        <xdr:cNvPicPr>
          <a:picLocks noChangeAspect="1"/>
        </xdr:cNvPicPr>
      </xdr:nvPicPr>
      <xdr:blipFill>
        <a:blip r:embed="rId86"/>
        <a:stretch>
          <a:fillRect/>
        </a:stretch>
      </xdr:blipFill>
      <xdr:spPr>
        <a:xfrm>
          <a:off x="1428750" y="11598275"/>
          <a:ext cx="381000" cy="482600"/>
        </a:xfrm>
        <a:prstGeom prst="rect">
          <a:avLst/>
        </a:prstGeom>
      </xdr:spPr>
    </xdr:pic>
  </etc:cellImage>
  <etc:cellImage>
    <xdr:pic>
      <xdr:nvPicPr>
        <xdr:cNvPr id="165" name="ID_A655EABD8E0E4ED1B7EDD3BE8EF922CE" descr="10-1 宙斯神使"/>
        <xdr:cNvPicPr>
          <a:picLocks noChangeAspect="1"/>
        </xdr:cNvPicPr>
      </xdr:nvPicPr>
      <xdr:blipFill>
        <a:blip r:embed="rId174"/>
        <a:stretch>
          <a:fillRect/>
        </a:stretch>
      </xdr:blipFill>
      <xdr:spPr>
        <a:xfrm>
          <a:off x="1981200" y="11512550"/>
          <a:ext cx="381000" cy="476250"/>
        </a:xfrm>
        <a:prstGeom prst="rect">
          <a:avLst/>
        </a:prstGeom>
      </xdr:spPr>
    </xdr:pic>
  </etc:cellImage>
  <etc:cellImage>
    <xdr:pic>
      <xdr:nvPicPr>
        <xdr:cNvPr id="164" name="ID_D2698BAAFCC54EC7B263162755DC2686" descr="10-2 宙斯圣神"/>
        <xdr:cNvPicPr>
          <a:picLocks noChangeAspect="1"/>
        </xdr:cNvPicPr>
      </xdr:nvPicPr>
      <xdr:blipFill>
        <a:blip r:embed="rId175"/>
        <a:stretch>
          <a:fillRect/>
        </a:stretch>
      </xdr:blipFill>
      <xdr:spPr>
        <a:xfrm>
          <a:off x="2647950" y="11588750"/>
          <a:ext cx="381000" cy="476250"/>
        </a:xfrm>
        <a:prstGeom prst="rect">
          <a:avLst/>
        </a:prstGeom>
      </xdr:spPr>
    </xdr:pic>
  </etc:cellImage>
  <etc:cellImage>
    <xdr:pic>
      <xdr:nvPicPr>
        <xdr:cNvPr id="163" name="ID_F6681A7E5482490EBA543C6770FEBB48" descr="10-3 天神·宙斯"/>
        <xdr:cNvPicPr>
          <a:picLocks noChangeAspect="1"/>
        </xdr:cNvPicPr>
      </xdr:nvPicPr>
      <xdr:blipFill>
        <a:blip r:embed="rId176"/>
        <a:stretch>
          <a:fillRect/>
        </a:stretch>
      </xdr:blipFill>
      <xdr:spPr>
        <a:xfrm>
          <a:off x="3114675" y="11464925"/>
          <a:ext cx="381000" cy="476250"/>
        </a:xfrm>
        <a:prstGeom prst="rect">
          <a:avLst/>
        </a:prstGeom>
      </xdr:spPr>
    </xdr:pic>
  </etc:cellImage>
  <etc:cellImage>
    <xdr:pic>
      <xdr:nvPicPr>
        <xdr:cNvPr id="166" name="ID_1FCB9710ADB54576B7B8F8AB7D8F7719" descr="猫博士蛋糕空投器"/>
        <xdr:cNvPicPr>
          <a:picLocks noChangeAspect="1"/>
        </xdr:cNvPicPr>
      </xdr:nvPicPr>
      <xdr:blipFill>
        <a:blip r:embed="rId177"/>
        <a:stretch>
          <a:fillRect/>
        </a:stretch>
      </xdr:blipFill>
      <xdr:spPr>
        <a:xfrm>
          <a:off x="1314450" y="17129125"/>
          <a:ext cx="381000" cy="476250"/>
        </a:xfrm>
        <a:prstGeom prst="rect">
          <a:avLst/>
        </a:prstGeom>
      </xdr:spPr>
    </xdr:pic>
  </etc:cellImage>
  <etc:cellImage>
    <xdr:pic>
      <xdr:nvPicPr>
        <xdr:cNvPr id="168" name="ID_FAEC48F8E8934612986ECFE67A131D3A" descr="02-3 暴雪元素猪"/>
        <xdr:cNvPicPr>
          <a:picLocks noChangeAspect="1"/>
        </xdr:cNvPicPr>
      </xdr:nvPicPr>
      <xdr:blipFill>
        <a:blip r:embed="rId178"/>
        <a:stretch>
          <a:fillRect/>
        </a:stretch>
      </xdr:blipFill>
      <xdr:spPr>
        <a:xfrm>
          <a:off x="161925" y="19469100"/>
          <a:ext cx="381000" cy="476250"/>
        </a:xfrm>
        <a:prstGeom prst="rect">
          <a:avLst/>
        </a:prstGeom>
      </xdr:spPr>
    </xdr:pic>
  </etc:cellImage>
  <etc:cellImage>
    <xdr:pic>
      <xdr:nvPicPr>
        <xdr:cNvPr id="789" name="ID_CDFFFAF45BBB4FDA97229BD045F73BB7" descr="57-3 死神大炮"/>
        <xdr:cNvPicPr>
          <a:picLocks noChangeAspect="1"/>
        </xdr:cNvPicPr>
      </xdr:nvPicPr>
      <xdr:blipFill>
        <a:blip r:embed="rId179"/>
        <a:stretch>
          <a:fillRect/>
        </a:stretch>
      </xdr:blipFill>
      <xdr:spPr>
        <a:xfrm>
          <a:off x="3076575" y="34594800"/>
          <a:ext cx="381000" cy="476250"/>
        </a:xfrm>
        <a:prstGeom prst="rect">
          <a:avLst/>
        </a:prstGeom>
      </xdr:spPr>
    </xdr:pic>
  </etc:cellImage>
  <etc:cellImage>
    <xdr:pic>
      <xdr:nvPicPr>
        <xdr:cNvPr id="169" name="ID_33A02951AF514D4885AD50DE0F842A83" descr="09-3 御守招财喵"/>
        <xdr:cNvPicPr>
          <a:picLocks noChangeAspect="1"/>
        </xdr:cNvPicPr>
      </xdr:nvPicPr>
      <xdr:blipFill>
        <a:blip r:embed="rId180"/>
        <a:stretch>
          <a:fillRect/>
        </a:stretch>
      </xdr:blipFill>
      <xdr:spPr>
        <a:xfrm>
          <a:off x="638175" y="19431000"/>
          <a:ext cx="381000" cy="476250"/>
        </a:xfrm>
        <a:prstGeom prst="rect">
          <a:avLst/>
        </a:prstGeom>
      </xdr:spPr>
    </xdr:pic>
  </etc:cellImage>
  <etc:cellImage>
    <xdr:pic>
      <xdr:nvPicPr>
        <xdr:cNvPr id="170" name="ID_F7749E89E25F4140B87759457CDDE8BB" descr="11-1 典伊神使"/>
        <xdr:cNvPicPr>
          <a:picLocks noChangeAspect="1"/>
        </xdr:cNvPicPr>
      </xdr:nvPicPr>
      <xdr:blipFill>
        <a:blip r:embed="rId181"/>
        <a:stretch>
          <a:fillRect/>
        </a:stretch>
      </xdr:blipFill>
      <xdr:spPr>
        <a:xfrm>
          <a:off x="1438275" y="19573875"/>
          <a:ext cx="380365" cy="474980"/>
        </a:xfrm>
        <a:prstGeom prst="rect">
          <a:avLst/>
        </a:prstGeom>
      </xdr:spPr>
    </xdr:pic>
  </etc:cellImage>
  <etc:cellImage>
    <xdr:pic>
      <xdr:nvPicPr>
        <xdr:cNvPr id="171" name="ID_F42B16FCB50748B897D60B4CA440CB71" descr="11-2 典伊圣神"/>
        <xdr:cNvPicPr>
          <a:picLocks noChangeAspect="1"/>
        </xdr:cNvPicPr>
      </xdr:nvPicPr>
      <xdr:blipFill>
        <a:blip r:embed="rId182"/>
        <a:stretch>
          <a:fillRect/>
        </a:stretch>
      </xdr:blipFill>
      <xdr:spPr>
        <a:xfrm>
          <a:off x="1809750" y="19583400"/>
          <a:ext cx="381000" cy="476250"/>
        </a:xfrm>
        <a:prstGeom prst="rect">
          <a:avLst/>
        </a:prstGeom>
      </xdr:spPr>
    </xdr:pic>
  </etc:cellImage>
  <etc:cellImage>
    <xdr:pic>
      <xdr:nvPicPr>
        <xdr:cNvPr id="172" name="ID_FB910921D559483EB1B982B73A073398" descr="11-3 冰神·典伊"/>
        <xdr:cNvPicPr>
          <a:picLocks noChangeAspect="1"/>
        </xdr:cNvPicPr>
      </xdr:nvPicPr>
      <xdr:blipFill>
        <a:blip r:embed="rId183"/>
        <a:stretch>
          <a:fillRect/>
        </a:stretch>
      </xdr:blipFill>
      <xdr:spPr>
        <a:xfrm>
          <a:off x="2524125" y="19516725"/>
          <a:ext cx="381000" cy="476250"/>
        </a:xfrm>
        <a:prstGeom prst="rect">
          <a:avLst/>
        </a:prstGeom>
      </xdr:spPr>
    </xdr:pic>
  </etc:cellImage>
  <etc:cellImage>
    <xdr:pic>
      <xdr:nvPicPr>
        <xdr:cNvPr id="791" name="ID_05AAEF63A52E4F6CBCA4808A277B064B" descr="57-1 巧克力大炮"/>
        <xdr:cNvPicPr>
          <a:picLocks noChangeAspect="1"/>
        </xdr:cNvPicPr>
      </xdr:nvPicPr>
      <xdr:blipFill>
        <a:blip r:embed="rId184"/>
        <a:stretch>
          <a:fillRect/>
        </a:stretch>
      </xdr:blipFill>
      <xdr:spPr>
        <a:xfrm>
          <a:off x="1857375" y="34699575"/>
          <a:ext cx="381000" cy="476250"/>
        </a:xfrm>
        <a:prstGeom prst="rect">
          <a:avLst/>
        </a:prstGeom>
      </xdr:spPr>
    </xdr:pic>
  </etc:cellImage>
  <etc:cellImage>
    <xdr:pic>
      <xdr:nvPicPr>
        <xdr:cNvPr id="790" name="ID_E1BCEA8686F14AC2A51701F9863D4380" descr="57-2 节能巧克力大炮"/>
        <xdr:cNvPicPr>
          <a:picLocks noChangeAspect="1"/>
        </xdr:cNvPicPr>
      </xdr:nvPicPr>
      <xdr:blipFill>
        <a:blip r:embed="rId185"/>
        <a:stretch>
          <a:fillRect/>
        </a:stretch>
      </xdr:blipFill>
      <xdr:spPr>
        <a:xfrm>
          <a:off x="2533650" y="34480500"/>
          <a:ext cx="381000" cy="476250"/>
        </a:xfrm>
        <a:prstGeom prst="rect">
          <a:avLst/>
        </a:prstGeom>
      </xdr:spPr>
    </xdr:pic>
  </etc:cellImage>
  <etc:cellImage>
    <xdr:pic>
      <xdr:nvPicPr>
        <xdr:cNvPr id="177" name="ID_B4D507A19B6D46B0962F97FB2158F028" descr="05-3 真刀削拉面"/>
        <xdr:cNvPicPr>
          <a:picLocks noChangeAspect="1"/>
        </xdr:cNvPicPr>
      </xdr:nvPicPr>
      <xdr:blipFill>
        <a:blip r:embed="rId186"/>
        <a:stretch>
          <a:fillRect/>
        </a:stretch>
      </xdr:blipFill>
      <xdr:spPr>
        <a:xfrm>
          <a:off x="895350" y="7629525"/>
          <a:ext cx="381000" cy="482600"/>
        </a:xfrm>
        <a:prstGeom prst="rect">
          <a:avLst/>
        </a:prstGeom>
      </xdr:spPr>
    </xdr:pic>
  </etc:cellImage>
  <etc:cellImage>
    <xdr:pic>
      <xdr:nvPicPr>
        <xdr:cNvPr id="173" name="ID_5E5DB388D3F243E8A6C6EF6803ADB2E0" descr="01-3 海鲜肥牛锅"/>
        <xdr:cNvPicPr>
          <a:picLocks noChangeAspect="1"/>
        </xdr:cNvPicPr>
      </xdr:nvPicPr>
      <xdr:blipFill>
        <a:blip r:embed="rId187"/>
        <a:stretch>
          <a:fillRect/>
        </a:stretch>
      </xdr:blipFill>
      <xdr:spPr>
        <a:xfrm>
          <a:off x="638175" y="1822450"/>
          <a:ext cx="381000" cy="476250"/>
        </a:xfrm>
        <a:prstGeom prst="rect">
          <a:avLst/>
        </a:prstGeom>
      </xdr:spPr>
    </xdr:pic>
  </etc:cellImage>
  <etc:cellImage>
    <xdr:pic>
      <xdr:nvPicPr>
        <xdr:cNvPr id="1899" name="ID_B6B4B5BF6EBA4A67B2864B439E047A86" descr="258be8812ad63c08b1e08433e3ff1ac4_0x1113037f_1.20180703140621155612561182742"/>
        <xdr:cNvPicPr>
          <a:picLocks noChangeAspect="1"/>
        </xdr:cNvPicPr>
      </xdr:nvPicPr>
      <xdr:blipFill>
        <a:blip r:embed="rId188"/>
        <a:stretch>
          <a:fillRect/>
        </a:stretch>
      </xdr:blipFill>
      <xdr:spPr>
        <a:xfrm>
          <a:off x="1783715" y="34731325"/>
          <a:ext cx="383540" cy="476250"/>
        </a:xfrm>
        <a:prstGeom prst="rect">
          <a:avLst/>
        </a:prstGeom>
      </xdr:spPr>
    </xdr:pic>
  </etc:cellImage>
  <etc:cellImage>
    <xdr:pic>
      <xdr:nvPicPr>
        <xdr:cNvPr id="256" name="ID_454148467BF6482D9C052AFF4F791C58" descr="4-3微波铛铛虎"/>
        <xdr:cNvPicPr>
          <a:picLocks noChangeAspect="1"/>
        </xdr:cNvPicPr>
      </xdr:nvPicPr>
      <xdr:blipFill>
        <a:blip r:embed="rId189"/>
        <a:stretch>
          <a:fillRect/>
        </a:stretch>
      </xdr:blipFill>
      <xdr:spPr>
        <a:xfrm>
          <a:off x="2476500" y="1831975"/>
          <a:ext cx="381000" cy="476250"/>
        </a:xfrm>
        <a:prstGeom prst="rect">
          <a:avLst/>
        </a:prstGeom>
      </xdr:spPr>
    </xdr:pic>
  </etc:cellImage>
  <etc:cellImage>
    <xdr:pic>
      <xdr:nvPicPr>
        <xdr:cNvPr id="238" name="ID_CE2A5815EACC4B91AF43D2689B4F942A" descr="03-3 酱香鱿鱼锅"/>
        <xdr:cNvPicPr>
          <a:picLocks noChangeAspect="1"/>
        </xdr:cNvPicPr>
      </xdr:nvPicPr>
      <xdr:blipFill>
        <a:blip r:embed="rId190"/>
        <a:stretch>
          <a:fillRect/>
        </a:stretch>
      </xdr:blipFill>
      <xdr:spPr>
        <a:xfrm>
          <a:off x="1257300" y="1760220"/>
          <a:ext cx="381000" cy="476250"/>
        </a:xfrm>
        <a:prstGeom prst="rect">
          <a:avLst/>
        </a:prstGeom>
      </xdr:spPr>
    </xdr:pic>
  </etc:cellImage>
  <etc:cellImage>
    <xdr:pic>
      <xdr:nvPicPr>
        <xdr:cNvPr id="260" name="ID_F76AEEEFC96646DD9765AE671B2F0B62" descr="0x12900032"/>
        <xdr:cNvPicPr>
          <a:picLocks noChangeAspect="1"/>
        </xdr:cNvPicPr>
      </xdr:nvPicPr>
      <xdr:blipFill>
        <a:blip r:embed="rId191"/>
        <a:stretch>
          <a:fillRect/>
        </a:stretch>
      </xdr:blipFill>
      <xdr:spPr>
        <a:xfrm>
          <a:off x="8799195" y="1841500"/>
          <a:ext cx="419100" cy="425450"/>
        </a:xfrm>
        <a:prstGeom prst="rect">
          <a:avLst/>
        </a:prstGeom>
      </xdr:spPr>
    </xdr:pic>
  </etc:cellImage>
  <etc:cellImage>
    <xdr:pic>
      <xdr:nvPicPr>
        <xdr:cNvPr id="239" name="ID_F2C85482034E43BDB4B397C2DDDF6402" descr="02-3 驴肉火烧锅"/>
        <xdr:cNvPicPr>
          <a:picLocks noChangeAspect="1"/>
        </xdr:cNvPicPr>
      </xdr:nvPicPr>
      <xdr:blipFill>
        <a:blip r:embed="rId192"/>
        <a:stretch>
          <a:fillRect/>
        </a:stretch>
      </xdr:blipFill>
      <xdr:spPr>
        <a:xfrm>
          <a:off x="1943100" y="1903095"/>
          <a:ext cx="381000" cy="476250"/>
        </a:xfrm>
        <a:prstGeom prst="rect">
          <a:avLst/>
        </a:prstGeom>
      </xdr:spPr>
    </xdr:pic>
  </etc:cellImage>
  <etc:cellImage>
    <xdr:pic>
      <xdr:nvPicPr>
        <xdr:cNvPr id="176" name="ID_78E6F55C1C524CD1BB46C3721099A3F8" descr="丸子厨师"/>
        <xdr:cNvPicPr>
          <a:picLocks noChangeAspect="1"/>
        </xdr:cNvPicPr>
      </xdr:nvPicPr>
      <xdr:blipFill>
        <a:blip r:embed="rId193"/>
        <a:stretch>
          <a:fillRect/>
        </a:stretch>
      </xdr:blipFill>
      <xdr:spPr>
        <a:xfrm>
          <a:off x="1247775" y="7677150"/>
          <a:ext cx="381000" cy="476250"/>
        </a:xfrm>
        <a:prstGeom prst="rect">
          <a:avLst/>
        </a:prstGeom>
      </xdr:spPr>
    </xdr:pic>
  </etc:cellImage>
  <etc:cellImage>
    <xdr:pic>
      <xdr:nvPicPr>
        <xdr:cNvPr id="178" name="ID_1D1540B7DC83418298D294B3CB11DB7E" descr="11-1 鱼刺"/>
        <xdr:cNvPicPr>
          <a:picLocks noChangeAspect="1"/>
        </xdr:cNvPicPr>
      </xdr:nvPicPr>
      <xdr:blipFill>
        <a:blip r:embed="rId194"/>
        <a:stretch>
          <a:fillRect/>
        </a:stretch>
      </xdr:blipFill>
      <xdr:spPr>
        <a:xfrm>
          <a:off x="1257300" y="11684000"/>
          <a:ext cx="381000" cy="476250"/>
        </a:xfrm>
        <a:prstGeom prst="rect">
          <a:avLst/>
        </a:prstGeom>
      </xdr:spPr>
    </xdr:pic>
  </etc:cellImage>
  <etc:cellImage>
    <xdr:pic>
      <xdr:nvPicPr>
        <xdr:cNvPr id="179" name="ID_A76F4598417C44F5B304C481664F507F" descr="52-3 海贼王鱼刺"/>
        <xdr:cNvPicPr>
          <a:picLocks noChangeAspect="1"/>
        </xdr:cNvPicPr>
      </xdr:nvPicPr>
      <xdr:blipFill>
        <a:blip r:embed="rId195"/>
        <a:stretch>
          <a:fillRect/>
        </a:stretch>
      </xdr:blipFill>
      <xdr:spPr>
        <a:xfrm>
          <a:off x="2019300" y="11760200"/>
          <a:ext cx="381000" cy="482600"/>
        </a:xfrm>
        <a:prstGeom prst="rect">
          <a:avLst/>
        </a:prstGeom>
      </xdr:spPr>
    </xdr:pic>
  </etc:cellImage>
  <etc:cellImage>
    <xdr:pic>
      <xdr:nvPicPr>
        <xdr:cNvPr id="180" name="ID_4DE5427E01E54C768FDFC455216B8A08" descr="19-1 汉堡包"/>
        <xdr:cNvPicPr>
          <a:picLocks noChangeAspect="1"/>
        </xdr:cNvPicPr>
      </xdr:nvPicPr>
      <xdr:blipFill>
        <a:blip r:embed="rId196"/>
        <a:stretch>
          <a:fillRect/>
        </a:stretch>
      </xdr:blipFill>
      <xdr:spPr>
        <a:xfrm>
          <a:off x="1447800" y="14452600"/>
          <a:ext cx="381000" cy="482600"/>
        </a:xfrm>
        <a:prstGeom prst="rect">
          <a:avLst/>
        </a:prstGeom>
      </xdr:spPr>
    </xdr:pic>
  </etc:cellImage>
  <etc:cellImage>
    <xdr:pic>
      <xdr:nvPicPr>
        <xdr:cNvPr id="182" name="ID_4CCA70C6E9AE40AD9FB27BE7B773B373" descr="贪食蛙"/>
        <xdr:cNvPicPr>
          <a:picLocks noChangeAspect="1"/>
        </xdr:cNvPicPr>
      </xdr:nvPicPr>
      <xdr:blipFill>
        <a:blip r:embed="rId197"/>
        <a:stretch>
          <a:fillRect/>
        </a:stretch>
      </xdr:blipFill>
      <xdr:spPr>
        <a:xfrm>
          <a:off x="2009775" y="14433550"/>
          <a:ext cx="381000" cy="476250"/>
        </a:xfrm>
        <a:prstGeom prst="rect">
          <a:avLst/>
        </a:prstGeom>
      </xdr:spPr>
    </xdr:pic>
  </etc:cellImage>
  <etc:cellImage>
    <xdr:pic>
      <xdr:nvPicPr>
        <xdr:cNvPr id="187" name="ID_3E850E63E60049C1AAC99159D3170245" descr="39-1 双层冰冻小笼包"/>
        <xdr:cNvPicPr>
          <a:picLocks noChangeAspect="1"/>
        </xdr:cNvPicPr>
      </xdr:nvPicPr>
      <xdr:blipFill>
        <a:blip r:embed="rId198"/>
        <a:stretch>
          <a:fillRect/>
        </a:stretch>
      </xdr:blipFill>
      <xdr:spPr>
        <a:xfrm>
          <a:off x="2447925" y="1793875"/>
          <a:ext cx="381000" cy="476250"/>
        </a:xfrm>
        <a:prstGeom prst="rect">
          <a:avLst/>
        </a:prstGeom>
      </xdr:spPr>
    </xdr:pic>
  </etc:cellImage>
  <etc:cellImage>
    <xdr:pic>
      <xdr:nvPicPr>
        <xdr:cNvPr id="185" name="ID_2EF94FAA790E4AF4A83107D0B2A63896" descr="07-1 冰冻小笼包"/>
        <xdr:cNvPicPr>
          <a:picLocks noChangeAspect="1"/>
        </xdr:cNvPicPr>
      </xdr:nvPicPr>
      <xdr:blipFill>
        <a:blip r:embed="rId199"/>
        <a:stretch>
          <a:fillRect/>
        </a:stretch>
      </xdr:blipFill>
      <xdr:spPr>
        <a:xfrm>
          <a:off x="2095500" y="1955800"/>
          <a:ext cx="381000" cy="476250"/>
        </a:xfrm>
        <a:prstGeom prst="rect">
          <a:avLst/>
        </a:prstGeom>
      </xdr:spPr>
    </xdr:pic>
  </etc:cellImage>
  <etc:cellImage>
    <xdr:pic>
      <xdr:nvPicPr>
        <xdr:cNvPr id="183" name="ID_4275E659E21C4237AF77CE9BB9C4B7F0" descr="02-1 小笼包"/>
        <xdr:cNvPicPr>
          <a:picLocks noChangeAspect="1"/>
        </xdr:cNvPicPr>
      </xdr:nvPicPr>
      <xdr:blipFill>
        <a:blip r:embed="rId200"/>
        <a:stretch>
          <a:fillRect/>
        </a:stretch>
      </xdr:blipFill>
      <xdr:spPr>
        <a:xfrm>
          <a:off x="142875" y="1765300"/>
          <a:ext cx="381000" cy="476250"/>
        </a:xfrm>
        <a:prstGeom prst="rect">
          <a:avLst/>
        </a:prstGeom>
      </xdr:spPr>
    </xdr:pic>
  </etc:cellImage>
  <etc:cellImage>
    <xdr:pic>
      <xdr:nvPicPr>
        <xdr:cNvPr id="184" name="ID_FF96EB1C1075485AB939DA365831D55C" descr="08-1 双层小笼包"/>
        <xdr:cNvPicPr>
          <a:picLocks noChangeAspect="1"/>
        </xdr:cNvPicPr>
      </xdr:nvPicPr>
      <xdr:blipFill>
        <a:blip r:embed="rId201"/>
        <a:stretch>
          <a:fillRect/>
        </a:stretch>
      </xdr:blipFill>
      <xdr:spPr>
        <a:xfrm>
          <a:off x="809625" y="1803400"/>
          <a:ext cx="381000" cy="476250"/>
        </a:xfrm>
        <a:prstGeom prst="rect">
          <a:avLst/>
        </a:prstGeom>
      </xdr:spPr>
    </xdr:pic>
  </etc:cellImage>
  <etc:cellImage>
    <xdr:pic>
      <xdr:nvPicPr>
        <xdr:cNvPr id="418" name="ID_E8C0DD8A9A62413898789313C46F87C7" descr="49-3 格林机枪笼包"/>
        <xdr:cNvPicPr>
          <a:picLocks noChangeAspect="1"/>
        </xdr:cNvPicPr>
      </xdr:nvPicPr>
      <xdr:blipFill>
        <a:blip r:embed="rId202"/>
        <a:stretch>
          <a:fillRect/>
        </a:stretch>
      </xdr:blipFill>
      <xdr:spPr>
        <a:xfrm>
          <a:off x="8294370" y="1656080"/>
          <a:ext cx="380365" cy="474980"/>
        </a:xfrm>
        <a:prstGeom prst="rect">
          <a:avLst/>
        </a:prstGeom>
      </xdr:spPr>
    </xdr:pic>
  </etc:cellImage>
  <etc:cellImage>
    <xdr:pic>
      <xdr:nvPicPr>
        <xdr:cNvPr id="188" name="ID_5913F3D9A2644258A42B16B15644161C" descr="46-1 三向冰冻小笼包"/>
        <xdr:cNvPicPr>
          <a:picLocks noChangeAspect="1"/>
        </xdr:cNvPicPr>
      </xdr:nvPicPr>
      <xdr:blipFill>
        <a:blip r:embed="rId203"/>
        <a:stretch>
          <a:fillRect/>
        </a:stretch>
      </xdr:blipFill>
      <xdr:spPr>
        <a:xfrm>
          <a:off x="3152775" y="1946275"/>
          <a:ext cx="380365" cy="481330"/>
        </a:xfrm>
        <a:prstGeom prst="rect">
          <a:avLst/>
        </a:prstGeom>
      </xdr:spPr>
    </xdr:pic>
  </etc:cellImage>
  <etc:cellImage>
    <xdr:pic>
      <xdr:nvPicPr>
        <xdr:cNvPr id="186" name="ID_4F225B02942E44CBA93E57144E0C4BE6" descr="38-1 三向小笼包"/>
        <xdr:cNvPicPr>
          <a:picLocks noChangeAspect="1"/>
        </xdr:cNvPicPr>
      </xdr:nvPicPr>
      <xdr:blipFill>
        <a:blip r:embed="rId204"/>
        <a:stretch>
          <a:fillRect/>
        </a:stretch>
      </xdr:blipFill>
      <xdr:spPr>
        <a:xfrm>
          <a:off x="1466850" y="1822450"/>
          <a:ext cx="380365" cy="474980"/>
        </a:xfrm>
        <a:prstGeom prst="rect">
          <a:avLst/>
        </a:prstGeom>
      </xdr:spPr>
    </xdr:pic>
  </etc:cellImage>
  <etc:cellImage>
    <xdr:pic>
      <xdr:nvPicPr>
        <xdr:cNvPr id="946" name="ID_DF3F546E7C284827B90BFE82145263CB" descr="1-3-3"/>
        <xdr:cNvPicPr>
          <a:picLocks noChangeAspect="1"/>
        </xdr:cNvPicPr>
      </xdr:nvPicPr>
      <xdr:blipFill>
        <a:blip r:embed="rId205"/>
        <a:stretch>
          <a:fillRect/>
        </a:stretch>
      </xdr:blipFill>
      <xdr:spPr>
        <a:xfrm>
          <a:off x="3028950" y="11120120"/>
          <a:ext cx="380365" cy="476250"/>
        </a:xfrm>
        <a:prstGeom prst="rect">
          <a:avLst/>
        </a:prstGeom>
      </xdr:spPr>
    </xdr:pic>
  </etc:cellImage>
  <etc:cellImage>
    <xdr:pic>
      <xdr:nvPicPr>
        <xdr:cNvPr id="417" name="ID_03417E3971224C1DB361CD85EF9B0A8A" descr="贵族小笼包"/>
        <xdr:cNvPicPr>
          <a:picLocks noChangeAspect="1"/>
        </xdr:cNvPicPr>
      </xdr:nvPicPr>
      <xdr:blipFill>
        <a:blip r:embed="rId206"/>
        <a:stretch>
          <a:fillRect/>
        </a:stretch>
      </xdr:blipFill>
      <xdr:spPr>
        <a:xfrm>
          <a:off x="7694930" y="1656080"/>
          <a:ext cx="380365" cy="474980"/>
        </a:xfrm>
        <a:prstGeom prst="rect">
          <a:avLst/>
        </a:prstGeom>
      </xdr:spPr>
    </xdr:pic>
  </etc:cellImage>
  <etc:cellImage>
    <xdr:pic>
      <xdr:nvPicPr>
        <xdr:cNvPr id="194" name="ID_C4305B1EE4A9418681886D766BD328AD" descr="14-3 骨瓷咖啡杯"/>
        <xdr:cNvPicPr>
          <a:picLocks noChangeAspect="1"/>
        </xdr:cNvPicPr>
      </xdr:nvPicPr>
      <xdr:blipFill>
        <a:blip r:embed="rId207"/>
        <a:stretch>
          <a:fillRect/>
        </a:stretch>
      </xdr:blipFill>
      <xdr:spPr>
        <a:xfrm>
          <a:off x="771525" y="5886450"/>
          <a:ext cx="380365" cy="474980"/>
        </a:xfrm>
        <a:prstGeom prst="rect">
          <a:avLst/>
        </a:prstGeom>
      </xdr:spPr>
    </xdr:pic>
  </etc:cellImage>
  <etc:cellImage>
    <xdr:pic>
      <xdr:nvPicPr>
        <xdr:cNvPr id="419" name="ID_3C73DCE14C47480897995843F62F07D4" descr="56-1 机枪冰冻小笼包"/>
        <xdr:cNvPicPr>
          <a:picLocks noChangeAspect="1"/>
        </xdr:cNvPicPr>
      </xdr:nvPicPr>
      <xdr:blipFill>
        <a:blip r:embed="rId208"/>
        <a:stretch>
          <a:fillRect/>
        </a:stretch>
      </xdr:blipFill>
      <xdr:spPr>
        <a:xfrm>
          <a:off x="8893810" y="1655445"/>
          <a:ext cx="381000" cy="476250"/>
        </a:xfrm>
        <a:prstGeom prst="rect">
          <a:avLst/>
        </a:prstGeom>
      </xdr:spPr>
    </xdr:pic>
  </etc:cellImage>
  <etc:cellImage>
    <xdr:pic>
      <xdr:nvPicPr>
        <xdr:cNvPr id="192" name="ID_ACCE143F7F7049BD95ED4A633E6CDB74" descr="04-3 黑心国王小笼包"/>
        <xdr:cNvPicPr>
          <a:picLocks noChangeAspect="1"/>
        </xdr:cNvPicPr>
      </xdr:nvPicPr>
      <xdr:blipFill>
        <a:blip r:embed="rId209"/>
        <a:stretch>
          <a:fillRect/>
        </a:stretch>
      </xdr:blipFill>
      <xdr:spPr>
        <a:xfrm>
          <a:off x="9494520" y="1822450"/>
          <a:ext cx="380365" cy="476250"/>
        </a:xfrm>
        <a:prstGeom prst="rect">
          <a:avLst/>
        </a:prstGeom>
      </xdr:spPr>
    </xdr:pic>
  </etc:cellImage>
  <etc:cellImage>
    <xdr:pic>
      <xdr:nvPicPr>
        <xdr:cNvPr id="193" name="ID_5896889C860A43D4A8D59ACC515F76D6" descr="06-3 黑心三向国王小笼包"/>
        <xdr:cNvPicPr>
          <a:picLocks noChangeAspect="1"/>
        </xdr:cNvPicPr>
      </xdr:nvPicPr>
      <xdr:blipFill>
        <a:blip r:embed="rId210"/>
        <a:stretch>
          <a:fillRect/>
        </a:stretch>
      </xdr:blipFill>
      <xdr:spPr>
        <a:xfrm>
          <a:off x="10227945" y="1793875"/>
          <a:ext cx="375920" cy="474980"/>
        </a:xfrm>
        <a:prstGeom prst="rect">
          <a:avLst/>
        </a:prstGeom>
      </xdr:spPr>
    </xdr:pic>
  </etc:cellImage>
  <etc:cellImage>
    <xdr:pic>
      <xdr:nvPicPr>
        <xdr:cNvPr id="127" name="ID_56F9375A6660467CA003844FAED8BDB0" descr="小喷菇-卡槽3"/>
        <xdr:cNvPicPr>
          <a:picLocks noChangeAspect="1"/>
        </xdr:cNvPicPr>
      </xdr:nvPicPr>
      <xdr:blipFill>
        <a:blip r:embed="rId211"/>
        <a:stretch>
          <a:fillRect/>
        </a:stretch>
      </xdr:blipFill>
      <xdr:spPr>
        <a:xfrm>
          <a:off x="342900" y="6807200"/>
          <a:ext cx="380365" cy="474980"/>
        </a:xfrm>
        <a:prstGeom prst="rect">
          <a:avLst/>
        </a:prstGeom>
      </xdr:spPr>
    </xdr:pic>
  </etc:cellImage>
  <etc:cellImage>
    <xdr:pic>
      <xdr:nvPicPr>
        <xdr:cNvPr id="236" name="ID_9CFF18717FFB49CA9CD78FCED366E255" descr="10-1 激光汪"/>
        <xdr:cNvPicPr>
          <a:picLocks noChangeAspect="1"/>
        </xdr:cNvPicPr>
      </xdr:nvPicPr>
      <xdr:blipFill>
        <a:blip r:embed="rId212"/>
        <a:stretch>
          <a:fillRect/>
        </a:stretch>
      </xdr:blipFill>
      <xdr:spPr>
        <a:xfrm>
          <a:off x="962025" y="25126950"/>
          <a:ext cx="381000" cy="476250"/>
        </a:xfrm>
        <a:prstGeom prst="rect">
          <a:avLst/>
        </a:prstGeom>
      </xdr:spPr>
    </xdr:pic>
  </etc:cellImage>
  <etc:cellImage>
    <xdr:pic>
      <xdr:nvPicPr>
        <xdr:cNvPr id="195" name="ID_C9EDCEFC15F848948623F5CE0D8048BC" descr="16-1 水上茶杯"/>
        <xdr:cNvPicPr>
          <a:picLocks noChangeAspect="1"/>
        </xdr:cNvPicPr>
      </xdr:nvPicPr>
      <xdr:blipFill>
        <a:blip r:embed="rId213"/>
        <a:stretch>
          <a:fillRect/>
        </a:stretch>
      </xdr:blipFill>
      <xdr:spPr>
        <a:xfrm>
          <a:off x="1314450" y="5829300"/>
          <a:ext cx="381000" cy="476250"/>
        </a:xfrm>
        <a:prstGeom prst="rect">
          <a:avLst/>
        </a:prstGeom>
      </xdr:spPr>
    </xdr:pic>
  </etc:cellImage>
  <etc:cellImage>
    <xdr:pic>
      <xdr:nvPicPr>
        <xdr:cNvPr id="126" name="ID_4B0AC738F0CC4E9C940DF74D6905DDFE" descr="15-1 咖啡喷壶"/>
        <xdr:cNvPicPr>
          <a:picLocks noChangeAspect="1"/>
        </xdr:cNvPicPr>
      </xdr:nvPicPr>
      <xdr:blipFill>
        <a:blip r:embed="rId214"/>
        <a:stretch>
          <a:fillRect/>
        </a:stretch>
      </xdr:blipFill>
      <xdr:spPr>
        <a:xfrm>
          <a:off x="1847850" y="6583045"/>
          <a:ext cx="381000" cy="476250"/>
        </a:xfrm>
        <a:prstGeom prst="rect">
          <a:avLst/>
        </a:prstGeom>
      </xdr:spPr>
    </xdr:pic>
  </etc:cellImage>
  <etc:cellImage>
    <xdr:pic>
      <xdr:nvPicPr>
        <xdr:cNvPr id="237" name="ID_DF481B392FE84EC7848A2A136A52A6A9" descr="10-2 高频激光汪"/>
        <xdr:cNvPicPr>
          <a:picLocks noChangeAspect="1"/>
        </xdr:cNvPicPr>
      </xdr:nvPicPr>
      <xdr:blipFill>
        <a:blip r:embed="rId215"/>
        <a:stretch>
          <a:fillRect/>
        </a:stretch>
      </xdr:blipFill>
      <xdr:spPr>
        <a:xfrm>
          <a:off x="1466850" y="25250775"/>
          <a:ext cx="381000" cy="476250"/>
        </a:xfrm>
        <a:prstGeom prst="rect">
          <a:avLst/>
        </a:prstGeom>
      </xdr:spPr>
    </xdr:pic>
  </etc:cellImage>
  <etc:cellImage>
    <xdr:pic>
      <xdr:nvPicPr>
        <xdr:cNvPr id="197" name="ID_FA63B1711601488B8197CBC195B8A8F2" descr="40-1 关东煮喷锅"/>
        <xdr:cNvPicPr>
          <a:picLocks noChangeAspect="1"/>
        </xdr:cNvPicPr>
      </xdr:nvPicPr>
      <xdr:blipFill>
        <a:blip r:embed="rId216"/>
        <a:stretch>
          <a:fillRect/>
        </a:stretch>
      </xdr:blipFill>
      <xdr:spPr>
        <a:xfrm>
          <a:off x="2581275" y="5876925"/>
          <a:ext cx="381000" cy="476250"/>
        </a:xfrm>
        <a:prstGeom prst="rect">
          <a:avLst/>
        </a:prstGeom>
      </xdr:spPr>
    </xdr:pic>
  </etc:cellImage>
  <etc:cellImage>
    <xdr:pic>
      <xdr:nvPicPr>
        <xdr:cNvPr id="943" name="ID_5A9B22520BCB41FD9D196C836132B217" descr="62-3 加农玉米机枪"/>
        <xdr:cNvPicPr>
          <a:picLocks noChangeAspect="1"/>
        </xdr:cNvPicPr>
      </xdr:nvPicPr>
      <xdr:blipFill>
        <a:blip r:embed="rId217"/>
        <a:stretch>
          <a:fillRect/>
        </a:stretch>
      </xdr:blipFill>
      <xdr:spPr>
        <a:xfrm>
          <a:off x="104775" y="22927945"/>
          <a:ext cx="381000" cy="476250"/>
        </a:xfrm>
        <a:prstGeom prst="rect">
          <a:avLst/>
        </a:prstGeom>
      </xdr:spPr>
    </xdr:pic>
  </etc:cellImage>
  <etc:cellImage>
    <xdr:pic>
      <xdr:nvPicPr>
        <xdr:cNvPr id="939" name="ID_A58F796264C64DF7B093814029A2F9F4" descr="59-3 祝融喷壶"/>
        <xdr:cNvPicPr>
          <a:picLocks noChangeAspect="1"/>
        </xdr:cNvPicPr>
      </xdr:nvPicPr>
      <xdr:blipFill>
        <a:blip r:embed="rId218"/>
        <a:stretch>
          <a:fillRect/>
        </a:stretch>
      </xdr:blipFill>
      <xdr:spPr>
        <a:xfrm>
          <a:off x="152400" y="8624570"/>
          <a:ext cx="381000" cy="482600"/>
        </a:xfrm>
        <a:prstGeom prst="rect">
          <a:avLst/>
        </a:prstGeom>
      </xdr:spPr>
    </xdr:pic>
  </etc:cellImage>
  <etc:cellImage>
    <xdr:pic>
      <xdr:nvPicPr>
        <xdr:cNvPr id="940" name="ID_2F87B2E5A31B4A7C9CB20AE1A70BC5AC" descr="344839cab4a4927d97b2bfac7f079437_0x1113019f_1.20180703140621155612561182742"/>
        <xdr:cNvPicPr>
          <a:picLocks noChangeAspect="1"/>
        </xdr:cNvPicPr>
      </xdr:nvPicPr>
      <xdr:blipFill>
        <a:blip r:embed="rId219"/>
        <a:stretch>
          <a:fillRect/>
        </a:stretch>
      </xdr:blipFill>
      <xdr:spPr>
        <a:xfrm>
          <a:off x="733425" y="8624570"/>
          <a:ext cx="381000" cy="482600"/>
        </a:xfrm>
        <a:prstGeom prst="rect">
          <a:avLst/>
        </a:prstGeom>
      </xdr:spPr>
    </xdr:pic>
  </etc:cellImage>
  <etc:cellImage>
    <xdr:pic>
      <xdr:nvPicPr>
        <xdr:cNvPr id="944" name="ID_3973321D8AA3430F9FE5976AC57C13F5" descr="08-2 天蝎座星宿"/>
        <xdr:cNvPicPr>
          <a:picLocks noChangeAspect="1"/>
        </xdr:cNvPicPr>
      </xdr:nvPicPr>
      <xdr:blipFill>
        <a:blip r:embed="rId220"/>
        <a:stretch>
          <a:fillRect/>
        </a:stretch>
      </xdr:blipFill>
      <xdr:spPr>
        <a:xfrm>
          <a:off x="1304925" y="11024870"/>
          <a:ext cx="381000" cy="476250"/>
        </a:xfrm>
        <a:prstGeom prst="rect">
          <a:avLst/>
        </a:prstGeom>
      </xdr:spPr>
    </xdr:pic>
  </etc:cellImage>
  <etc:cellImage>
    <xdr:pic>
      <xdr:nvPicPr>
        <xdr:cNvPr id="945" name="ID_98E7B56800AE4F06B9524E55A2ED8052" descr="13-3 科幻工程猪"/>
        <xdr:cNvPicPr>
          <a:picLocks noChangeAspect="1"/>
        </xdr:cNvPicPr>
      </xdr:nvPicPr>
      <xdr:blipFill>
        <a:blip r:embed="rId221"/>
        <a:stretch>
          <a:fillRect/>
        </a:stretch>
      </xdr:blipFill>
      <xdr:spPr>
        <a:xfrm>
          <a:off x="1885950" y="11024870"/>
          <a:ext cx="381000" cy="476250"/>
        </a:xfrm>
        <a:prstGeom prst="rect">
          <a:avLst/>
        </a:prstGeom>
      </xdr:spPr>
    </xdr:pic>
  </etc:cellImage>
  <etc:cellImage>
    <xdr:pic>
      <xdr:nvPicPr>
        <xdr:cNvPr id="934" name="ID_4ABCF0B329B34D059D567DAEFC50D6EF" descr="08-03 将军派派鸡"/>
        <xdr:cNvPicPr>
          <a:picLocks noChangeAspect="1"/>
        </xdr:cNvPicPr>
      </xdr:nvPicPr>
      <xdr:blipFill>
        <a:blip r:embed="rId222"/>
        <a:stretch>
          <a:fillRect/>
        </a:stretch>
      </xdr:blipFill>
      <xdr:spPr>
        <a:xfrm>
          <a:off x="7704455" y="8653145"/>
          <a:ext cx="381000" cy="482600"/>
        </a:xfrm>
        <a:prstGeom prst="rect">
          <a:avLst/>
        </a:prstGeom>
      </xdr:spPr>
    </xdr:pic>
  </etc:cellImage>
  <etc:cellImage>
    <xdr:pic>
      <xdr:nvPicPr>
        <xdr:cNvPr id="935" name="ID_0B0B14C6FC064FA1A4494AE140D77BF1" descr="06-3 金箔米花机"/>
        <xdr:cNvPicPr>
          <a:picLocks noChangeAspect="1"/>
        </xdr:cNvPicPr>
      </xdr:nvPicPr>
      <xdr:blipFill>
        <a:blip r:embed="rId223"/>
        <a:stretch>
          <a:fillRect/>
        </a:stretch>
      </xdr:blipFill>
      <xdr:spPr>
        <a:xfrm>
          <a:off x="8284845" y="8656320"/>
          <a:ext cx="381000" cy="476250"/>
        </a:xfrm>
        <a:prstGeom prst="rect">
          <a:avLst/>
        </a:prstGeom>
      </xdr:spPr>
    </xdr:pic>
  </etc:cellImage>
  <etc:cellImage>
    <xdr:pic>
      <xdr:nvPicPr>
        <xdr:cNvPr id="936" name="ID_1F2D7721EC4D44E6AC93CA1B7F8B2990" descr="07-3 无限喷气牛"/>
        <xdr:cNvPicPr>
          <a:picLocks noChangeAspect="1"/>
        </xdr:cNvPicPr>
      </xdr:nvPicPr>
      <xdr:blipFill>
        <a:blip r:embed="rId224"/>
        <a:stretch>
          <a:fillRect/>
        </a:stretch>
      </xdr:blipFill>
      <xdr:spPr>
        <a:xfrm>
          <a:off x="8865235" y="8656320"/>
          <a:ext cx="381000" cy="476250"/>
        </a:xfrm>
        <a:prstGeom prst="rect">
          <a:avLst/>
        </a:prstGeom>
      </xdr:spPr>
    </xdr:pic>
  </etc:cellImage>
  <etc:cellImage>
    <xdr:pic>
      <xdr:nvPicPr>
        <xdr:cNvPr id="937" name="ID_0E368EE2B8C14761BC9A0B228F0CC249" descr="04-3 原子卖萌喵"/>
        <xdr:cNvPicPr>
          <a:picLocks noChangeAspect="1"/>
        </xdr:cNvPicPr>
      </xdr:nvPicPr>
      <xdr:blipFill>
        <a:blip r:embed="rId225"/>
        <a:stretch>
          <a:fillRect/>
        </a:stretch>
      </xdr:blipFill>
      <xdr:spPr>
        <a:xfrm>
          <a:off x="9446260" y="8656320"/>
          <a:ext cx="381000" cy="476250"/>
        </a:xfrm>
        <a:prstGeom prst="rect">
          <a:avLst/>
        </a:prstGeom>
      </xdr:spPr>
    </xdr:pic>
  </etc:cellImage>
  <etc:cellImage>
    <xdr:pic>
      <xdr:nvPicPr>
        <xdr:cNvPr id="938" name="ID_70157EC529E04F8DA2AA12E515434047" descr="3.3主神·奥丁"/>
        <xdr:cNvPicPr>
          <a:picLocks noChangeAspect="1"/>
        </xdr:cNvPicPr>
      </xdr:nvPicPr>
      <xdr:blipFill>
        <a:blip r:embed="rId226"/>
        <a:stretch>
          <a:fillRect/>
        </a:stretch>
      </xdr:blipFill>
      <xdr:spPr>
        <a:xfrm>
          <a:off x="10179685" y="8599170"/>
          <a:ext cx="381000" cy="476250"/>
        </a:xfrm>
        <a:prstGeom prst="rect">
          <a:avLst/>
        </a:prstGeom>
      </xdr:spPr>
    </xdr:pic>
  </etc:cellImage>
  <etc:cellImage>
    <xdr:pic>
      <xdr:nvPicPr>
        <xdr:cNvPr id="145" name="ID_BC743C7D58644FCA8FB77728C30D3C52" descr="14-3 爆弹奶茶猪"/>
        <xdr:cNvPicPr>
          <a:picLocks noChangeAspect="1"/>
        </xdr:cNvPicPr>
      </xdr:nvPicPr>
      <xdr:blipFill>
        <a:blip r:embed="rId150"/>
        <a:stretch>
          <a:fillRect/>
        </a:stretch>
      </xdr:blipFill>
      <xdr:spPr>
        <a:xfrm>
          <a:off x="1419225" y="24655145"/>
          <a:ext cx="381000" cy="476250"/>
        </a:xfrm>
        <a:prstGeom prst="rect">
          <a:avLst/>
        </a:prstGeom>
      </xdr:spPr>
    </xdr:pic>
  </etc:cellImage>
  <etc:cellImage>
    <xdr:pic>
      <xdr:nvPicPr>
        <xdr:cNvPr id="146" name="ID_E1752BD475AD445AB73B446A2FD2E034" descr="03-3 重坦科技喵"/>
        <xdr:cNvPicPr>
          <a:picLocks noChangeAspect="1"/>
        </xdr:cNvPicPr>
      </xdr:nvPicPr>
      <xdr:blipFill>
        <a:blip r:embed="rId151"/>
        <a:stretch>
          <a:fillRect/>
        </a:stretch>
      </xdr:blipFill>
      <xdr:spPr>
        <a:xfrm>
          <a:off x="2000250" y="24655145"/>
          <a:ext cx="381000" cy="476250"/>
        </a:xfrm>
        <a:prstGeom prst="rect">
          <a:avLst/>
        </a:prstGeom>
      </xdr:spPr>
    </xdr:pic>
  </etc:cellImage>
  <etc:cellImage>
    <xdr:pic>
      <xdr:nvPicPr>
        <xdr:cNvPr id="207" name="ID_FD658C439EB74B63B866D63E5FE374AA" descr="10-3 超频激光汪"/>
        <xdr:cNvPicPr>
          <a:picLocks noChangeAspect="1"/>
        </xdr:cNvPicPr>
      </xdr:nvPicPr>
      <xdr:blipFill>
        <a:blip r:embed="rId227"/>
        <a:stretch>
          <a:fillRect/>
        </a:stretch>
      </xdr:blipFill>
      <xdr:spPr>
        <a:xfrm>
          <a:off x="1533525" y="25174575"/>
          <a:ext cx="381000" cy="482600"/>
        </a:xfrm>
        <a:prstGeom prst="rect">
          <a:avLst/>
        </a:prstGeom>
      </xdr:spPr>
    </xdr:pic>
  </etc:cellImage>
  <etc:cellImage>
    <xdr:pic>
      <xdr:nvPicPr>
        <xdr:cNvPr id="955" name="ID_B59BB336E3C844DA9A2396782DA6A78C" descr="2-3"/>
        <xdr:cNvPicPr>
          <a:picLocks noChangeAspect="1"/>
        </xdr:cNvPicPr>
      </xdr:nvPicPr>
      <xdr:blipFill>
        <a:blip r:embed="rId228"/>
        <a:stretch>
          <a:fillRect/>
        </a:stretch>
      </xdr:blipFill>
      <xdr:spPr>
        <a:xfrm>
          <a:off x="3162300" y="30313630"/>
          <a:ext cx="1059815" cy="737870"/>
        </a:xfrm>
        <a:prstGeom prst="rect">
          <a:avLst/>
        </a:prstGeom>
      </xdr:spPr>
    </xdr:pic>
  </etc:cellImage>
  <etc:cellImage>
    <xdr:pic>
      <xdr:nvPicPr>
        <xdr:cNvPr id="942" name="ID_A73E0F0BB3E54B4389DEEBAFDD83D2DB" descr="1-3"/>
        <xdr:cNvPicPr>
          <a:picLocks noChangeAspect="1"/>
        </xdr:cNvPicPr>
      </xdr:nvPicPr>
      <xdr:blipFill>
        <a:blip r:embed="rId229">
          <a:grayscl/>
        </a:blip>
        <a:stretch>
          <a:fillRect/>
        </a:stretch>
      </xdr:blipFill>
      <xdr:spPr>
        <a:xfrm>
          <a:off x="9550400" y="7896860"/>
          <a:ext cx="1410335" cy="1297305"/>
        </a:xfrm>
        <a:prstGeom prst="rect">
          <a:avLst/>
        </a:prstGeom>
      </xdr:spPr>
    </xdr:pic>
  </etc:cellImage>
  <etc:cellImage>
    <xdr:pic>
      <xdr:nvPicPr>
        <xdr:cNvPr id="870" name="ID_F9CC2091B1804DFBAAE15B6F8926512F" descr="1-1-1"/>
        <xdr:cNvPicPr>
          <a:picLocks noChangeAspect="1"/>
        </xdr:cNvPicPr>
      </xdr:nvPicPr>
      <xdr:blipFill>
        <a:blip r:embed="rId100">
          <a:grayscl/>
        </a:blip>
        <a:stretch>
          <a:fillRect/>
        </a:stretch>
      </xdr:blipFill>
      <xdr:spPr>
        <a:xfrm>
          <a:off x="8456295" y="2533650"/>
          <a:ext cx="381000" cy="476250"/>
        </a:xfrm>
        <a:prstGeom prst="rect">
          <a:avLst/>
        </a:prstGeom>
      </xdr:spPr>
    </xdr:pic>
  </etc:cellImage>
  <etc:cellImage>
    <xdr:pic>
      <xdr:nvPicPr>
        <xdr:cNvPr id="210" name="ID_8EE3BAAD2F6F4CBB97D557D708B23680" descr="57-3 死神大炮"/>
        <xdr:cNvPicPr>
          <a:picLocks noChangeAspect="1"/>
        </xdr:cNvPicPr>
      </xdr:nvPicPr>
      <xdr:blipFill>
        <a:blip r:embed="rId179"/>
        <a:stretch>
          <a:fillRect/>
        </a:stretch>
      </xdr:blipFill>
      <xdr:spPr>
        <a:xfrm>
          <a:off x="2019300" y="1936750"/>
          <a:ext cx="381000" cy="476250"/>
        </a:xfrm>
        <a:prstGeom prst="rect">
          <a:avLst/>
        </a:prstGeom>
      </xdr:spPr>
    </xdr:pic>
  </etc:cellImage>
  <etc:cellImage>
    <xdr:pic>
      <xdr:nvPicPr>
        <xdr:cNvPr id="208" name="ID_9401A14F3F8B424DA7C155995E7E7309" descr="47-1 雷电长棍面包"/>
        <xdr:cNvPicPr>
          <a:picLocks noChangeAspect="1"/>
        </xdr:cNvPicPr>
      </xdr:nvPicPr>
      <xdr:blipFill>
        <a:blip r:embed="rId230"/>
        <a:stretch>
          <a:fillRect/>
        </a:stretch>
      </xdr:blipFill>
      <xdr:spPr>
        <a:xfrm>
          <a:off x="866775" y="1755775"/>
          <a:ext cx="381000" cy="476250"/>
        </a:xfrm>
        <a:prstGeom prst="rect">
          <a:avLst/>
        </a:prstGeom>
      </xdr:spPr>
    </xdr:pic>
  </etc:cellImage>
  <etc:cellImage>
    <xdr:pic>
      <xdr:nvPicPr>
        <xdr:cNvPr id="871" name="ID_92C40EBDE0DA4821899BC6E076B014E0" descr="1-1-2"/>
        <xdr:cNvPicPr>
          <a:picLocks noChangeAspect="1"/>
        </xdr:cNvPicPr>
      </xdr:nvPicPr>
      <xdr:blipFill>
        <a:blip r:embed="rId72">
          <a:grayscl/>
        </a:blip>
        <a:stretch>
          <a:fillRect/>
        </a:stretch>
      </xdr:blipFill>
      <xdr:spPr>
        <a:xfrm>
          <a:off x="9017635" y="2533650"/>
          <a:ext cx="381000" cy="476250"/>
        </a:xfrm>
        <a:prstGeom prst="rect">
          <a:avLst/>
        </a:prstGeom>
      </xdr:spPr>
    </xdr:pic>
  </etc:cellImage>
  <etc:cellImage>
    <xdr:pic>
      <xdr:nvPicPr>
        <xdr:cNvPr id="240" name="ID_6C18A20604274166A1C900990C5EA6D4" descr="08-1 辣椒粉"/>
        <xdr:cNvPicPr>
          <a:picLocks noChangeAspect="1"/>
        </xdr:cNvPicPr>
      </xdr:nvPicPr>
      <xdr:blipFill>
        <a:blip r:embed="rId231"/>
        <a:stretch>
          <a:fillRect/>
        </a:stretch>
      </xdr:blipFill>
      <xdr:spPr>
        <a:xfrm>
          <a:off x="847725" y="27803475"/>
          <a:ext cx="380365" cy="481330"/>
        </a:xfrm>
        <a:prstGeom prst="rect">
          <a:avLst/>
        </a:prstGeom>
      </xdr:spPr>
    </xdr:pic>
  </etc:cellImage>
  <etc:cellImage>
    <xdr:pic>
      <xdr:nvPicPr>
        <xdr:cNvPr id="209" name="ID_FDD1A16D9B9245D38B82C32163221E3D" descr="47-3 负离子面包"/>
        <xdr:cNvPicPr>
          <a:picLocks noChangeAspect="1"/>
        </xdr:cNvPicPr>
      </xdr:nvPicPr>
      <xdr:blipFill>
        <a:blip r:embed="rId232">
          <a:grayscl/>
        </a:blip>
        <a:stretch>
          <a:fillRect/>
        </a:stretch>
      </xdr:blipFill>
      <xdr:spPr>
        <a:xfrm>
          <a:off x="1447800" y="1774825"/>
          <a:ext cx="381000" cy="476250"/>
        </a:xfrm>
        <a:prstGeom prst="rect">
          <a:avLst/>
        </a:prstGeom>
      </xdr:spPr>
    </xdr:pic>
  </etc:cellImage>
  <etc:cellImage>
    <xdr:pic>
      <xdr:nvPicPr>
        <xdr:cNvPr id="72" name="ID_A30F3F35F84540888EDA7676F4482166" descr="0x12900035"/>
        <xdr:cNvPicPr>
          <a:picLocks noChangeAspect="1"/>
        </xdr:cNvPicPr>
      </xdr:nvPicPr>
      <xdr:blipFill>
        <a:blip r:embed="rId233"/>
        <a:stretch>
          <a:fillRect/>
        </a:stretch>
      </xdr:blipFill>
      <xdr:spPr>
        <a:xfrm>
          <a:off x="7828280" y="1774825"/>
          <a:ext cx="418465" cy="419100"/>
        </a:xfrm>
        <a:prstGeom prst="rect">
          <a:avLst/>
        </a:prstGeom>
      </xdr:spPr>
    </xdr:pic>
  </etc:cellImage>
  <etc:cellImage>
    <xdr:pic>
      <xdr:nvPicPr>
        <xdr:cNvPr id="848" name="ID_48D0F0978CCD476EAFBF95AC23E9351A" descr="2.1肉松清明粿"/>
        <xdr:cNvPicPr>
          <a:picLocks noChangeAspect="1"/>
        </xdr:cNvPicPr>
      </xdr:nvPicPr>
      <xdr:blipFill>
        <a:blip r:embed="rId234"/>
        <a:stretch>
          <a:fillRect/>
        </a:stretch>
      </xdr:blipFill>
      <xdr:spPr>
        <a:xfrm>
          <a:off x="2114550" y="20046950"/>
          <a:ext cx="381000" cy="476250"/>
        </a:xfrm>
        <a:prstGeom prst="rect">
          <a:avLst/>
        </a:prstGeom>
      </xdr:spPr>
    </xdr:pic>
  </etc:cellImage>
  <etc:cellImage>
    <xdr:pic>
      <xdr:nvPicPr>
        <xdr:cNvPr id="64" name="ID_74223B34BB0145C2986BBD1A05A8E3A3" descr="25-3 子母酒瓶弹"/>
        <xdr:cNvPicPr>
          <a:picLocks noChangeAspect="1"/>
        </xdr:cNvPicPr>
      </xdr:nvPicPr>
      <xdr:blipFill>
        <a:blip r:embed="rId235"/>
        <a:stretch>
          <a:fillRect/>
        </a:stretch>
      </xdr:blipFill>
      <xdr:spPr>
        <a:xfrm>
          <a:off x="752475" y="6388100"/>
          <a:ext cx="380365" cy="474980"/>
        </a:xfrm>
        <a:prstGeom prst="rect">
          <a:avLst/>
        </a:prstGeom>
      </xdr:spPr>
    </xdr:pic>
  </etc:cellImage>
  <etc:cellImage>
    <xdr:pic>
      <xdr:nvPicPr>
        <xdr:cNvPr id="872" name="ID_F6CABB9D7CB44875907D47DE21BFFA59" descr="1-1-3"/>
        <xdr:cNvPicPr>
          <a:picLocks noChangeAspect="1"/>
        </xdr:cNvPicPr>
      </xdr:nvPicPr>
      <xdr:blipFill>
        <a:blip r:embed="rId103">
          <a:grayscl/>
        </a:blip>
        <a:stretch>
          <a:fillRect/>
        </a:stretch>
      </xdr:blipFill>
      <xdr:spPr>
        <a:xfrm>
          <a:off x="9627235" y="2476500"/>
          <a:ext cx="381000" cy="476250"/>
        </a:xfrm>
        <a:prstGeom prst="rect">
          <a:avLst/>
        </a:prstGeom>
      </xdr:spPr>
    </xdr:pic>
  </etc:cellImage>
  <etc:cellImage>
    <xdr:pic>
      <xdr:nvPicPr>
        <xdr:cNvPr id="63" name="ID_D877B27F105045D9858FA5F0207A0A73" descr="10-3 燃烧可乐弹"/>
        <xdr:cNvPicPr>
          <a:picLocks noChangeAspect="1"/>
        </xdr:cNvPicPr>
      </xdr:nvPicPr>
      <xdr:blipFill>
        <a:blip r:embed="rId236"/>
        <a:stretch>
          <a:fillRect/>
        </a:stretch>
      </xdr:blipFill>
      <xdr:spPr>
        <a:xfrm>
          <a:off x="114300" y="6321425"/>
          <a:ext cx="380365" cy="474980"/>
        </a:xfrm>
        <a:prstGeom prst="rect">
          <a:avLst/>
        </a:prstGeom>
      </xdr:spPr>
    </xdr:pic>
  </etc:cellImage>
  <etc:cellImage>
    <xdr:pic>
      <xdr:nvPicPr>
        <xdr:cNvPr id="65" name="ID_9AAB9EA9A63C486EA65E649ABFD7A0AC" descr="30-3 汽油干冰弹"/>
        <xdr:cNvPicPr>
          <a:picLocks noChangeAspect="1"/>
        </xdr:cNvPicPr>
      </xdr:nvPicPr>
      <xdr:blipFill>
        <a:blip r:embed="rId237"/>
        <a:stretch>
          <a:fillRect/>
        </a:stretch>
      </xdr:blipFill>
      <xdr:spPr>
        <a:xfrm>
          <a:off x="1400175" y="6359525"/>
          <a:ext cx="381000" cy="476250"/>
        </a:xfrm>
        <a:prstGeom prst="rect">
          <a:avLst/>
        </a:prstGeom>
      </xdr:spPr>
    </xdr:pic>
  </etc:cellImage>
  <etc:cellImage>
    <xdr:pic>
      <xdr:nvPicPr>
        <xdr:cNvPr id="66" name="ID_7A96F5A1675749ECA25BB8CA968D251E" descr="58-1 威士忌炸弹"/>
        <xdr:cNvPicPr>
          <a:picLocks noChangeAspect="1"/>
        </xdr:cNvPicPr>
      </xdr:nvPicPr>
      <xdr:blipFill>
        <a:blip r:embed="rId238"/>
        <a:stretch>
          <a:fillRect/>
        </a:stretch>
      </xdr:blipFill>
      <xdr:spPr>
        <a:xfrm>
          <a:off x="1809750" y="6302375"/>
          <a:ext cx="380365" cy="474980"/>
        </a:xfrm>
        <a:prstGeom prst="rect">
          <a:avLst/>
        </a:prstGeom>
      </xdr:spPr>
    </xdr:pic>
  </etc:cellImage>
  <etc:cellImage>
    <xdr:pic>
      <xdr:nvPicPr>
        <xdr:cNvPr id="60" name="ID_329BB94EBE0B4E54A736C3DDA23D9246" descr="11120510"/>
        <xdr:cNvPicPr>
          <a:picLocks noChangeAspect="1"/>
        </xdr:cNvPicPr>
      </xdr:nvPicPr>
      <xdr:blipFill>
        <a:blip r:embed="rId239"/>
        <a:stretch>
          <a:fillRect/>
        </a:stretch>
      </xdr:blipFill>
      <xdr:spPr>
        <a:xfrm>
          <a:off x="2495550" y="6292850"/>
          <a:ext cx="381000" cy="476250"/>
        </a:xfrm>
        <a:prstGeom prst="rect">
          <a:avLst/>
        </a:prstGeom>
      </xdr:spPr>
    </xdr:pic>
  </etc:cellImage>
  <etc:cellImage>
    <xdr:pic>
      <xdr:nvPicPr>
        <xdr:cNvPr id="61" name="ID_BB2296AB8EBB4D838EB6B47B067F416B" descr="09-3 疫神·潘多拉"/>
        <xdr:cNvPicPr>
          <a:picLocks noChangeAspect="1"/>
        </xdr:cNvPicPr>
      </xdr:nvPicPr>
      <xdr:blipFill>
        <a:blip r:embed="rId240"/>
        <a:stretch>
          <a:fillRect/>
        </a:stretch>
      </xdr:blipFill>
      <xdr:spPr>
        <a:xfrm>
          <a:off x="3057525" y="6292850"/>
          <a:ext cx="381000" cy="476250"/>
        </a:xfrm>
        <a:prstGeom prst="rect">
          <a:avLst/>
        </a:prstGeom>
      </xdr:spPr>
    </xdr:pic>
  </etc:cellImage>
  <etc:cellImage>
    <xdr:pic>
      <xdr:nvPicPr>
        <xdr:cNvPr id="67" name="ID_920A0A5805A349C691911435D4CBB919" descr="爆竹"/>
        <xdr:cNvPicPr>
          <a:picLocks noChangeAspect="1"/>
        </xdr:cNvPicPr>
      </xdr:nvPicPr>
      <xdr:blipFill>
        <a:blip r:embed="rId241"/>
        <a:stretch>
          <a:fillRect/>
        </a:stretch>
      </xdr:blipFill>
      <xdr:spPr>
        <a:xfrm>
          <a:off x="7599680" y="6130925"/>
          <a:ext cx="380365" cy="474980"/>
        </a:xfrm>
        <a:prstGeom prst="rect">
          <a:avLst/>
        </a:prstGeom>
      </xdr:spPr>
    </xdr:pic>
  </etc:cellImage>
  <etc:cellImage>
    <xdr:pic>
      <xdr:nvPicPr>
        <xdr:cNvPr id="68" name="ID_ED9EDF322045482D8D7B224883E1B1DD" descr="日本烟花普通版"/>
        <xdr:cNvPicPr>
          <a:picLocks noChangeAspect="1"/>
        </xdr:cNvPicPr>
      </xdr:nvPicPr>
      <xdr:blipFill>
        <a:blip r:embed="rId242"/>
        <a:stretch>
          <a:fillRect/>
        </a:stretch>
      </xdr:blipFill>
      <xdr:spPr>
        <a:xfrm>
          <a:off x="8361045" y="6445250"/>
          <a:ext cx="376555" cy="474980"/>
        </a:xfrm>
        <a:prstGeom prst="rect">
          <a:avLst/>
        </a:prstGeom>
      </xdr:spPr>
    </xdr:pic>
  </etc:cellImage>
  <etc:cellImage>
    <xdr:pic>
      <xdr:nvPicPr>
        <xdr:cNvPr id="69" name="ID_2ED071A637D04CD1B6382BAF1A85F210" descr="日本烟花华丽版"/>
        <xdr:cNvPicPr>
          <a:picLocks noChangeAspect="1"/>
        </xdr:cNvPicPr>
      </xdr:nvPicPr>
      <xdr:blipFill>
        <a:blip r:embed="rId243"/>
        <a:stretch>
          <a:fillRect/>
        </a:stretch>
      </xdr:blipFill>
      <xdr:spPr>
        <a:xfrm>
          <a:off x="8950960" y="6359525"/>
          <a:ext cx="375920" cy="474980"/>
        </a:xfrm>
        <a:prstGeom prst="rect">
          <a:avLst/>
        </a:prstGeom>
      </xdr:spPr>
    </xdr:pic>
  </etc:cellImage>
  <etc:cellImage>
    <xdr:pic>
      <xdr:nvPicPr>
        <xdr:cNvPr id="70" name="ID_35718638A43F4081B76E5027D585EF25" descr="09-3 水瓶座星宿"/>
        <xdr:cNvPicPr>
          <a:picLocks noChangeAspect="1"/>
        </xdr:cNvPicPr>
      </xdr:nvPicPr>
      <xdr:blipFill>
        <a:blip r:embed="rId244"/>
        <a:stretch>
          <a:fillRect/>
        </a:stretch>
      </xdr:blipFill>
      <xdr:spPr>
        <a:xfrm>
          <a:off x="9455785" y="6330950"/>
          <a:ext cx="380365" cy="476250"/>
        </a:xfrm>
        <a:prstGeom prst="rect">
          <a:avLst/>
        </a:prstGeom>
      </xdr:spPr>
    </xdr:pic>
  </etc:cellImage>
  <etc:cellImage>
    <xdr:pic>
      <xdr:nvPicPr>
        <xdr:cNvPr id="71" name="ID_710639C454154DFCA864BB4285CBD05E" descr="11-3 电磁雷暴猪"/>
        <xdr:cNvPicPr>
          <a:picLocks noChangeAspect="1"/>
        </xdr:cNvPicPr>
      </xdr:nvPicPr>
      <xdr:blipFill>
        <a:blip r:embed="rId245"/>
        <a:stretch>
          <a:fillRect/>
        </a:stretch>
      </xdr:blipFill>
      <xdr:spPr>
        <a:xfrm>
          <a:off x="10046335" y="6245225"/>
          <a:ext cx="381000" cy="476250"/>
        </a:xfrm>
        <a:prstGeom prst="rect">
          <a:avLst/>
        </a:prstGeom>
      </xdr:spPr>
    </xdr:pic>
  </etc:cellImage>
  <etc:cellImage>
    <xdr:pic>
      <xdr:nvPicPr>
        <xdr:cNvPr id="74" name="ID_19464CE7FC384EC9BFF6D0C446B9CD18" descr="27-1 冰桶炸弹"/>
        <xdr:cNvPicPr>
          <a:picLocks noChangeAspect="1"/>
        </xdr:cNvPicPr>
      </xdr:nvPicPr>
      <xdr:blipFill>
        <a:blip r:embed="rId246"/>
        <a:stretch>
          <a:fillRect/>
        </a:stretch>
      </xdr:blipFill>
      <xdr:spPr>
        <a:xfrm>
          <a:off x="1219200" y="10795000"/>
          <a:ext cx="381000" cy="482600"/>
        </a:xfrm>
        <a:prstGeom prst="rect">
          <a:avLst/>
        </a:prstGeom>
      </xdr:spPr>
    </xdr:pic>
  </etc:cellImage>
  <etc:cellImage>
    <xdr:pic>
      <xdr:nvPicPr>
        <xdr:cNvPr id="73" name="ID_23B9D2ACDFDC49D9A7DDF5B2EFC1EFEE" descr="06-3 旋风冰弹喵"/>
        <xdr:cNvPicPr>
          <a:picLocks noChangeAspect="1"/>
        </xdr:cNvPicPr>
      </xdr:nvPicPr>
      <xdr:blipFill>
        <a:blip r:embed="rId247"/>
        <a:stretch>
          <a:fillRect/>
        </a:stretch>
      </xdr:blipFill>
      <xdr:spPr>
        <a:xfrm>
          <a:off x="2000250" y="10785475"/>
          <a:ext cx="381000" cy="476250"/>
        </a:xfrm>
        <a:prstGeom prst="rect">
          <a:avLst/>
        </a:prstGeom>
      </xdr:spPr>
    </xdr:pic>
  </etc:cellImage>
  <etc:cellImage>
    <xdr:pic>
      <xdr:nvPicPr>
        <xdr:cNvPr id="219" name="ID_CAED8B2251C7485588B42927FC563F52" descr="04-1 老鼠夹子"/>
        <xdr:cNvPicPr>
          <a:picLocks noChangeAspect="1"/>
        </xdr:cNvPicPr>
      </xdr:nvPicPr>
      <xdr:blipFill>
        <a:blip r:embed="rId248"/>
        <a:stretch>
          <a:fillRect/>
        </a:stretch>
      </xdr:blipFill>
      <xdr:spPr>
        <a:xfrm>
          <a:off x="171450" y="15749270"/>
          <a:ext cx="381000" cy="476250"/>
        </a:xfrm>
        <a:prstGeom prst="rect">
          <a:avLst/>
        </a:prstGeom>
      </xdr:spPr>
    </xdr:pic>
  </etc:cellImage>
  <etc:cellImage>
    <xdr:pic>
      <xdr:nvPicPr>
        <xdr:cNvPr id="970" name="ID_E00B435B7C2A4BC4B30D7F65DF1BC248" descr="10-3-疫神·潘多拉"/>
        <xdr:cNvPicPr>
          <a:picLocks noChangeAspect="1"/>
        </xdr:cNvPicPr>
      </xdr:nvPicPr>
      <xdr:blipFill>
        <a:blip r:embed="rId249"/>
        <a:stretch>
          <a:fillRect/>
        </a:stretch>
      </xdr:blipFill>
      <xdr:spPr>
        <a:xfrm>
          <a:off x="9097010" y="15146655"/>
          <a:ext cx="536575" cy="469265"/>
        </a:xfrm>
        <a:prstGeom prst="rect">
          <a:avLst/>
        </a:prstGeom>
      </xdr:spPr>
    </xdr:pic>
  </etc:cellImage>
  <etc:cellImage>
    <xdr:pic>
      <xdr:nvPicPr>
        <xdr:cNvPr id="220" name="ID_AFA3C27058624BDD8E1EB23C7CCBE0C0" descr="04-3 黑猫鼠夹"/>
        <xdr:cNvPicPr>
          <a:picLocks noChangeAspect="1"/>
        </xdr:cNvPicPr>
      </xdr:nvPicPr>
      <xdr:blipFill>
        <a:blip r:embed="rId250">
          <a:grayscl/>
        </a:blip>
        <a:stretch>
          <a:fillRect/>
        </a:stretch>
      </xdr:blipFill>
      <xdr:spPr>
        <a:xfrm>
          <a:off x="752475" y="15749270"/>
          <a:ext cx="381000" cy="476250"/>
        </a:xfrm>
        <a:prstGeom prst="rect">
          <a:avLst/>
        </a:prstGeom>
      </xdr:spPr>
    </xdr:pic>
  </etc:cellImage>
  <etc:cellImage>
    <xdr:pic>
      <xdr:nvPicPr>
        <xdr:cNvPr id="221" name="ID_EB8A18277849431085FCF088920D224F" descr="44-1 麻辣串炸弹"/>
        <xdr:cNvPicPr>
          <a:picLocks noChangeAspect="1"/>
        </xdr:cNvPicPr>
      </xdr:nvPicPr>
      <xdr:blipFill>
        <a:blip r:embed="rId251"/>
        <a:stretch>
          <a:fillRect/>
        </a:stretch>
      </xdr:blipFill>
      <xdr:spPr>
        <a:xfrm>
          <a:off x="1333500" y="15749270"/>
          <a:ext cx="381000" cy="476250"/>
        </a:xfrm>
        <a:prstGeom prst="rect">
          <a:avLst/>
        </a:prstGeom>
      </xdr:spPr>
    </xdr:pic>
  </etc:cellImage>
  <etc:cellImage>
    <xdr:pic>
      <xdr:nvPicPr>
        <xdr:cNvPr id="235" name="ID_8D3B0110D1EE4A2A91E119E9C43046E0" descr="玉兔灯笼"/>
        <xdr:cNvPicPr>
          <a:picLocks noChangeAspect="1"/>
        </xdr:cNvPicPr>
      </xdr:nvPicPr>
      <xdr:blipFill>
        <a:blip r:embed="rId252"/>
        <a:stretch>
          <a:fillRect/>
        </a:stretch>
      </xdr:blipFill>
      <xdr:spPr>
        <a:xfrm>
          <a:off x="8970010" y="15768320"/>
          <a:ext cx="381000" cy="476250"/>
        </a:xfrm>
        <a:prstGeom prst="rect">
          <a:avLst/>
        </a:prstGeom>
      </xdr:spPr>
    </xdr:pic>
  </etc:cellImage>
  <etc:cellImage>
    <xdr:pic>
      <xdr:nvPicPr>
        <xdr:cNvPr id="234" name="ID_A40801EDE08A426BA58A6AF62B65F02D" descr="竹筒粽子"/>
        <xdr:cNvPicPr>
          <a:picLocks noChangeAspect="1"/>
        </xdr:cNvPicPr>
      </xdr:nvPicPr>
      <xdr:blipFill>
        <a:blip r:embed="rId253"/>
        <a:stretch>
          <a:fillRect/>
        </a:stretch>
      </xdr:blipFill>
      <xdr:spPr>
        <a:xfrm>
          <a:off x="9646285" y="15806420"/>
          <a:ext cx="381000" cy="476250"/>
        </a:xfrm>
        <a:prstGeom prst="rect">
          <a:avLst/>
        </a:prstGeom>
      </xdr:spPr>
    </xdr:pic>
  </etc:cellImage>
  <etc:cellImage>
    <xdr:pic>
      <xdr:nvPicPr>
        <xdr:cNvPr id="241" name="ID_5BF227D18B75470895164BDB8FBCFF66" descr="月蟾兔"/>
        <xdr:cNvPicPr>
          <a:picLocks noChangeAspect="1"/>
        </xdr:cNvPicPr>
      </xdr:nvPicPr>
      <xdr:blipFill>
        <a:blip r:embed="rId129"/>
        <a:stretch>
          <a:fillRect/>
        </a:stretch>
      </xdr:blipFill>
      <xdr:spPr>
        <a:xfrm>
          <a:off x="1266825" y="27927300"/>
          <a:ext cx="381000" cy="476250"/>
        </a:xfrm>
        <a:prstGeom prst="rect">
          <a:avLst/>
        </a:prstGeom>
      </xdr:spPr>
    </xdr:pic>
  </etc:cellImage>
  <etc:cellImage>
    <xdr:pic>
      <xdr:nvPicPr>
        <xdr:cNvPr id="242" name="ID_728A377F6AA74FA99D8890ECCACFB20F" descr="12-3 魔幻爆炸汪"/>
        <xdr:cNvPicPr>
          <a:picLocks noChangeAspect="1"/>
        </xdr:cNvPicPr>
      </xdr:nvPicPr>
      <xdr:blipFill>
        <a:blip r:embed="rId254"/>
        <a:stretch>
          <a:fillRect/>
        </a:stretch>
      </xdr:blipFill>
      <xdr:spPr>
        <a:xfrm>
          <a:off x="1914525" y="27889200"/>
          <a:ext cx="381000" cy="476250"/>
        </a:xfrm>
        <a:prstGeom prst="rect">
          <a:avLst/>
        </a:prstGeom>
      </xdr:spPr>
    </xdr:pic>
  </etc:cellImage>
  <etc:cellImage>
    <xdr:pic>
      <xdr:nvPicPr>
        <xdr:cNvPr id="243" name="ID_D4A3455E0A7F471C8A67CDDBAF81726B" descr="10周年烟花"/>
        <xdr:cNvPicPr>
          <a:picLocks noChangeAspect="1"/>
        </xdr:cNvPicPr>
      </xdr:nvPicPr>
      <xdr:blipFill>
        <a:blip r:embed="rId255"/>
        <a:stretch>
          <a:fillRect/>
        </a:stretch>
      </xdr:blipFill>
      <xdr:spPr>
        <a:xfrm>
          <a:off x="2019300" y="27832050"/>
          <a:ext cx="381000" cy="476250"/>
        </a:xfrm>
        <a:prstGeom prst="rect">
          <a:avLst/>
        </a:prstGeom>
      </xdr:spPr>
    </xdr:pic>
  </etc:cellImage>
  <etc:cellImage>
    <xdr:pic>
      <xdr:nvPicPr>
        <xdr:cNvPr id="244" name="ID_3A8E21E44EC344FEAAC119B1449935C7" descr="06-3 辛辣芥末牛"/>
        <xdr:cNvPicPr>
          <a:picLocks noChangeAspect="1"/>
        </xdr:cNvPicPr>
      </xdr:nvPicPr>
      <xdr:blipFill>
        <a:blip r:embed="rId256"/>
        <a:stretch>
          <a:fillRect/>
        </a:stretch>
      </xdr:blipFill>
      <xdr:spPr>
        <a:xfrm>
          <a:off x="2571750" y="27927300"/>
          <a:ext cx="381000" cy="476250"/>
        </a:xfrm>
        <a:prstGeom prst="rect">
          <a:avLst/>
        </a:prstGeom>
      </xdr:spPr>
    </xdr:pic>
  </etc:cellImage>
  <etc:cellImage>
    <xdr:pic>
      <xdr:nvPicPr>
        <xdr:cNvPr id="306" name="ID_40C0265974D84299A50981CBFE2E6A31" descr="2-3皇室娇娇虎"/>
        <xdr:cNvPicPr>
          <a:picLocks noChangeAspect="1"/>
        </xdr:cNvPicPr>
      </xdr:nvPicPr>
      <xdr:blipFill>
        <a:blip r:embed="rId257"/>
        <a:stretch>
          <a:fillRect/>
        </a:stretch>
      </xdr:blipFill>
      <xdr:spPr>
        <a:xfrm>
          <a:off x="1557020" y="25045670"/>
          <a:ext cx="381000" cy="482600"/>
        </a:xfrm>
        <a:prstGeom prst="rect">
          <a:avLst/>
        </a:prstGeom>
      </xdr:spPr>
    </xdr:pic>
  </etc:cellImage>
  <etc:cellImage>
    <xdr:pic>
      <xdr:nvPicPr>
        <xdr:cNvPr id="883" name="ID_A946BF4B67C1478A91178C42C59499AA" descr="1.1爆辣河豚"/>
        <xdr:cNvPicPr>
          <a:picLocks noChangeAspect="1"/>
        </xdr:cNvPicPr>
      </xdr:nvPicPr>
      <xdr:blipFill>
        <a:blip r:embed="rId258"/>
        <a:stretch>
          <a:fillRect/>
        </a:stretch>
      </xdr:blipFill>
      <xdr:spPr>
        <a:xfrm>
          <a:off x="9460230" y="30036770"/>
          <a:ext cx="381000" cy="476250"/>
        </a:xfrm>
        <a:prstGeom prst="rect">
          <a:avLst/>
        </a:prstGeom>
      </xdr:spPr>
    </xdr:pic>
  </etc:cellImage>
  <etc:cellImage>
    <xdr:pic>
      <xdr:nvPicPr>
        <xdr:cNvPr id="294" name="ID_2ED63B0417E3436FB402009401D7D4FA" descr="7-1"/>
        <xdr:cNvPicPr>
          <a:picLocks noChangeAspect="1"/>
        </xdr:cNvPicPr>
      </xdr:nvPicPr>
      <xdr:blipFill>
        <a:blip r:embed="rId259"/>
        <a:stretch>
          <a:fillRect/>
        </a:stretch>
      </xdr:blipFill>
      <xdr:spPr>
        <a:xfrm>
          <a:off x="10198735" y="13100050"/>
          <a:ext cx="381000" cy="476250"/>
        </a:xfrm>
        <a:prstGeom prst="rect">
          <a:avLst/>
        </a:prstGeom>
      </xdr:spPr>
    </xdr:pic>
  </etc:cellImage>
  <etc:cellImage>
    <xdr:pic>
      <xdr:nvPicPr>
        <xdr:cNvPr id="225" name="ID_54BDF5134B1448F5BA256200369235C1" descr="60-3 冰河世纪榴莲"/>
        <xdr:cNvPicPr>
          <a:picLocks noChangeAspect="1"/>
        </xdr:cNvPicPr>
      </xdr:nvPicPr>
      <xdr:blipFill>
        <a:blip r:embed="rId260"/>
        <a:stretch>
          <a:fillRect/>
        </a:stretch>
      </xdr:blipFill>
      <xdr:spPr>
        <a:xfrm>
          <a:off x="933450" y="20427950"/>
          <a:ext cx="381000" cy="476250"/>
        </a:xfrm>
        <a:prstGeom prst="rect">
          <a:avLst/>
        </a:prstGeom>
      </xdr:spPr>
    </xdr:pic>
  </etc:cellImage>
  <etc:cellImage>
    <xdr:pic>
      <xdr:nvPicPr>
        <xdr:cNvPr id="290" name="ID_AACE4A477C2F4558B536690269ED7919" descr="16-3 鼠鼠逗猫棒"/>
        <xdr:cNvPicPr>
          <a:picLocks noChangeAspect="1"/>
        </xdr:cNvPicPr>
      </xdr:nvPicPr>
      <xdr:blipFill>
        <a:blip r:embed="rId261"/>
        <a:stretch>
          <a:fillRect/>
        </a:stretch>
      </xdr:blipFill>
      <xdr:spPr>
        <a:xfrm>
          <a:off x="8931910" y="13171170"/>
          <a:ext cx="381000" cy="476250"/>
        </a:xfrm>
        <a:prstGeom prst="rect">
          <a:avLst/>
        </a:prstGeom>
      </xdr:spPr>
    </xdr:pic>
  </etc:cellImage>
  <etc:cellImage>
    <xdr:pic>
      <xdr:nvPicPr>
        <xdr:cNvPr id="280" name="ID_DA93BB2400E242B78B2E4780FFE3A70E" descr="11-1 白羊座精灵"/>
        <xdr:cNvPicPr>
          <a:picLocks noChangeAspect="1"/>
        </xdr:cNvPicPr>
      </xdr:nvPicPr>
      <xdr:blipFill>
        <a:blip r:embed="rId262"/>
        <a:stretch>
          <a:fillRect/>
        </a:stretch>
      </xdr:blipFill>
      <xdr:spPr>
        <a:xfrm>
          <a:off x="7771130" y="13171170"/>
          <a:ext cx="381000" cy="476250"/>
        </a:xfrm>
        <a:prstGeom prst="rect">
          <a:avLst/>
        </a:prstGeom>
      </xdr:spPr>
    </xdr:pic>
  </etc:cellImage>
  <etc:cellImage>
    <xdr:pic>
      <xdr:nvPicPr>
        <xdr:cNvPr id="292" name="ID_C02B4419F8BD4745B27CF74DFBF14EDD" descr="05-3 乾坤分身袋"/>
        <xdr:cNvPicPr>
          <a:picLocks noChangeAspect="1"/>
        </xdr:cNvPicPr>
      </xdr:nvPicPr>
      <xdr:blipFill>
        <a:blip r:embed="rId263"/>
        <a:stretch>
          <a:fillRect/>
        </a:stretch>
      </xdr:blipFill>
      <xdr:spPr>
        <a:xfrm>
          <a:off x="1428750" y="13094970"/>
          <a:ext cx="381000" cy="476250"/>
        </a:xfrm>
        <a:prstGeom prst="rect">
          <a:avLst/>
        </a:prstGeom>
      </xdr:spPr>
    </xdr:pic>
  </etc:cellImage>
  <etc:cellImage>
    <xdr:pic>
      <xdr:nvPicPr>
        <xdr:cNvPr id="291" name="ID_B981092438704F339392241D99F9B6B7" descr="金牛烟花"/>
        <xdr:cNvPicPr>
          <a:picLocks noChangeAspect="1"/>
        </xdr:cNvPicPr>
      </xdr:nvPicPr>
      <xdr:blipFill>
        <a:blip r:embed="rId264"/>
        <a:stretch>
          <a:fillRect/>
        </a:stretch>
      </xdr:blipFill>
      <xdr:spPr>
        <a:xfrm>
          <a:off x="9512935" y="13171170"/>
          <a:ext cx="381000" cy="476250"/>
        </a:xfrm>
        <a:prstGeom prst="rect">
          <a:avLst/>
        </a:prstGeom>
      </xdr:spPr>
    </xdr:pic>
  </etc:cellImage>
  <etc:cellImage>
    <xdr:pic>
      <xdr:nvPicPr>
        <xdr:cNvPr id="289" name="ID_A84929B096834DBF8C1F07251F2059D4" descr="630403b488679522684cf63d3a0bb0e7_0x1112008f_1.20180703140621155612561182742"/>
        <xdr:cNvPicPr>
          <a:picLocks noChangeAspect="1"/>
        </xdr:cNvPicPr>
      </xdr:nvPicPr>
      <xdr:blipFill>
        <a:blip r:embed="rId265"/>
        <a:stretch>
          <a:fillRect/>
        </a:stretch>
      </xdr:blipFill>
      <xdr:spPr>
        <a:xfrm>
          <a:off x="8351520" y="13167995"/>
          <a:ext cx="381000" cy="482600"/>
        </a:xfrm>
        <a:prstGeom prst="rect">
          <a:avLst/>
        </a:prstGeom>
      </xdr:spPr>
    </xdr:pic>
  </etc:cellImage>
  <etc:cellImage>
    <xdr:pic>
      <xdr:nvPicPr>
        <xdr:cNvPr id="293" name="ID_B1961608BF6A44218A49AE6ACF2F7C78" descr="椰子果"/>
        <xdr:cNvPicPr>
          <a:picLocks noChangeAspect="1"/>
        </xdr:cNvPicPr>
      </xdr:nvPicPr>
      <xdr:blipFill>
        <a:blip r:embed="rId266"/>
        <a:stretch>
          <a:fillRect/>
        </a:stretch>
      </xdr:blipFill>
      <xdr:spPr>
        <a:xfrm>
          <a:off x="2009775" y="13094970"/>
          <a:ext cx="381000" cy="476250"/>
        </a:xfrm>
        <a:prstGeom prst="rect">
          <a:avLst/>
        </a:prstGeom>
      </xdr:spPr>
    </xdr:pic>
  </etc:cellImage>
  <etc:cellImage>
    <xdr:pic>
      <xdr:nvPicPr>
        <xdr:cNvPr id="226" name="ID_018736DEED2B46A9BEB594F99DC802CE" descr="美味电鳗"/>
        <xdr:cNvPicPr>
          <a:picLocks noChangeAspect="1"/>
        </xdr:cNvPicPr>
      </xdr:nvPicPr>
      <xdr:blipFill>
        <a:blip r:embed="rId267"/>
        <a:stretch>
          <a:fillRect/>
        </a:stretch>
      </xdr:blipFill>
      <xdr:spPr>
        <a:xfrm>
          <a:off x="1228725" y="20361275"/>
          <a:ext cx="381000" cy="482600"/>
        </a:xfrm>
        <a:prstGeom prst="rect">
          <a:avLst/>
        </a:prstGeom>
      </xdr:spPr>
    </xdr:pic>
  </etc:cellImage>
  <etc:cellImage>
    <xdr:pic>
      <xdr:nvPicPr>
        <xdr:cNvPr id="214" name="ID_AB38C4507D604175A9AE7A87A7593E21" descr="8-3可可大福虎"/>
        <xdr:cNvPicPr>
          <a:picLocks noChangeAspect="1"/>
        </xdr:cNvPicPr>
      </xdr:nvPicPr>
      <xdr:blipFill>
        <a:blip r:embed="rId268"/>
        <a:stretch>
          <a:fillRect/>
        </a:stretch>
      </xdr:blipFill>
      <xdr:spPr>
        <a:xfrm>
          <a:off x="9541510" y="37123370"/>
          <a:ext cx="381000" cy="482600"/>
        </a:xfrm>
        <a:prstGeom prst="rect">
          <a:avLst/>
        </a:prstGeom>
      </xdr:spPr>
    </xdr:pic>
  </etc:cellImage>
  <etc:cellImage>
    <xdr:pic>
      <xdr:nvPicPr>
        <xdr:cNvPr id="227" name="ID_1CDFCDBA1A8241D2AFA655E109F1B8CC" descr="10-3 电音镭射喵"/>
        <xdr:cNvPicPr>
          <a:picLocks noChangeAspect="1"/>
        </xdr:cNvPicPr>
      </xdr:nvPicPr>
      <xdr:blipFill>
        <a:blip r:embed="rId269"/>
        <a:stretch>
          <a:fillRect/>
        </a:stretch>
      </xdr:blipFill>
      <xdr:spPr>
        <a:xfrm>
          <a:off x="2047875" y="20466050"/>
          <a:ext cx="380365" cy="474980"/>
        </a:xfrm>
        <a:prstGeom prst="rect">
          <a:avLst/>
        </a:prstGeom>
      </xdr:spPr>
    </xdr:pic>
  </etc:cellImage>
  <etc:cellImage>
    <xdr:pic>
      <xdr:nvPicPr>
        <xdr:cNvPr id="229" name="ID_18FE2BBA24344C76B20F5C18FEBAEFB2" descr="61-3 九天皓日火龙果"/>
        <xdr:cNvPicPr>
          <a:picLocks noChangeAspect="1"/>
        </xdr:cNvPicPr>
      </xdr:nvPicPr>
      <xdr:blipFill>
        <a:blip r:embed="rId270"/>
        <a:stretch>
          <a:fillRect/>
        </a:stretch>
      </xdr:blipFill>
      <xdr:spPr>
        <a:xfrm>
          <a:off x="9046210" y="20342225"/>
          <a:ext cx="381000" cy="476250"/>
        </a:xfrm>
        <a:prstGeom prst="rect">
          <a:avLst/>
        </a:prstGeom>
      </xdr:spPr>
    </xdr:pic>
  </etc:cellImage>
  <etc:cellImage>
    <xdr:pic>
      <xdr:nvPicPr>
        <xdr:cNvPr id="230" name="ID_EA90B260038A4D9780746A687F9F61AC" descr="12-1 摩羯座精灵"/>
        <xdr:cNvPicPr>
          <a:picLocks noChangeAspect="1"/>
        </xdr:cNvPicPr>
      </xdr:nvPicPr>
      <xdr:blipFill>
        <a:blip r:embed="rId271"/>
        <a:stretch>
          <a:fillRect/>
        </a:stretch>
      </xdr:blipFill>
      <xdr:spPr>
        <a:xfrm>
          <a:off x="9446260" y="20332700"/>
          <a:ext cx="381000" cy="476250"/>
        </a:xfrm>
        <a:prstGeom prst="rect">
          <a:avLst/>
        </a:prstGeom>
      </xdr:spPr>
    </xdr:pic>
  </etc:cellImage>
  <etc:cellImage>
    <xdr:pic>
      <xdr:nvPicPr>
        <xdr:cNvPr id="245" name="ID_0EB5F14A9BD9496C9801A93CD267A672" descr="17-1 钢丝球"/>
        <xdr:cNvPicPr>
          <a:picLocks noChangeAspect="1"/>
        </xdr:cNvPicPr>
      </xdr:nvPicPr>
      <xdr:blipFill>
        <a:blip r:embed="rId272"/>
        <a:stretch>
          <a:fillRect/>
        </a:stretch>
      </xdr:blipFill>
      <xdr:spPr>
        <a:xfrm>
          <a:off x="1362075" y="32886650"/>
          <a:ext cx="381000" cy="479425"/>
        </a:xfrm>
        <a:prstGeom prst="rect">
          <a:avLst/>
        </a:prstGeom>
      </xdr:spPr>
    </xdr:pic>
  </etc:cellImage>
  <etc:cellImage>
    <xdr:pic>
      <xdr:nvPicPr>
        <xdr:cNvPr id="246" name="ID_7254D72746EF4518970ABF112104494A" descr="炸地鼠爆竹"/>
        <xdr:cNvPicPr>
          <a:picLocks noChangeAspect="1"/>
        </xdr:cNvPicPr>
      </xdr:nvPicPr>
      <xdr:blipFill>
        <a:blip r:embed="rId273"/>
        <a:stretch>
          <a:fillRect/>
        </a:stretch>
      </xdr:blipFill>
      <xdr:spPr>
        <a:xfrm>
          <a:off x="1895475" y="33010475"/>
          <a:ext cx="381000" cy="476250"/>
        </a:xfrm>
        <a:prstGeom prst="rect">
          <a:avLst/>
        </a:prstGeom>
      </xdr:spPr>
    </xdr:pic>
  </etc:cellImage>
  <etc:cellImage>
    <xdr:pic>
      <xdr:nvPicPr>
        <xdr:cNvPr id="215" name="ID_BD4F342D684241EE9B1E162888BD57C5" descr="11120520 c"/>
        <xdr:cNvPicPr>
          <a:picLocks noChangeAspect="1"/>
        </xdr:cNvPicPr>
      </xdr:nvPicPr>
      <xdr:blipFill>
        <a:blip r:embed="rId274"/>
        <a:stretch>
          <a:fillRect/>
        </a:stretch>
      </xdr:blipFill>
      <xdr:spPr>
        <a:xfrm>
          <a:off x="1576070" y="37031295"/>
          <a:ext cx="381000" cy="476250"/>
        </a:xfrm>
        <a:prstGeom prst="rect">
          <a:avLst/>
        </a:prstGeom>
      </xdr:spPr>
    </xdr:pic>
  </etc:cellImage>
  <etc:cellImage>
    <xdr:pic>
      <xdr:nvPicPr>
        <xdr:cNvPr id="213" name="ID_0803C8FF46EF4B8290D4A8AD1FE85115" descr="11120480-3-s"/>
        <xdr:cNvPicPr>
          <a:picLocks noChangeAspect="1"/>
        </xdr:cNvPicPr>
      </xdr:nvPicPr>
      <xdr:blipFill>
        <a:blip r:embed="rId275"/>
        <a:stretch>
          <a:fillRect/>
        </a:stretch>
      </xdr:blipFill>
      <xdr:spPr>
        <a:xfrm>
          <a:off x="8893810" y="36980495"/>
          <a:ext cx="381000" cy="482600"/>
        </a:xfrm>
        <a:prstGeom prst="rect">
          <a:avLst/>
        </a:prstGeom>
      </xdr:spPr>
    </xdr:pic>
  </etc:cellImage>
  <etc:cellImage>
    <xdr:pic>
      <xdr:nvPicPr>
        <xdr:cNvPr id="85" name="ID_005268EE918D40DFA64C83FF391DE5DA" descr="极寒冰沙"/>
        <xdr:cNvPicPr>
          <a:picLocks noChangeAspect="1"/>
        </xdr:cNvPicPr>
      </xdr:nvPicPr>
      <xdr:blipFill>
        <a:blip r:embed="rId276">
          <a:grayscl/>
        </a:blip>
        <a:stretch>
          <a:fillRect/>
        </a:stretch>
      </xdr:blipFill>
      <xdr:spPr>
        <a:xfrm>
          <a:off x="9175115" y="1652905"/>
          <a:ext cx="380365" cy="481330"/>
        </a:xfrm>
        <a:prstGeom prst="rect">
          <a:avLst/>
        </a:prstGeom>
      </xdr:spPr>
    </xdr:pic>
  </etc:cellImage>
  <etc:cellImage>
    <xdr:pic>
      <xdr:nvPicPr>
        <xdr:cNvPr id="56" name="ID_BB3976F750BD44DDB12F3E6F82A0FCC5" descr="至尊圣诞包裹"/>
        <xdr:cNvPicPr>
          <a:picLocks noChangeAspect="1"/>
        </xdr:cNvPicPr>
      </xdr:nvPicPr>
      <xdr:blipFill>
        <a:blip r:embed="rId277"/>
        <a:stretch>
          <a:fillRect/>
        </a:stretch>
      </xdr:blipFill>
      <xdr:spPr>
        <a:xfrm>
          <a:off x="1952625" y="1822450"/>
          <a:ext cx="381000" cy="482600"/>
        </a:xfrm>
        <a:prstGeom prst="rect">
          <a:avLst/>
        </a:prstGeom>
      </xdr:spPr>
    </xdr:pic>
  </etc:cellImage>
  <etc:cellImage>
    <xdr:pic>
      <xdr:nvPicPr>
        <xdr:cNvPr id="26" name="ID_12929B1506444B86B383FFFBB60C0904" descr="48-3 极寒冰沙"/>
        <xdr:cNvPicPr>
          <a:picLocks noChangeAspect="1"/>
        </xdr:cNvPicPr>
      </xdr:nvPicPr>
      <xdr:blipFill>
        <a:blip r:embed="rId276"/>
        <a:stretch>
          <a:fillRect/>
        </a:stretch>
      </xdr:blipFill>
      <xdr:spPr>
        <a:xfrm>
          <a:off x="790575" y="1812925"/>
          <a:ext cx="380365" cy="478155"/>
        </a:xfrm>
        <a:prstGeom prst="rect">
          <a:avLst/>
        </a:prstGeom>
      </xdr:spPr>
    </xdr:pic>
  </etc:cellImage>
  <etc:cellImage>
    <xdr:pic>
      <xdr:nvPicPr>
        <xdr:cNvPr id="79" name="ID_A645C85702804F89A4B8B04740A1EFAC" descr="05-3 神力天使猪"/>
        <xdr:cNvPicPr>
          <a:picLocks noChangeAspect="1"/>
        </xdr:cNvPicPr>
      </xdr:nvPicPr>
      <xdr:blipFill>
        <a:blip r:embed="rId278"/>
        <a:stretch>
          <a:fillRect/>
        </a:stretch>
      </xdr:blipFill>
      <xdr:spPr>
        <a:xfrm>
          <a:off x="2543175" y="1812925"/>
          <a:ext cx="381000" cy="476250"/>
        </a:xfrm>
        <a:prstGeom prst="rect">
          <a:avLst/>
        </a:prstGeom>
      </xdr:spPr>
    </xdr:pic>
  </etc:cellImage>
  <etc:cellImage>
    <xdr:pic>
      <xdr:nvPicPr>
        <xdr:cNvPr id="55" name="ID_08769320AA724096B72C5009141DF7ED" descr="12-3 导师幻幻鸡"/>
        <xdr:cNvPicPr>
          <a:picLocks noChangeAspect="1"/>
        </xdr:cNvPicPr>
      </xdr:nvPicPr>
      <xdr:blipFill>
        <a:blip r:embed="rId279"/>
        <a:stretch>
          <a:fillRect/>
        </a:stretch>
      </xdr:blipFill>
      <xdr:spPr>
        <a:xfrm>
          <a:off x="1323975" y="1908175"/>
          <a:ext cx="381000" cy="476250"/>
        </a:xfrm>
        <a:prstGeom prst="rect">
          <a:avLst/>
        </a:prstGeom>
      </xdr:spPr>
    </xdr:pic>
  </etc:cellImage>
  <etc:cellImage>
    <xdr:pic>
      <xdr:nvPicPr>
        <xdr:cNvPr id="981" name="ID_1CF0813B32054CC9AE4416E7D749A801" descr="2.1肉松清明粿"/>
        <xdr:cNvPicPr>
          <a:picLocks noChangeAspect="1"/>
        </xdr:cNvPicPr>
      </xdr:nvPicPr>
      <xdr:blipFill>
        <a:blip r:embed="rId234"/>
        <a:stretch>
          <a:fillRect/>
        </a:stretch>
      </xdr:blipFill>
      <xdr:spPr>
        <a:xfrm>
          <a:off x="1800225" y="5382895"/>
          <a:ext cx="381000" cy="476250"/>
        </a:xfrm>
        <a:prstGeom prst="rect">
          <a:avLst/>
        </a:prstGeom>
      </xdr:spPr>
    </xdr:pic>
  </etc:cellImage>
  <etc:cellImage>
    <xdr:pic>
      <xdr:nvPicPr>
        <xdr:cNvPr id="977" name="ID_01E74CE5BB5246EE8607851E0F49B9FD" descr="28-2 高亮油灯"/>
        <xdr:cNvPicPr>
          <a:picLocks noChangeAspect="1"/>
        </xdr:cNvPicPr>
      </xdr:nvPicPr>
      <xdr:blipFill>
        <a:blip r:embed="rId280"/>
        <a:stretch>
          <a:fillRect/>
        </a:stretch>
      </xdr:blipFill>
      <xdr:spPr>
        <a:xfrm>
          <a:off x="638175" y="5383530"/>
          <a:ext cx="380365" cy="474980"/>
        </a:xfrm>
        <a:prstGeom prst="rect">
          <a:avLst/>
        </a:prstGeom>
      </xdr:spPr>
    </xdr:pic>
  </etc:cellImage>
  <etc:cellImage>
    <xdr:pic>
      <xdr:nvPicPr>
        <xdr:cNvPr id="980" name="ID_39EC644208F34360A2FD9A5BFC4422F5" descr="南瓜灯"/>
        <xdr:cNvPicPr>
          <a:picLocks noChangeAspect="1"/>
        </xdr:cNvPicPr>
      </xdr:nvPicPr>
      <xdr:blipFill>
        <a:blip r:embed="rId281"/>
        <a:stretch>
          <a:fillRect/>
        </a:stretch>
      </xdr:blipFill>
      <xdr:spPr>
        <a:xfrm>
          <a:off x="1219200" y="5383530"/>
          <a:ext cx="380365" cy="474980"/>
        </a:xfrm>
        <a:prstGeom prst="rect">
          <a:avLst/>
        </a:prstGeom>
      </xdr:spPr>
    </xdr:pic>
  </etc:cellImage>
  <etc:cellImage>
    <xdr:pic>
      <xdr:nvPicPr>
        <xdr:cNvPr id="982" name="ID_54F95748C7644E85A04C9B5003C8FDF2" descr="防萤灯笼草"/>
        <xdr:cNvPicPr>
          <a:picLocks noChangeAspect="1"/>
        </xdr:cNvPicPr>
      </xdr:nvPicPr>
      <xdr:blipFill>
        <a:blip r:embed="rId282"/>
        <a:stretch>
          <a:fillRect/>
        </a:stretch>
      </xdr:blipFill>
      <xdr:spPr>
        <a:xfrm>
          <a:off x="2486025" y="5435600"/>
          <a:ext cx="381000" cy="476250"/>
        </a:xfrm>
        <a:prstGeom prst="rect">
          <a:avLst/>
        </a:prstGeom>
      </xdr:spPr>
    </xdr:pic>
  </etc:cellImage>
  <etc:cellImage>
    <xdr:pic>
      <xdr:nvPicPr>
        <xdr:cNvPr id="90" name="ID_B628D53AC97B4258B59F5933010EB2A5" descr="29-1 换气扇"/>
        <xdr:cNvPicPr>
          <a:picLocks noChangeAspect="1"/>
        </xdr:cNvPicPr>
      </xdr:nvPicPr>
      <xdr:blipFill>
        <a:blip r:embed="rId283"/>
        <a:stretch>
          <a:fillRect/>
        </a:stretch>
      </xdr:blipFill>
      <xdr:spPr>
        <a:xfrm>
          <a:off x="8950960" y="4791075"/>
          <a:ext cx="381000" cy="476250"/>
        </a:xfrm>
        <a:prstGeom prst="rect">
          <a:avLst/>
        </a:prstGeom>
      </xdr:spPr>
    </xdr:pic>
  </etc:cellImage>
  <etc:cellImage>
    <xdr:pic>
      <xdr:nvPicPr>
        <xdr:cNvPr id="105" name="ID_7BDE4AEF507C46E39DD7644117B2636D" descr="9周年幸运草扇"/>
        <xdr:cNvPicPr>
          <a:picLocks noChangeAspect="1"/>
        </xdr:cNvPicPr>
      </xdr:nvPicPr>
      <xdr:blipFill>
        <a:blip r:embed="rId284"/>
        <a:stretch>
          <a:fillRect/>
        </a:stretch>
      </xdr:blipFill>
      <xdr:spPr>
        <a:xfrm>
          <a:off x="9598660" y="4752975"/>
          <a:ext cx="381000" cy="476250"/>
        </a:xfrm>
        <a:prstGeom prst="rect">
          <a:avLst/>
        </a:prstGeom>
      </xdr:spPr>
    </xdr:pic>
  </etc:cellImage>
  <etc:cellImage>
    <xdr:pic>
      <xdr:nvPicPr>
        <xdr:cNvPr id="116" name="ID_BCD74278CA0846998EBE9676E8AC0D7D" descr="11-3 酷炫爆爆鸡"/>
        <xdr:cNvPicPr>
          <a:picLocks noChangeAspect="1"/>
        </xdr:cNvPicPr>
      </xdr:nvPicPr>
      <xdr:blipFill>
        <a:blip r:embed="rId285"/>
        <a:stretch>
          <a:fillRect/>
        </a:stretch>
      </xdr:blipFill>
      <xdr:spPr>
        <a:xfrm>
          <a:off x="876300" y="7473950"/>
          <a:ext cx="381000" cy="476250"/>
        </a:xfrm>
        <a:prstGeom prst="rect">
          <a:avLst/>
        </a:prstGeom>
      </xdr:spPr>
    </xdr:pic>
  </etc:cellImage>
  <etc:cellImage>
    <xdr:pic>
      <xdr:nvPicPr>
        <xdr:cNvPr id="117" name="ID_FD631B39435949FCA06CE7AF96E67BC6" descr="10-3 核能清障猪"/>
        <xdr:cNvPicPr>
          <a:picLocks noChangeAspect="1"/>
        </xdr:cNvPicPr>
      </xdr:nvPicPr>
      <xdr:blipFill>
        <a:blip r:embed="rId286"/>
        <a:stretch>
          <a:fillRect/>
        </a:stretch>
      </xdr:blipFill>
      <xdr:spPr>
        <a:xfrm>
          <a:off x="1485900" y="7512050"/>
          <a:ext cx="381000" cy="482600"/>
        </a:xfrm>
        <a:prstGeom prst="rect">
          <a:avLst/>
        </a:prstGeom>
      </xdr:spPr>
    </xdr:pic>
  </etc:cellImage>
  <etc:cellImage>
    <xdr:pic>
      <xdr:nvPicPr>
        <xdr:cNvPr id="118" name="ID_3F9B97FAEE0B4183A3F735F178D7BD57" descr="05-3 极速旋风牛"/>
        <xdr:cNvPicPr>
          <a:picLocks noChangeAspect="1"/>
        </xdr:cNvPicPr>
      </xdr:nvPicPr>
      <xdr:blipFill>
        <a:blip r:embed="rId287"/>
        <a:stretch>
          <a:fillRect/>
        </a:stretch>
      </xdr:blipFill>
      <xdr:spPr>
        <a:xfrm>
          <a:off x="2009775" y="7483475"/>
          <a:ext cx="381000" cy="476250"/>
        </a:xfrm>
        <a:prstGeom prst="rect">
          <a:avLst/>
        </a:prstGeom>
      </xdr:spPr>
    </xdr:pic>
  </etc:cellImage>
  <etc:cellImage>
    <xdr:pic>
      <xdr:nvPicPr>
        <xdr:cNvPr id="976" name="ID_5368718989884D8E8956CF7DF895DFB6" descr="酸柠檬爆弹"/>
        <xdr:cNvPicPr>
          <a:picLocks noChangeAspect="1"/>
        </xdr:cNvPicPr>
      </xdr:nvPicPr>
      <xdr:blipFill>
        <a:blip r:embed="rId288"/>
        <a:stretch>
          <a:fillRect/>
        </a:stretch>
      </xdr:blipFill>
      <xdr:spPr>
        <a:xfrm>
          <a:off x="2524125" y="9156700"/>
          <a:ext cx="381000" cy="476250"/>
        </a:xfrm>
        <a:prstGeom prst="rect">
          <a:avLst/>
        </a:prstGeom>
      </xdr:spPr>
    </xdr:pic>
  </etc:cellImage>
  <etc:cellImage>
    <xdr:pic>
      <xdr:nvPicPr>
        <xdr:cNvPr id="135" name="ID_EFABC6FAC7B34C65AAA4D39708F528CA" descr="03 十三香海盐粉"/>
        <xdr:cNvPicPr>
          <a:picLocks noChangeAspect="1"/>
        </xdr:cNvPicPr>
      </xdr:nvPicPr>
      <xdr:blipFill>
        <a:blip r:embed="rId289"/>
        <a:stretch>
          <a:fillRect/>
        </a:stretch>
      </xdr:blipFill>
      <xdr:spPr>
        <a:xfrm>
          <a:off x="1257300" y="10204450"/>
          <a:ext cx="381000" cy="482600"/>
        </a:xfrm>
        <a:prstGeom prst="rect">
          <a:avLst/>
        </a:prstGeom>
      </xdr:spPr>
    </xdr:pic>
  </etc:cellImage>
  <etc:cellImage>
    <xdr:pic>
      <xdr:nvPicPr>
        <xdr:cNvPr id="160" name="ID_E9663CB23507426AAC89CE26A1964238" descr="12-3 发条碎冰喵"/>
        <xdr:cNvPicPr>
          <a:picLocks noChangeAspect="1"/>
        </xdr:cNvPicPr>
      </xdr:nvPicPr>
      <xdr:blipFill>
        <a:blip r:embed="rId290"/>
        <a:stretch>
          <a:fillRect/>
        </a:stretch>
      </xdr:blipFill>
      <xdr:spPr>
        <a:xfrm>
          <a:off x="1952625" y="9880600"/>
          <a:ext cx="381000" cy="476250"/>
        </a:xfrm>
        <a:prstGeom prst="rect">
          <a:avLst/>
        </a:prstGeom>
      </xdr:spPr>
    </xdr:pic>
  </etc:cellImage>
  <etc:cellImage>
    <xdr:pic>
      <xdr:nvPicPr>
        <xdr:cNvPr id="174" name="ID_71A951DC54204143B32F56F9591C9663" descr="04 金棕榈吹风机"/>
        <xdr:cNvPicPr>
          <a:picLocks noChangeAspect="1"/>
        </xdr:cNvPicPr>
      </xdr:nvPicPr>
      <xdr:blipFill>
        <a:blip r:embed="rId291"/>
        <a:stretch>
          <a:fillRect/>
        </a:stretch>
      </xdr:blipFill>
      <xdr:spPr>
        <a:xfrm>
          <a:off x="942975" y="11772900"/>
          <a:ext cx="381000" cy="476250"/>
        </a:xfrm>
        <a:prstGeom prst="rect">
          <a:avLst/>
        </a:prstGeom>
      </xdr:spPr>
    </xdr:pic>
  </etc:cellImage>
  <etc:cellImage>
    <xdr:pic>
      <xdr:nvPicPr>
        <xdr:cNvPr id="175" name="ID_47A814DAD85047949BFD81A39E6CD865" descr="02 蛋黄酱防风草"/>
        <xdr:cNvPicPr>
          <a:picLocks noChangeAspect="1"/>
        </xdr:cNvPicPr>
      </xdr:nvPicPr>
      <xdr:blipFill>
        <a:blip r:embed="rId292"/>
        <a:stretch>
          <a:fillRect/>
        </a:stretch>
      </xdr:blipFill>
      <xdr:spPr>
        <a:xfrm>
          <a:off x="1438275" y="11887200"/>
          <a:ext cx="381000" cy="476250"/>
        </a:xfrm>
        <a:prstGeom prst="rect">
          <a:avLst/>
        </a:prstGeom>
      </xdr:spPr>
    </xdr:pic>
  </etc:cellImage>
  <etc:cellImage>
    <xdr:pic>
      <xdr:nvPicPr>
        <xdr:cNvPr id="203" name="ID_02E81D06E1C849C38D65A1D66A114F8A" descr="11120450-b"/>
        <xdr:cNvPicPr>
          <a:picLocks noChangeAspect="1"/>
        </xdr:cNvPicPr>
      </xdr:nvPicPr>
      <xdr:blipFill>
        <a:blip r:embed="rId293"/>
        <a:stretch>
          <a:fillRect/>
        </a:stretch>
      </xdr:blipFill>
      <xdr:spPr>
        <a:xfrm>
          <a:off x="2105025" y="11791950"/>
          <a:ext cx="381000" cy="476250"/>
        </a:xfrm>
        <a:prstGeom prst="rect">
          <a:avLst/>
        </a:prstGeom>
      </xdr:spPr>
    </xdr:pic>
  </etc:cellImage>
  <etc:cellImage>
    <xdr:pic>
      <xdr:nvPicPr>
        <xdr:cNvPr id="222" name="ID_018E24F59C304A258F3B35823074AB72" descr="小丑盒子"/>
        <xdr:cNvPicPr>
          <a:picLocks noChangeAspect="1"/>
        </xdr:cNvPicPr>
      </xdr:nvPicPr>
      <xdr:blipFill>
        <a:blip r:embed="rId294"/>
        <a:stretch>
          <a:fillRect/>
        </a:stretch>
      </xdr:blipFill>
      <xdr:spPr>
        <a:xfrm>
          <a:off x="1990725" y="16490950"/>
          <a:ext cx="380365" cy="474980"/>
        </a:xfrm>
        <a:prstGeom prst="rect">
          <a:avLst/>
        </a:prstGeom>
      </xdr:spPr>
    </xdr:pic>
  </etc:cellImage>
  <etc:cellImage>
    <xdr:pic>
      <xdr:nvPicPr>
        <xdr:cNvPr id="948" name="ID_424EB2CE29864A1499D952FA005102BA" descr="1-2"/>
        <xdr:cNvPicPr>
          <a:picLocks noChangeAspect="1"/>
        </xdr:cNvPicPr>
      </xdr:nvPicPr>
      <xdr:blipFill>
        <a:blip r:embed="rId295"/>
        <a:stretch>
          <a:fillRect/>
        </a:stretch>
      </xdr:blipFill>
      <xdr:spPr>
        <a:xfrm>
          <a:off x="2538095" y="13793470"/>
          <a:ext cx="381000" cy="476250"/>
        </a:xfrm>
        <a:prstGeom prst="rect">
          <a:avLst/>
        </a:prstGeom>
      </xdr:spPr>
    </xdr:pic>
  </etc:cellImage>
  <etc:cellImage>
    <xdr:pic>
      <xdr:nvPicPr>
        <xdr:cNvPr id="216" name="ID_EE3DB8B00CCE48A79AE73A08F132BC93" descr="01-3 全能治愈喵"/>
        <xdr:cNvPicPr>
          <a:picLocks noChangeAspect="1"/>
        </xdr:cNvPicPr>
      </xdr:nvPicPr>
      <xdr:blipFill>
        <a:blip r:embed="rId296"/>
        <a:stretch>
          <a:fillRect/>
        </a:stretch>
      </xdr:blipFill>
      <xdr:spPr>
        <a:xfrm>
          <a:off x="1295400" y="14541500"/>
          <a:ext cx="381000" cy="476250"/>
        </a:xfrm>
        <a:prstGeom prst="rect">
          <a:avLst/>
        </a:prstGeom>
      </xdr:spPr>
    </xdr:pic>
  </etc:cellImage>
  <etc:cellImage>
    <xdr:pic>
      <xdr:nvPicPr>
        <xdr:cNvPr id="840" name="ID_855BE4F53C1244F3B36D91AA2F1A2740" descr="20-1 木塞子"/>
        <xdr:cNvPicPr>
          <a:picLocks noChangeAspect="1"/>
        </xdr:cNvPicPr>
      </xdr:nvPicPr>
      <xdr:blipFill>
        <a:blip r:embed="rId297"/>
        <a:stretch>
          <a:fillRect/>
        </a:stretch>
      </xdr:blipFill>
      <xdr:spPr>
        <a:xfrm>
          <a:off x="2095500" y="21056600"/>
          <a:ext cx="381000" cy="476250"/>
        </a:xfrm>
        <a:prstGeom prst="rect">
          <a:avLst/>
        </a:prstGeom>
      </xdr:spPr>
    </xdr:pic>
  </etc:cellImage>
  <etc:cellImage>
    <xdr:pic>
      <xdr:nvPicPr>
        <xdr:cNvPr id="217" name="ID_C1758B572F6C4C9C8389E1865A8505FE" descr="09-1 猫猫盒"/>
        <xdr:cNvPicPr>
          <a:picLocks noChangeAspect="1"/>
        </xdr:cNvPicPr>
      </xdr:nvPicPr>
      <xdr:blipFill>
        <a:blip r:embed="rId298"/>
        <a:stretch>
          <a:fillRect/>
        </a:stretch>
      </xdr:blipFill>
      <xdr:spPr>
        <a:xfrm>
          <a:off x="895350" y="16395700"/>
          <a:ext cx="381000" cy="476250"/>
        </a:xfrm>
        <a:prstGeom prst="rect">
          <a:avLst/>
        </a:prstGeom>
      </xdr:spPr>
    </xdr:pic>
  </etc:cellImage>
  <etc:cellImage>
    <xdr:pic>
      <xdr:nvPicPr>
        <xdr:cNvPr id="218" name="ID_B5599312208741DA8B59570CEDFB9717" descr="42-1 猫猫箱"/>
        <xdr:cNvPicPr>
          <a:picLocks noChangeAspect="1"/>
        </xdr:cNvPicPr>
      </xdr:nvPicPr>
      <xdr:blipFill>
        <a:blip r:embed="rId299"/>
        <a:stretch>
          <a:fillRect/>
        </a:stretch>
      </xdr:blipFill>
      <xdr:spPr>
        <a:xfrm>
          <a:off x="1333500" y="16338550"/>
          <a:ext cx="381000" cy="476250"/>
        </a:xfrm>
        <a:prstGeom prst="rect">
          <a:avLst/>
        </a:prstGeom>
      </xdr:spPr>
    </xdr:pic>
  </etc:cellImage>
  <etc:cellImage>
    <xdr:pic>
      <xdr:nvPicPr>
        <xdr:cNvPr id="23" name="ID_465E7EBF6EC44B0BA2FFD210DAD9E5C4" descr="3-葡萄泡泡糖-小"/>
        <xdr:cNvPicPr>
          <a:picLocks noChangeAspect="1"/>
        </xdr:cNvPicPr>
      </xdr:nvPicPr>
      <xdr:blipFill>
        <a:blip r:embed="rId300"/>
        <a:stretch>
          <a:fillRect/>
        </a:stretch>
      </xdr:blipFill>
      <xdr:spPr>
        <a:xfrm>
          <a:off x="1600200" y="38868350"/>
          <a:ext cx="381000" cy="476250"/>
        </a:xfrm>
        <a:prstGeom prst="rect">
          <a:avLst/>
        </a:prstGeom>
      </xdr:spPr>
    </xdr:pic>
  </etc:cellImage>
  <etc:cellImage>
    <xdr:pic>
      <xdr:nvPicPr>
        <xdr:cNvPr id="841" name="ID_62CEF322D1B34A3DA96C1497111BD5A6" descr="18-1 咖啡粉"/>
        <xdr:cNvPicPr>
          <a:picLocks noChangeAspect="1"/>
        </xdr:cNvPicPr>
      </xdr:nvPicPr>
      <xdr:blipFill>
        <a:blip r:embed="rId301"/>
        <a:stretch>
          <a:fillRect/>
        </a:stretch>
      </xdr:blipFill>
      <xdr:spPr>
        <a:xfrm>
          <a:off x="9293860" y="21037550"/>
          <a:ext cx="381000" cy="476250"/>
        </a:xfrm>
        <a:prstGeom prst="rect">
          <a:avLst/>
        </a:prstGeom>
      </xdr:spPr>
    </xdr:pic>
  </etc:cellImage>
  <etc:cellImage>
    <xdr:pic>
      <xdr:nvPicPr>
        <xdr:cNvPr id="223" name="ID_C2E176F522E94D4A8B31920EFBE9D9AE" descr="10-3处女座星宿"/>
        <xdr:cNvPicPr>
          <a:picLocks noChangeAspect="1"/>
        </xdr:cNvPicPr>
      </xdr:nvPicPr>
      <xdr:blipFill>
        <a:blip r:embed="rId302"/>
        <a:stretch>
          <a:fillRect/>
        </a:stretch>
      </xdr:blipFill>
      <xdr:spPr>
        <a:xfrm>
          <a:off x="828675" y="7915275"/>
          <a:ext cx="381000" cy="482600"/>
        </a:xfrm>
        <a:prstGeom prst="rect">
          <a:avLst/>
        </a:prstGeom>
      </xdr:spPr>
    </xdr:pic>
  </etc:cellImage>
  <etc:cellImage>
    <xdr:pic>
      <xdr:nvPicPr>
        <xdr:cNvPr id="247" name="ID_1976508E656A4AF0814D7C1E805076D3" descr="53-3 皇冠菠萝面包"/>
        <xdr:cNvPicPr>
          <a:picLocks noChangeAspect="1"/>
        </xdr:cNvPicPr>
      </xdr:nvPicPr>
      <xdr:blipFill>
        <a:blip r:embed="rId303"/>
        <a:stretch>
          <a:fillRect/>
        </a:stretch>
      </xdr:blipFill>
      <xdr:spPr>
        <a:xfrm>
          <a:off x="1343025" y="4600575"/>
          <a:ext cx="380365" cy="474980"/>
        </a:xfrm>
        <a:prstGeom prst="rect">
          <a:avLst/>
        </a:prstGeom>
      </xdr:spPr>
    </xdr:pic>
  </etc:cellImage>
  <etc:cellImage>
    <xdr:pic>
      <xdr:nvPicPr>
        <xdr:cNvPr id="232" name="ID_515C7F954BD54F048CE7028156235B34" descr="冰皮月饼"/>
        <xdr:cNvPicPr>
          <a:picLocks noChangeAspect="1"/>
        </xdr:cNvPicPr>
      </xdr:nvPicPr>
      <xdr:blipFill>
        <a:blip r:embed="rId304"/>
        <a:stretch>
          <a:fillRect/>
        </a:stretch>
      </xdr:blipFill>
      <xdr:spPr>
        <a:xfrm>
          <a:off x="2047875" y="1784350"/>
          <a:ext cx="381000" cy="476250"/>
        </a:xfrm>
        <a:prstGeom prst="rect">
          <a:avLst/>
        </a:prstGeom>
      </xdr:spPr>
    </xdr:pic>
  </etc:cellImage>
  <etc:cellImage>
    <xdr:pic>
      <xdr:nvPicPr>
        <xdr:cNvPr id="228" name="ID_5CC466DD3AEB4F49B870DE2C5455A86F" descr="03-1 土司面包"/>
        <xdr:cNvPicPr>
          <a:picLocks noChangeAspect="1"/>
        </xdr:cNvPicPr>
      </xdr:nvPicPr>
      <xdr:blipFill>
        <a:blip r:embed="rId305"/>
        <a:stretch>
          <a:fillRect/>
        </a:stretch>
      </xdr:blipFill>
      <xdr:spPr>
        <a:xfrm>
          <a:off x="933450" y="1793875"/>
          <a:ext cx="381000" cy="476250"/>
        </a:xfrm>
        <a:prstGeom prst="rect">
          <a:avLst/>
        </a:prstGeom>
      </xdr:spPr>
    </xdr:pic>
  </etc:cellImage>
  <etc:cellImage>
    <xdr:pic>
      <xdr:nvPicPr>
        <xdr:cNvPr id="224" name="ID_44FA7E27D66F45DEA622C46509C8D8E1" descr="23-2 尖刺瓜皮护罩"/>
        <xdr:cNvPicPr>
          <a:picLocks noChangeAspect="1"/>
        </xdr:cNvPicPr>
      </xdr:nvPicPr>
      <xdr:blipFill>
        <a:blip r:embed="rId306"/>
        <a:stretch>
          <a:fillRect/>
        </a:stretch>
      </xdr:blipFill>
      <xdr:spPr>
        <a:xfrm>
          <a:off x="238125" y="7934325"/>
          <a:ext cx="381000" cy="476250"/>
        </a:xfrm>
        <a:prstGeom prst="rect">
          <a:avLst/>
        </a:prstGeom>
      </xdr:spPr>
    </xdr:pic>
  </etc:cellImage>
  <etc:cellImage>
    <xdr:pic>
      <xdr:nvPicPr>
        <xdr:cNvPr id="248" name="ID_FD36312796FA46F0A5E212DC74B34E8A" descr="04-2 帝王蟹面包"/>
        <xdr:cNvPicPr>
          <a:picLocks noChangeAspect="1"/>
        </xdr:cNvPicPr>
      </xdr:nvPicPr>
      <xdr:blipFill>
        <a:blip r:embed="rId307"/>
        <a:stretch>
          <a:fillRect/>
        </a:stretch>
      </xdr:blipFill>
      <xdr:spPr>
        <a:xfrm>
          <a:off x="2076450" y="4448175"/>
          <a:ext cx="381000" cy="476250"/>
        </a:xfrm>
        <a:prstGeom prst="rect">
          <a:avLst/>
        </a:prstGeom>
      </xdr:spPr>
    </xdr:pic>
  </etc:cellImage>
  <etc:cellImage>
    <xdr:pic>
      <xdr:nvPicPr>
        <xdr:cNvPr id="233" name="ID_0B3C55368D914947B16C02522F0F1A5E" descr="12-2 德芙面包"/>
        <xdr:cNvPicPr>
          <a:picLocks noChangeAspect="1"/>
        </xdr:cNvPicPr>
      </xdr:nvPicPr>
      <xdr:blipFill>
        <a:blip r:embed="rId308"/>
        <a:stretch>
          <a:fillRect/>
        </a:stretch>
      </xdr:blipFill>
      <xdr:spPr>
        <a:xfrm>
          <a:off x="1047750" y="4457700"/>
          <a:ext cx="381000" cy="476250"/>
        </a:xfrm>
        <a:prstGeom prst="rect">
          <a:avLst/>
        </a:prstGeom>
      </xdr:spPr>
    </xdr:pic>
  </etc:cellImage>
  <etc:cellImage>
    <xdr:pic>
      <xdr:nvPicPr>
        <xdr:cNvPr id="231" name="ID_C641B568B0734D00A0C440FA5C846F13" descr="月饼'"/>
        <xdr:cNvPicPr>
          <a:picLocks noChangeAspect="1"/>
        </xdr:cNvPicPr>
      </xdr:nvPicPr>
      <xdr:blipFill>
        <a:blip r:embed="rId309"/>
        <a:stretch>
          <a:fillRect/>
        </a:stretch>
      </xdr:blipFill>
      <xdr:spPr>
        <a:xfrm>
          <a:off x="1304925" y="1822450"/>
          <a:ext cx="376555" cy="474980"/>
        </a:xfrm>
        <a:prstGeom prst="rect">
          <a:avLst/>
        </a:prstGeom>
      </xdr:spPr>
    </xdr:pic>
  </etc:cellImage>
  <etc:cellImage>
    <xdr:pic>
      <xdr:nvPicPr>
        <xdr:cNvPr id="787" name="ID_C5E366902C884D1280223A0B8D94857A" descr="10-2 处女座战将"/>
        <xdr:cNvPicPr>
          <a:picLocks noChangeAspect="1"/>
        </xdr:cNvPicPr>
      </xdr:nvPicPr>
      <xdr:blipFill>
        <a:blip r:embed="rId310"/>
        <a:stretch>
          <a:fillRect/>
        </a:stretch>
      </xdr:blipFill>
      <xdr:spPr>
        <a:xfrm>
          <a:off x="1962150" y="33000950"/>
          <a:ext cx="381000" cy="476250"/>
        </a:xfrm>
        <a:prstGeom prst="rect">
          <a:avLst/>
        </a:prstGeom>
      </xdr:spPr>
    </xdr:pic>
  </etc:cellImage>
  <etc:cellImage>
    <xdr:pic>
      <xdr:nvPicPr>
        <xdr:cNvPr id="57" name="ID_528976C46AD54C1181F75A0AA7C1A82E" descr="08-1 赫拉神使"/>
        <xdr:cNvPicPr>
          <a:picLocks noChangeAspect="1"/>
        </xdr:cNvPicPr>
      </xdr:nvPicPr>
      <xdr:blipFill>
        <a:blip r:embed="rId311"/>
        <a:stretch>
          <a:fillRect/>
        </a:stretch>
      </xdr:blipFill>
      <xdr:spPr>
        <a:xfrm>
          <a:off x="1609725" y="7896225"/>
          <a:ext cx="380365" cy="476250"/>
        </a:xfrm>
        <a:prstGeom prst="rect">
          <a:avLst/>
        </a:prstGeom>
      </xdr:spPr>
    </xdr:pic>
  </etc:cellImage>
  <etc:cellImage>
    <xdr:pic>
      <xdr:nvPicPr>
        <xdr:cNvPr id="59" name="ID_D0C428C4A5A44D9CAE5A24F4D0D3EFA0" descr="08-2 赫拉圣神"/>
        <xdr:cNvPicPr>
          <a:picLocks noChangeAspect="1"/>
        </xdr:cNvPicPr>
      </xdr:nvPicPr>
      <xdr:blipFill>
        <a:blip r:embed="rId312"/>
        <a:stretch>
          <a:fillRect/>
        </a:stretch>
      </xdr:blipFill>
      <xdr:spPr>
        <a:xfrm>
          <a:off x="1933575" y="7972425"/>
          <a:ext cx="380365" cy="476250"/>
        </a:xfrm>
        <a:prstGeom prst="rect">
          <a:avLst/>
        </a:prstGeom>
      </xdr:spPr>
    </xdr:pic>
  </etc:cellImage>
  <etc:cellImage>
    <xdr:pic>
      <xdr:nvPicPr>
        <xdr:cNvPr id="788" name="ID_CCFB99B022EE43C09BDC09118356C71F" descr="10-1 处女座精灵"/>
        <xdr:cNvPicPr>
          <a:picLocks noChangeAspect="1"/>
        </xdr:cNvPicPr>
      </xdr:nvPicPr>
      <xdr:blipFill>
        <a:blip r:embed="rId313"/>
        <a:stretch>
          <a:fillRect/>
        </a:stretch>
      </xdr:blipFill>
      <xdr:spPr>
        <a:xfrm>
          <a:off x="1409700" y="33086675"/>
          <a:ext cx="381000" cy="476250"/>
        </a:xfrm>
        <a:prstGeom prst="rect">
          <a:avLst/>
        </a:prstGeom>
      </xdr:spPr>
    </xdr:pic>
  </etc:cellImage>
  <etc:cellImage>
    <xdr:pic>
      <xdr:nvPicPr>
        <xdr:cNvPr id="58" name="ID_7AE9EDFA0FD34B43BACD686800EBC28F" descr="08-3 天后·赫拉"/>
        <xdr:cNvPicPr>
          <a:picLocks noChangeAspect="1"/>
        </xdr:cNvPicPr>
      </xdr:nvPicPr>
      <xdr:blipFill>
        <a:blip r:embed="rId314"/>
        <a:stretch>
          <a:fillRect/>
        </a:stretch>
      </xdr:blipFill>
      <xdr:spPr>
        <a:xfrm>
          <a:off x="2438400" y="7858125"/>
          <a:ext cx="380365" cy="476250"/>
        </a:xfrm>
        <a:prstGeom prst="rect">
          <a:avLst/>
        </a:prstGeom>
      </xdr:spPr>
    </xdr:pic>
  </etc:cellImage>
  <etc:cellImage>
    <xdr:pic>
      <xdr:nvPicPr>
        <xdr:cNvPr id="954" name="ID_F62D54DB21B647C3B85C5A38CF52B1BD"/>
        <xdr:cNvPicPr>
          <a:picLocks noChangeAspect="1"/>
        </xdr:cNvPicPr>
      </xdr:nvPicPr>
      <xdr:blipFill>
        <a:blip r:embed="rId315"/>
        <a:stretch>
          <a:fillRect/>
        </a:stretch>
      </xdr:blipFill>
      <xdr:spPr>
        <a:xfrm>
          <a:off x="9302750" y="12211050"/>
          <a:ext cx="1590675" cy="765175"/>
        </a:xfrm>
        <a:prstGeom prst="rect">
          <a:avLst/>
        </a:prstGeom>
        <a:noFill/>
        <a:ln w="9525">
          <a:noFill/>
        </a:ln>
      </xdr:spPr>
    </xdr:pic>
  </etc:cellImage>
  <etc:cellImage>
    <xdr:pic>
      <xdr:nvPicPr>
        <xdr:cNvPr id="249" name="ID_AFE5484BA6E64B81B70A6A0CEDA54AEE" descr="01-3 耀金守能汪"/>
        <xdr:cNvPicPr>
          <a:picLocks noChangeAspect="1"/>
        </xdr:cNvPicPr>
      </xdr:nvPicPr>
      <xdr:blipFill>
        <a:blip r:embed="rId112"/>
        <a:stretch>
          <a:fillRect/>
        </a:stretch>
      </xdr:blipFill>
      <xdr:spPr>
        <a:xfrm>
          <a:off x="771525" y="12713970"/>
          <a:ext cx="381000" cy="476250"/>
        </a:xfrm>
        <a:prstGeom prst="rect">
          <a:avLst/>
        </a:prstGeom>
      </xdr:spPr>
    </xdr:pic>
  </etc:cellImage>
  <etc:cellImage>
    <xdr:pic>
      <xdr:nvPicPr>
        <xdr:cNvPr id="250" name="ID_795C41747E3F498599DA091EA9903D14" descr="生日帽"/>
        <xdr:cNvPicPr>
          <a:picLocks noChangeAspect="1"/>
        </xdr:cNvPicPr>
      </xdr:nvPicPr>
      <xdr:blipFill>
        <a:blip r:embed="rId125"/>
        <a:stretch>
          <a:fillRect/>
        </a:stretch>
      </xdr:blipFill>
      <xdr:spPr>
        <a:xfrm>
          <a:off x="1485900" y="12847320"/>
          <a:ext cx="381000" cy="476250"/>
        </a:xfrm>
        <a:prstGeom prst="rect">
          <a:avLst/>
        </a:prstGeom>
      </xdr:spPr>
    </xdr:pic>
  </etc:cellImage>
  <etc:cellImage>
    <xdr:pic>
      <xdr:nvPicPr>
        <xdr:cNvPr id="251" name="ID_CE144769378B4133B739A0A38814F634" descr="11-3 炫紫喵喵炉"/>
        <xdr:cNvPicPr>
          <a:picLocks noChangeAspect="1"/>
        </xdr:cNvPicPr>
      </xdr:nvPicPr>
      <xdr:blipFill>
        <a:blip r:embed="rId126"/>
        <a:stretch>
          <a:fillRect/>
        </a:stretch>
      </xdr:blipFill>
      <xdr:spPr>
        <a:xfrm>
          <a:off x="1847850" y="12666980"/>
          <a:ext cx="380365" cy="474980"/>
        </a:xfrm>
        <a:prstGeom prst="rect">
          <a:avLst/>
        </a:prstGeom>
      </xdr:spPr>
    </xdr:pic>
  </etc:cellImage>
  <etc:cellImage>
    <xdr:pic>
      <xdr:nvPicPr>
        <xdr:cNvPr id="1342" name="ID_1E26B9130FC04736B054A9ABC16FD50A" descr="13-3 豪华梅花护罩"/>
        <xdr:cNvPicPr>
          <a:picLocks noChangeAspect="1"/>
        </xdr:cNvPicPr>
      </xdr:nvPicPr>
      <xdr:blipFill>
        <a:blip r:embed="rId128"/>
        <a:stretch>
          <a:fillRect/>
        </a:stretch>
      </xdr:blipFill>
      <xdr:spPr>
        <a:xfrm>
          <a:off x="9137015" y="14072870"/>
          <a:ext cx="381000" cy="476250"/>
        </a:xfrm>
        <a:prstGeom prst="rect">
          <a:avLst/>
        </a:prstGeom>
      </xdr:spPr>
    </xdr:pic>
  </etc:cellImage>
  <etc:cellImage>
    <xdr:pic>
      <xdr:nvPicPr>
        <xdr:cNvPr id="307" name="ID_B63272372D9549B1B711D84A0EA38EF5" descr="2-3皇室娇娇虎"/>
        <xdr:cNvPicPr>
          <a:picLocks noChangeAspect="1"/>
        </xdr:cNvPicPr>
      </xdr:nvPicPr>
      <xdr:blipFill>
        <a:blip r:embed="rId257"/>
        <a:stretch>
          <a:fillRect/>
        </a:stretch>
      </xdr:blipFill>
      <xdr:spPr>
        <a:xfrm>
          <a:off x="2419350" y="15211425"/>
          <a:ext cx="381000" cy="482600"/>
        </a:xfrm>
        <a:prstGeom prst="rect">
          <a:avLst/>
        </a:prstGeom>
      </xdr:spPr>
    </xdr:pic>
  </etc:cellImage>
  <etc:cellImage>
    <xdr:pic>
      <xdr:nvPicPr>
        <xdr:cNvPr id="252" name="ID_8BD3346DD24A4ED3A8593408F17171C7" descr="桂花酒"/>
        <xdr:cNvPicPr>
          <a:picLocks noChangeAspect="1"/>
        </xdr:cNvPicPr>
      </xdr:nvPicPr>
      <xdr:blipFill>
        <a:blip r:embed="rId316"/>
        <a:stretch>
          <a:fillRect/>
        </a:stretch>
      </xdr:blipFill>
      <xdr:spPr>
        <a:xfrm>
          <a:off x="895350" y="15278100"/>
          <a:ext cx="381000" cy="476250"/>
        </a:xfrm>
        <a:prstGeom prst="rect">
          <a:avLst/>
        </a:prstGeom>
      </xdr:spPr>
    </xdr:pic>
  </etc:cellImage>
  <etc:cellImage>
    <xdr:pic>
      <xdr:nvPicPr>
        <xdr:cNvPr id="253" name="ID_08FD1496187F4D329D790A69500B5542" descr="榴莲千层饼"/>
        <xdr:cNvPicPr>
          <a:picLocks noChangeAspect="1"/>
        </xdr:cNvPicPr>
      </xdr:nvPicPr>
      <xdr:blipFill>
        <a:blip r:embed="rId317"/>
        <a:stretch>
          <a:fillRect/>
        </a:stretch>
      </xdr:blipFill>
      <xdr:spPr>
        <a:xfrm>
          <a:off x="1352550" y="15316200"/>
          <a:ext cx="381000" cy="476250"/>
        </a:xfrm>
        <a:prstGeom prst="rect">
          <a:avLst/>
        </a:prstGeom>
      </xdr:spPr>
    </xdr:pic>
  </etc:cellImage>
  <etc:cellImage>
    <xdr:pic>
      <xdr:nvPicPr>
        <xdr:cNvPr id="130" name="ID_665A0E41B7FD4CBA947A42C606BE620D" descr="08-3 香辣罐罐牛"/>
        <xdr:cNvPicPr>
          <a:picLocks noChangeAspect="1"/>
        </xdr:cNvPicPr>
      </xdr:nvPicPr>
      <xdr:blipFill>
        <a:blip r:embed="rId130"/>
        <a:stretch>
          <a:fillRect/>
        </a:stretch>
      </xdr:blipFill>
      <xdr:spPr>
        <a:xfrm>
          <a:off x="1981200" y="15567025"/>
          <a:ext cx="381000" cy="476250"/>
        </a:xfrm>
        <a:prstGeom prst="rect">
          <a:avLst/>
        </a:prstGeom>
      </xdr:spPr>
    </xdr:pic>
  </etc:cellImage>
  <etc:cellImage>
    <xdr:pic>
      <xdr:nvPicPr>
        <xdr:cNvPr id="786" name="ID_4B15EDF5826D49C396FE1A1ACBDEC4B4" descr="10-3处女座星宿"/>
        <xdr:cNvPicPr>
          <a:picLocks noChangeAspect="1"/>
        </xdr:cNvPicPr>
      </xdr:nvPicPr>
      <xdr:blipFill>
        <a:blip r:embed="rId302"/>
        <a:stretch>
          <a:fillRect/>
        </a:stretch>
      </xdr:blipFill>
      <xdr:spPr>
        <a:xfrm>
          <a:off x="2714625" y="33086675"/>
          <a:ext cx="381000" cy="476250"/>
        </a:xfrm>
        <a:prstGeom prst="rect">
          <a:avLst/>
        </a:prstGeom>
      </xdr:spPr>
    </xdr:pic>
  </etc:cellImage>
</etc:cellImages>
</file>

<file path=xl/sharedStrings.xml><?xml version="1.0" encoding="utf-8"?>
<sst xmlns="http://schemas.openxmlformats.org/spreadsheetml/2006/main" count="1577" uniqueCount="1047">
  <si>
    <t>加成计算器</t>
  </si>
  <si>
    <t>图：陌路不住你的心</t>
  </si>
  <si>
    <t>更新日期:2022.10.16</t>
  </si>
  <si>
    <t>主贴：http://my.4399.com/forums/thread-61613800</t>
  </si>
  <si>
    <t>援护占比</t>
  </si>
  <si>
    <t>星座卡</t>
  </si>
  <si>
    <t>普通卡</t>
  </si>
  <si>
    <t>智能攻击力加成计算</t>
  </si>
  <si>
    <t>攻击力</t>
  </si>
  <si>
    <t>初始</t>
  </si>
  <si>
    <t>属性加成</t>
  </si>
  <si>
    <t>食谱</t>
  </si>
  <si>
    <t>结晶</t>
  </si>
  <si>
    <t>图鉴</t>
  </si>
  <si>
    <t>金卡援护</t>
  </si>
  <si>
    <t>←此行填写属性加成</t>
  </si>
  <si>
    <t>加成后</t>
  </si>
  <si>
    <t>智能攻速加成计算</t>
  </si>
  <si>
    <t>攻击间隔</t>
  </si>
  <si>
    <t>←在此行填写初始攻击间隔</t>
  </si>
  <si>
    <t>加成①</t>
  </si>
  <si>
    <t>加成②</t>
  </si>
  <si>
    <t>加成③</t>
  </si>
  <si>
    <t>←此行填写属性加成，最多可以填3个加成</t>
  </si>
  <si>
    <t>←此行会显示最终计算结果</t>
  </si>
  <si>
    <t>智能援护计算</t>
  </si>
  <si>
    <t>援护</t>
  </si>
  <si>
    <t>星座卡技能等级</t>
  </si>
  <si>
    <t>普
通
卡
技
能
等
级</t>
  </si>
  <si>
    <t>金卡</t>
  </si>
  <si>
    <t>←这里其余格会显示最终结果</t>
  </si>
  <si>
    <t>←只需在这里填写满援护的数值即可</t>
  </si>
  <si>
    <r>
      <rPr>
        <sz val="48"/>
        <color theme="1"/>
        <rFont val="方正粗圆简体"/>
        <charset val="134"/>
      </rPr>
      <t xml:space="preserve">管线类
</t>
    </r>
    <r>
      <rPr>
        <sz val="18"/>
        <color theme="1"/>
        <rFont val="方正粗圆简体"/>
        <charset val="134"/>
      </rPr>
      <t>BothWay &amp; ThreeShot</t>
    </r>
  </si>
  <si>
    <t>更新日期:2022.9.30</t>
  </si>
  <si>
    <t>主贴：http://my.4399.com/forums/thread-62574522</t>
  </si>
  <si>
    <t>格式＆内容参考：老LM</t>
  </si>
  <si>
    <t>战神和爱神</t>
  </si>
  <si>
    <t>战神</t>
  </si>
  <si>
    <t>爱神</t>
  </si>
  <si>
    <t>战神图鉴攻击间隔-5%|爱神图鉴攻击间隔-10%</t>
  </si>
  <si>
    <t>耗能150|冷却7s|子弹数4+4/4+5/5+5/5+5</t>
  </si>
  <si>
    <r>
      <rPr>
        <sz val="14"/>
        <color theme="1"/>
        <rFont val="等线"/>
        <charset val="134"/>
      </rPr>
      <t>耗能300|冷却7s|子弹数6/6</t>
    </r>
    <r>
      <rPr>
        <b/>
        <sz val="14"/>
        <color theme="1"/>
        <rFont val="等线"/>
        <charset val="134"/>
      </rPr>
      <t>.</t>
    </r>
    <r>
      <rPr>
        <b/>
        <sz val="14"/>
        <color rgb="FFC00000"/>
        <rFont val="方正粗黑宋简体"/>
        <charset val="134"/>
      </rPr>
      <t>5</t>
    </r>
    <r>
      <rPr>
        <sz val="14"/>
        <color theme="1"/>
        <rFont val="等线"/>
        <charset val="134"/>
      </rPr>
      <t>/8</t>
    </r>
    <r>
      <rPr>
        <b/>
        <sz val="14"/>
        <color theme="1"/>
        <rFont val="等线"/>
        <charset val="134"/>
      </rPr>
      <t>.</t>
    </r>
    <r>
      <rPr>
        <b/>
        <sz val="14"/>
        <color rgb="FFC00000"/>
        <rFont val="方正粗黑宋简体"/>
        <charset val="134"/>
      </rPr>
      <t>5</t>
    </r>
    <r>
      <rPr>
        <sz val="14"/>
        <color theme="1"/>
        <rFont val="等线"/>
        <charset val="134"/>
      </rPr>
      <t>/8</t>
    </r>
    <r>
      <rPr>
        <b/>
        <sz val="14"/>
        <color theme="1"/>
        <rFont val="等线"/>
        <charset val="134"/>
      </rPr>
      <t>.</t>
    </r>
    <r>
      <rPr>
        <b/>
        <sz val="14"/>
        <color rgb="FFC00000"/>
        <rFont val="方正粗黑宋简体"/>
        <charset val="134"/>
      </rPr>
      <t>5</t>
    </r>
  </si>
  <si>
    <t>以下为真爱结晶、金卡援护、图鉴、食神谱加成拉满后的数值|新增食谱-汉帝茅台(爱神攻击+20%,攻击间隔-5%)&amp;菲丽水(战神攻击+25%)</t>
  </si>
  <si>
    <r>
      <rPr>
        <b/>
        <sz val="14"/>
        <color rgb="FFFF0000"/>
        <rFont val="等线"/>
        <charset val="134"/>
      </rPr>
      <t>满配</t>
    </r>
    <r>
      <rPr>
        <sz val="14"/>
        <color theme="1"/>
        <rFont val="等线"/>
        <charset val="134"/>
      </rPr>
      <t>战神</t>
    </r>
  </si>
  <si>
    <r>
      <rPr>
        <b/>
        <sz val="14"/>
        <color rgb="FFFF0000"/>
        <rFont val="等线"/>
        <charset val="134"/>
      </rPr>
      <t>满配</t>
    </r>
    <r>
      <rPr>
        <sz val="14"/>
        <color theme="1"/>
        <rFont val="等线"/>
        <charset val="134"/>
      </rPr>
      <t>爱神</t>
    </r>
  </si>
  <si>
    <t>终转战神图鉴0张金卡即可解锁，其余正常</t>
  </si>
  <si>
    <r>
      <rPr>
        <sz val="14"/>
        <color theme="1"/>
        <rFont val="等线"/>
        <charset val="134"/>
      </rPr>
      <t>攻击间隔减少的最小值为</t>
    </r>
    <r>
      <rPr>
        <b/>
        <sz val="14"/>
        <color theme="4" tint="-0.5"/>
        <rFont val="等线"/>
        <charset val="134"/>
      </rPr>
      <t>0.05s</t>
    </r>
  </si>
  <si>
    <r>
      <rPr>
        <sz val="14"/>
        <color theme="1"/>
        <rFont val="等线"/>
        <charset val="134"/>
      </rPr>
      <t>超级子弹均</t>
    </r>
    <r>
      <rPr>
        <b/>
        <sz val="14"/>
        <color rgb="FFC00000"/>
        <rFont val="等线"/>
        <charset val="134"/>
      </rPr>
      <t>间隔3轮</t>
    </r>
    <r>
      <rPr>
        <sz val="14"/>
        <rFont val="等线"/>
        <charset val="134"/>
      </rPr>
      <t>(首轮首发)</t>
    </r>
    <r>
      <rPr>
        <sz val="14"/>
        <color theme="1"/>
        <rFont val="等线"/>
        <charset val="134"/>
      </rPr>
      <t>发射一次且</t>
    </r>
    <r>
      <rPr>
        <b/>
        <sz val="14"/>
        <color rgb="FFC00000"/>
        <rFont val="等线"/>
        <charset val="134"/>
      </rPr>
      <t>不可过火</t>
    </r>
  </si>
  <si>
    <t>天秤座/射手座技能等级</t>
  </si>
  <si>
    <t>战神四转的超级子弹造成4倍伤害|终转的超级子弹对命中者造成7倍伤，同格者造成6倍伤，3*3十字的四角造成3倍伤</t>
  </si>
  <si>
    <t>水
管
/
三
线
技
能
等
级</t>
  </si>
  <si>
    <t>战/爱</t>
  </si>
  <si>
    <t>爱神三转中路加1发伤害为50%的子弹|终转侧路间隔额外发射1发穿透的超级子弹，造成3倍伤害</t>
  </si>
  <si>
    <r>
      <rPr>
        <b/>
        <sz val="15"/>
        <color theme="0"/>
        <rFont val="宋体"/>
        <charset val="134"/>
      </rPr>
      <t>终转爱神、四转战神、终转战神放下后超级子弹发射规律：</t>
    </r>
    <r>
      <rPr>
        <b/>
        <sz val="16"/>
        <color rgb="FF002060"/>
        <rFont val="方正粗黑宋简体"/>
        <charset val="134"/>
      </rPr>
      <t>1</t>
    </r>
    <r>
      <rPr>
        <b/>
        <sz val="16"/>
        <color theme="0"/>
        <rFont val="宋体"/>
        <charset val="134"/>
      </rPr>
      <t xml:space="preserve"> 000</t>
    </r>
    <r>
      <rPr>
        <b/>
        <sz val="16"/>
        <color rgb="FFC00000"/>
        <rFont val="方正粗黑宋简体"/>
        <charset val="134"/>
      </rPr>
      <t xml:space="preserve"> 1</t>
    </r>
    <r>
      <rPr>
        <b/>
        <sz val="16"/>
        <color theme="0"/>
        <rFont val="宋体"/>
        <charset val="134"/>
      </rPr>
      <t xml:space="preserve"> 000 </t>
    </r>
    <r>
      <rPr>
        <b/>
        <sz val="16"/>
        <color rgb="FFC00000"/>
        <rFont val="方正粗黑宋简体"/>
        <charset val="134"/>
      </rPr>
      <t>1</t>
    </r>
    <r>
      <rPr>
        <b/>
        <sz val="16"/>
        <color theme="0"/>
        <rFont val="宋体"/>
        <charset val="134"/>
      </rPr>
      <t xml:space="preserve"> 000 </t>
    </r>
    <r>
      <rPr>
        <b/>
        <sz val="16"/>
        <color rgb="FFC00000"/>
        <rFont val="方正粗黑宋简体"/>
        <charset val="134"/>
      </rPr>
      <t>1</t>
    </r>
    <r>
      <rPr>
        <b/>
        <sz val="16"/>
        <color theme="0"/>
        <rFont val="宋体"/>
        <charset val="134"/>
      </rPr>
      <t>……</t>
    </r>
  </si>
  <si>
    <t>三线系</t>
  </si>
  <si>
    <t>三线酒架</t>
  </si>
  <si>
    <t>射手座</t>
  </si>
  <si>
    <t>砰砰鸡</t>
  </si>
  <si>
    <r>
      <rPr>
        <b/>
        <sz val="14"/>
        <color rgb="FF0070C0"/>
        <rFont val="等线"/>
        <charset val="134"/>
      </rPr>
      <t>二转</t>
    </r>
    <r>
      <rPr>
        <sz val="14"/>
        <color theme="1"/>
        <rFont val="等线"/>
        <charset val="134"/>
      </rPr>
      <t>砰砰鸡</t>
    </r>
  </si>
  <si>
    <t>狩猎汪</t>
  </si>
  <si>
    <t>猪猪猎手</t>
  </si>
  <si>
    <t>灯笼鱼</t>
  </si>
  <si>
    <t>子弹数一般规律：一转加中路，二转加侧路</t>
  </si>
  <si>
    <t>耗能325|冷却7s|子弹数3/4/6</t>
  </si>
  <si>
    <t>耗能300+/300/300|冷却7s|子弹数4/4/6</t>
  </si>
  <si>
    <t>耗能225(旧版375)|冷却7s|子弹数3/4/6|二转单发伤害+5%</t>
  </si>
  <si>
    <r>
      <rPr>
        <sz val="14"/>
        <color theme="1"/>
        <rFont val="等线"/>
        <charset val="134"/>
      </rPr>
      <t>耗能300|</t>
    </r>
    <r>
      <rPr>
        <b/>
        <sz val="14"/>
        <color rgb="FFC00000"/>
        <rFont val="等线"/>
        <charset val="134"/>
      </rPr>
      <t>冷却10s</t>
    </r>
    <r>
      <rPr>
        <sz val="14"/>
        <color theme="1"/>
        <rFont val="等线"/>
        <charset val="134"/>
      </rPr>
      <t>|子弹数3/4/7</t>
    </r>
  </si>
  <si>
    <t>耗能375|冷却7s|子弹数3/4/6</t>
  </si>
  <si>
    <r>
      <rPr>
        <sz val="14"/>
        <color theme="1"/>
        <rFont val="等线"/>
        <charset val="134"/>
      </rPr>
      <t>耗能325|</t>
    </r>
    <r>
      <rPr>
        <b/>
        <sz val="14"/>
        <color rgb="FFC00000"/>
        <rFont val="等线"/>
        <charset val="134"/>
      </rPr>
      <t>冷却10s</t>
    </r>
    <r>
      <rPr>
        <sz val="14"/>
        <color theme="1"/>
        <rFont val="等线"/>
        <charset val="134"/>
      </rPr>
      <t>|子弹数3/4/6|子弹附带穿透效果</t>
    </r>
  </si>
  <si>
    <t>以下为真爱结晶、图鉴、食神谱加成拉满后的数值</t>
  </si>
  <si>
    <r>
      <rPr>
        <b/>
        <sz val="14"/>
        <color rgb="FFC00000"/>
        <rFont val="等线"/>
        <charset val="134"/>
      </rPr>
      <t>满配</t>
    </r>
    <r>
      <rPr>
        <sz val="14"/>
        <color theme="1"/>
        <rFont val="等线"/>
        <charset val="134"/>
      </rPr>
      <t>三线酒架</t>
    </r>
  </si>
  <si>
    <r>
      <rPr>
        <b/>
        <sz val="14"/>
        <color rgb="FFC00000"/>
        <rFont val="等线"/>
        <charset val="134"/>
      </rPr>
      <t>满配</t>
    </r>
    <r>
      <rPr>
        <sz val="14"/>
        <color theme="1"/>
        <rFont val="等线"/>
        <charset val="134"/>
      </rPr>
      <t>射手座</t>
    </r>
  </si>
  <si>
    <r>
      <rPr>
        <b/>
        <sz val="14"/>
        <color rgb="FFC00000"/>
        <rFont val="等线"/>
        <charset val="134"/>
      </rPr>
      <t>满配</t>
    </r>
    <r>
      <rPr>
        <sz val="14"/>
        <color theme="1"/>
        <rFont val="等线"/>
        <charset val="134"/>
      </rPr>
      <t>猪猪猎手</t>
    </r>
  </si>
  <si>
    <t>三线开启葡式蛋挞后冷却变为6s</t>
  </si>
  <si>
    <r>
      <rPr>
        <b/>
        <sz val="14"/>
        <color rgb="FFFF0000"/>
        <rFont val="等线"/>
        <charset val="134"/>
      </rPr>
      <t>满配</t>
    </r>
    <r>
      <rPr>
        <sz val="14"/>
        <color theme="3" tint="0.4"/>
        <rFont val="等线"/>
        <charset val="134"/>
      </rPr>
      <t>三线酒架</t>
    </r>
  </si>
  <si>
    <r>
      <rPr>
        <b/>
        <sz val="14"/>
        <color rgb="FFC00000"/>
        <rFont val="等线"/>
        <charset val="134"/>
      </rPr>
      <t>拉菲加成报废</t>
    </r>
    <r>
      <rPr>
        <sz val="14"/>
        <color theme="1"/>
        <rFont val="等线"/>
        <charset val="134"/>
      </rPr>
      <t>|这里写的只是理想的数据</t>
    </r>
  </si>
  <si>
    <t>图鉴减少10%攻击间隔以及"钻石风味香槟"减少5%攻击间隔</t>
  </si>
  <si>
    <t>水管系</t>
  </si>
  <si>
    <t>双向水管</t>
  </si>
  <si>
    <t>天秤座</t>
  </si>
  <si>
    <t>呆呆鸡</t>
  </si>
  <si>
    <r>
      <rPr>
        <b/>
        <sz val="14"/>
        <color rgb="FF0070C0"/>
        <rFont val="等线"/>
        <charset val="134"/>
      </rPr>
      <t>二转</t>
    </r>
    <r>
      <rPr>
        <sz val="14"/>
        <color theme="1"/>
        <rFont val="等线"/>
        <charset val="134"/>
      </rPr>
      <t>呆呆鸡</t>
    </r>
  </si>
  <si>
    <t>二哈汪</t>
  </si>
  <si>
    <t>双枪喵</t>
  </si>
  <si>
    <t>子弹数表示方式：后方子弹数+前方子弹数</t>
  </si>
  <si>
    <t>耗能125|冷却7s|子弹数2+1/2+2/3+3</t>
  </si>
  <si>
    <t>耗能150+/150/150|冷却7s|子弹数3+3/3+3/4+4</t>
  </si>
  <si>
    <t>耗能115(旧版225)|冷却7s|子弹数2+2/2+3/3+4|二转伤害+5%</t>
  </si>
  <si>
    <t>耗能125|冷却7s|子弹数2+2/2+3/3+4</t>
  </si>
  <si>
    <t>耗能305|冷却7s|子弹数2+1/2+2/3+3|子弹附带穿透效果</t>
  </si>
  <si>
    <r>
      <rPr>
        <b/>
        <sz val="14"/>
        <color rgb="FFC00000"/>
        <rFont val="等线"/>
        <charset val="134"/>
      </rPr>
      <t>满配</t>
    </r>
    <r>
      <rPr>
        <sz val="14"/>
        <color theme="1"/>
        <rFont val="等线"/>
        <charset val="134"/>
      </rPr>
      <t>双向水管</t>
    </r>
  </si>
  <si>
    <r>
      <rPr>
        <b/>
        <sz val="14"/>
        <color rgb="FFC00000"/>
        <rFont val="等线"/>
        <charset val="134"/>
      </rPr>
      <t>满配</t>
    </r>
    <r>
      <rPr>
        <sz val="14"/>
        <color theme="1"/>
        <rFont val="等线"/>
        <charset val="134"/>
      </rPr>
      <t>天秤座</t>
    </r>
  </si>
  <si>
    <t>天秤和射手一样8技能满配加成了个寂寞</t>
  </si>
  <si>
    <t>天秤座只有图鉴减少5%的攻击间隔</t>
  </si>
  <si>
    <t>枪塔系</t>
  </si>
  <si>
    <t>枪塔喵</t>
  </si>
  <si>
    <t>弩箭牛</t>
  </si>
  <si>
    <t>仙人掌</t>
  </si>
  <si>
    <t>子弹数表示方式：正后方子弹数+前方3路子弹数</t>
  </si>
  <si>
    <t>耗能325|冷却7s|子弹数1+3/2+3/2+6</t>
  </si>
  <si>
    <t>耗能375|冷却7s|子弹数1+3/1+5/1+5|二转子弹变穿透</t>
  </si>
  <si>
    <t>耗能275|冷却7s|子弹数1+3/2+3/2+6</t>
  </si>
  <si>
    <t>特殊四向系</t>
  </si>
  <si>
    <t>散弹牛</t>
  </si>
  <si>
    <r>
      <rPr>
        <b/>
        <sz val="14"/>
        <color rgb="FF0070C0"/>
        <rFont val="等线"/>
        <charset val="134"/>
      </rPr>
      <t>一转</t>
    </r>
    <r>
      <rPr>
        <sz val="14"/>
        <color theme="1"/>
        <rFont val="等线"/>
        <charset val="134"/>
      </rPr>
      <t>散弹牛</t>
    </r>
  </si>
  <si>
    <t>威风虎</t>
  </si>
  <si>
    <r>
      <rPr>
        <b/>
        <sz val="14"/>
        <color rgb="FF0070C0"/>
        <rFont val="等线"/>
        <charset val="134"/>
      </rPr>
      <t>一转</t>
    </r>
    <r>
      <rPr>
        <sz val="14"/>
        <color theme="1"/>
        <rFont val="等线"/>
        <charset val="134"/>
      </rPr>
      <t>威风虎</t>
    </r>
  </si>
  <si>
    <t>耗能195|冷却7s|单方向子弹数2/2/3|子弹可反弹可过火</t>
  </si>
  <si>
    <t>耗能215|冷却7s|单方向子弹数1/1/2|子弹穿透</t>
  </si>
  <si>
    <t>图鉴+结晶</t>
  </si>
  <si>
    <t>先图鉴再结晶</t>
  </si>
  <si>
    <t>先结晶再图鉴</t>
  </si>
  <si>
    <t>累乘后取整</t>
  </si>
  <si>
    <r>
      <rPr>
        <sz val="48"/>
        <color theme="1"/>
        <rFont val="方正粗圆简体"/>
        <charset val="134"/>
      </rPr>
      <t xml:space="preserve">投手类
</t>
    </r>
    <r>
      <rPr>
        <sz val="18"/>
        <color theme="1"/>
        <rFont val="方正粗圆简体"/>
        <charset val="134"/>
      </rPr>
      <t>X-Pult</t>
    </r>
  </si>
  <si>
    <t>更新日期:2022.9.17</t>
  </si>
  <si>
    <t>雷神</t>
  </si>
  <si>
    <t>索尔神使</t>
  </si>
  <si>
    <t>索尔圣神</t>
  </si>
  <si>
    <t>雷神·索尔</t>
  </si>
  <si>
    <t>至尊雷神</t>
  </si>
  <si>
    <r>
      <rPr>
        <sz val="14"/>
        <color theme="1"/>
        <rFont val="等线"/>
        <charset val="134"/>
      </rPr>
      <t>耗能200|冷却7s|子弹数2/3/3/2+</t>
    </r>
    <r>
      <rPr>
        <b/>
        <sz val="14"/>
        <color rgb="FFC00000"/>
        <rFont val="方正粗黑宋简体"/>
        <charset val="134"/>
      </rPr>
      <t>2</t>
    </r>
  </si>
  <si>
    <r>
      <rPr>
        <sz val="14"/>
        <color theme="1"/>
        <rFont val="等线"/>
        <charset val="134"/>
      </rPr>
      <t>溅射40%/40%/45%/</t>
    </r>
    <r>
      <rPr>
        <b/>
        <sz val="16"/>
        <color rgb="FF002060"/>
        <rFont val="等线"/>
        <charset val="134"/>
      </rPr>
      <t>100%</t>
    </r>
  </si>
  <si>
    <t>以下为真爱结晶、金卡援护、图鉴加成拉满后的数值</t>
  </si>
  <si>
    <r>
      <rPr>
        <b/>
        <sz val="14"/>
        <color rgb="FFC00000"/>
        <rFont val="等线"/>
        <charset val="134"/>
      </rPr>
      <t>满配</t>
    </r>
    <r>
      <rPr>
        <sz val="14"/>
        <color theme="1"/>
        <rFont val="等线"/>
        <charset val="134"/>
      </rPr>
      <t>索尔神使</t>
    </r>
  </si>
  <si>
    <r>
      <rPr>
        <b/>
        <sz val="14"/>
        <color rgb="FFC00000"/>
        <rFont val="等线"/>
        <charset val="134"/>
      </rPr>
      <t>满配</t>
    </r>
    <r>
      <rPr>
        <sz val="14"/>
        <color theme="1"/>
        <rFont val="等线"/>
        <charset val="134"/>
      </rPr>
      <t>索尔圣神</t>
    </r>
  </si>
  <si>
    <r>
      <rPr>
        <b/>
        <sz val="14"/>
        <color rgb="FFC00000"/>
        <rFont val="等线"/>
        <charset val="134"/>
      </rPr>
      <t>满配</t>
    </r>
    <r>
      <rPr>
        <sz val="14"/>
        <color theme="1"/>
        <rFont val="等线"/>
        <charset val="134"/>
      </rPr>
      <t>雷神·索尔</t>
    </r>
  </si>
  <si>
    <r>
      <rPr>
        <b/>
        <sz val="14"/>
        <color rgb="FFC00000"/>
        <rFont val="等线"/>
        <charset val="134"/>
      </rPr>
      <t>满配</t>
    </r>
    <r>
      <rPr>
        <sz val="14"/>
        <color theme="1"/>
        <rFont val="等线"/>
        <charset val="134"/>
      </rPr>
      <t>至尊雷神</t>
    </r>
  </si>
  <si>
    <r>
      <rPr>
        <sz val="14"/>
        <color theme="1"/>
        <rFont val="等线"/>
        <charset val="134"/>
      </rPr>
      <t>可溅射对空|超级子弹发射规律:</t>
    </r>
    <r>
      <rPr>
        <b/>
        <sz val="16"/>
        <color rgb="FF002060"/>
        <rFont val="方正粗黑宋简体"/>
        <charset val="134"/>
      </rPr>
      <t xml:space="preserve">1 </t>
    </r>
    <r>
      <rPr>
        <sz val="16"/>
        <rFont val="等线"/>
        <charset val="134"/>
      </rPr>
      <t xml:space="preserve">000 </t>
    </r>
    <r>
      <rPr>
        <b/>
        <sz val="16"/>
        <color rgb="FFC00000"/>
        <rFont val="方正粗黑宋简体"/>
        <charset val="134"/>
      </rPr>
      <t xml:space="preserve">1 </t>
    </r>
    <r>
      <rPr>
        <sz val="16"/>
        <rFont val="等线"/>
        <charset val="134"/>
      </rPr>
      <t xml:space="preserve">000 </t>
    </r>
    <r>
      <rPr>
        <sz val="16"/>
        <color rgb="FFC00000"/>
        <rFont val="方正粗黑宋简体"/>
        <charset val="134"/>
      </rPr>
      <t xml:space="preserve">1 </t>
    </r>
    <r>
      <rPr>
        <sz val="16"/>
        <rFont val="等线"/>
        <charset val="134"/>
      </rPr>
      <t xml:space="preserve">000 </t>
    </r>
    <r>
      <rPr>
        <b/>
        <sz val="16"/>
        <color rgb="FFC00000"/>
        <rFont val="方正粗黑宋简体"/>
        <charset val="134"/>
      </rPr>
      <t>1</t>
    </r>
    <r>
      <rPr>
        <sz val="16"/>
        <rFont val="等线"/>
        <charset val="134"/>
      </rPr>
      <t>……</t>
    </r>
  </si>
  <si>
    <r>
      <rPr>
        <b/>
        <sz val="14"/>
        <color rgb="FFC00000"/>
        <rFont val="等线"/>
        <charset val="134"/>
      </rPr>
      <t>满配</t>
    </r>
    <r>
      <rPr>
        <sz val="14"/>
        <color theme="1"/>
        <rFont val="等线"/>
        <charset val="134"/>
      </rPr>
      <t>雷神</t>
    </r>
  </si>
  <si>
    <t>雷神三转攻击力为基础值|不转基础攻击力+35%</t>
  </si>
  <si>
    <t>双鱼座技能等级</t>
  </si>
  <si>
    <r>
      <rPr>
        <sz val="14"/>
        <color theme="1"/>
        <rFont val="等线"/>
        <charset val="134"/>
      </rPr>
      <t>三转后降攻击力加锤子数|</t>
    </r>
    <r>
      <rPr>
        <b/>
        <sz val="14"/>
        <color rgb="FFC00000"/>
        <rFont val="等线"/>
        <charset val="134"/>
      </rPr>
      <t>实际输出能力往上走</t>
    </r>
  </si>
  <si>
    <t>煮
蛋
器
投
手
技
能
等
级</t>
  </si>
  <si>
    <r>
      <rPr>
        <sz val="14"/>
        <color theme="1"/>
        <rFont val="等线"/>
        <charset val="134"/>
      </rPr>
      <t>四转超级子弹</t>
    </r>
    <r>
      <rPr>
        <b/>
        <sz val="14"/>
        <color rgb="FFC00000"/>
        <rFont val="等线"/>
        <charset val="134"/>
      </rPr>
      <t>间隔3轮</t>
    </r>
    <r>
      <rPr>
        <sz val="14"/>
        <color theme="1"/>
        <rFont val="等线"/>
        <charset val="134"/>
      </rPr>
      <t>发射一次，首轮首发为超级子弹
终转每轮首发均为超级子弹|超级子弹伤害为200%</t>
    </r>
  </si>
  <si>
    <t>在2021/11/4的更新中双鱼＆雷神的冷却从7.5s增强为7s</t>
  </si>
  <si>
    <t>投手A</t>
  </si>
  <si>
    <t>3*3溅射投手，但是不包含雷神和冰煮蛋</t>
  </si>
  <si>
    <t>煮蛋器</t>
  </si>
  <si>
    <t>双鱼座</t>
  </si>
  <si>
    <t>弹弹鸡</t>
  </si>
  <si>
    <t>机械汪</t>
  </si>
  <si>
    <t>飞鱼喵</t>
  </si>
  <si>
    <t>烤蜥蜴</t>
  </si>
  <si>
    <t>壮壮牛</t>
  </si>
  <si>
    <t>投篮虎</t>
  </si>
  <si>
    <t>下面是转职增加攻击力后的数据，对比时，请务必考虑到每次攻击的投掷物数量！</t>
  </si>
  <si>
    <t>煮蛋则是套上唯一增加攻击的食谱：番茄炒蛋；不加真爱谱，因为真爱谱加成倍率的配置都是一样的</t>
  </si>
  <si>
    <t>煮蛋+炒蛋</t>
  </si>
  <si>
    <r>
      <rPr>
        <b/>
        <sz val="14"/>
        <color rgb="FF0070C0"/>
        <rFont val="等线"/>
        <charset val="134"/>
      </rPr>
      <t>二转</t>
    </r>
    <r>
      <rPr>
        <sz val="14"/>
        <color theme="1"/>
        <rFont val="等线"/>
        <charset val="134"/>
      </rPr>
      <t>双鱼座</t>
    </r>
  </si>
  <si>
    <r>
      <rPr>
        <b/>
        <sz val="14"/>
        <color rgb="FF7030A0"/>
        <rFont val="等线"/>
        <charset val="134"/>
      </rPr>
      <t>一转</t>
    </r>
    <r>
      <rPr>
        <sz val="14"/>
        <color theme="1"/>
        <rFont val="等线"/>
        <charset val="134"/>
      </rPr>
      <t>弹弹鸡</t>
    </r>
  </si>
  <si>
    <r>
      <rPr>
        <b/>
        <sz val="14"/>
        <color rgb="FF0070C0"/>
        <rFont val="等线"/>
        <charset val="134"/>
      </rPr>
      <t>二转</t>
    </r>
    <r>
      <rPr>
        <sz val="14"/>
        <color theme="1"/>
        <rFont val="等线"/>
        <charset val="134"/>
      </rPr>
      <t>弹弹鸡</t>
    </r>
  </si>
  <si>
    <r>
      <rPr>
        <b/>
        <sz val="14"/>
        <color rgb="FF0070C0"/>
        <rFont val="等线"/>
        <charset val="134"/>
      </rPr>
      <t>二转</t>
    </r>
    <r>
      <rPr>
        <sz val="14"/>
        <color theme="1"/>
        <rFont val="等线"/>
        <charset val="134"/>
      </rPr>
      <t>机械汪</t>
    </r>
  </si>
  <si>
    <r>
      <rPr>
        <b/>
        <sz val="14"/>
        <color rgb="FF0070C0"/>
        <rFont val="等线"/>
        <charset val="134"/>
      </rPr>
      <t>一转</t>
    </r>
    <r>
      <rPr>
        <sz val="14"/>
        <color theme="1"/>
        <rFont val="等线"/>
        <charset val="134"/>
      </rPr>
      <t>飞鱼喵</t>
    </r>
  </si>
  <si>
    <r>
      <rPr>
        <b/>
        <sz val="14"/>
        <color rgb="FF0070C0"/>
        <rFont val="等线"/>
        <charset val="134"/>
      </rPr>
      <t>一转</t>
    </r>
    <r>
      <rPr>
        <sz val="14"/>
        <color theme="1"/>
        <rFont val="等线"/>
        <charset val="134"/>
      </rPr>
      <t>烤蜥蜴</t>
    </r>
  </si>
  <si>
    <t>所有溅射伤害均向下取整|溅射伤害只与攻击力有关</t>
  </si>
  <si>
    <t>耗能250|冷却7s|子弹数1/1/2|溅射25%/35%/35%</t>
  </si>
  <si>
    <t>耗能200+/200/200|冷却7s|子弹数2/2/2|40%溅射</t>
  </si>
  <si>
    <t>耗能200|冷却7s|子弹数2|溅射25%/40%/40%|一转减速</t>
  </si>
  <si>
    <t>耗能200|冷却7s|子弹数2|溅射35%|无弹跳|弹鸡旧耗能275</t>
  </si>
  <si>
    <t>耗能275|冷却7s|子弹数1/1/2|溅射100%</t>
  </si>
  <si>
    <t>耗能275|冷却7s|子弹数1/1/2|溅射25%</t>
  </si>
  <si>
    <t>耗能255|冷却7s|子弹数1/1/2|溅射25%|吓退老鼠1格,一转2格</t>
  </si>
  <si>
    <t>旧版壮壮牛</t>
  </si>
  <si>
    <t>程序猿暗改数据警告！</t>
  </si>
  <si>
    <t>耗能275|冷却7s|子弹数1/1/2|溅射30%,炸弹溅射100%</t>
  </si>
  <si>
    <r>
      <rPr>
        <sz val="14"/>
        <color theme="1"/>
        <rFont val="等线"/>
        <charset val="134"/>
      </rPr>
      <t>投篮虎一转炸弹命中造成火化效果(类似生煎锅)，二转后炸弹可以斩杀不防爆的老鼠|</t>
    </r>
    <r>
      <rPr>
        <b/>
        <sz val="14"/>
        <color rgb="FFC00000"/>
        <rFont val="等线"/>
        <charset val="134"/>
      </rPr>
      <t>投篮虎是目前唯一溅射可以吃加强器增幅的卡</t>
    </r>
  </si>
  <si>
    <r>
      <rPr>
        <b/>
        <sz val="14"/>
        <color rgb="FFC00000"/>
        <rFont val="等线"/>
        <charset val="134"/>
      </rPr>
      <t>满配</t>
    </r>
    <r>
      <rPr>
        <sz val="14"/>
        <color theme="1"/>
        <rFont val="等线"/>
        <charset val="134"/>
      </rPr>
      <t>煮蛋器</t>
    </r>
  </si>
  <si>
    <r>
      <rPr>
        <b/>
        <sz val="14"/>
        <color rgb="FFC00000"/>
        <rFont val="等线"/>
        <charset val="134"/>
      </rPr>
      <t>满配</t>
    </r>
    <r>
      <rPr>
        <sz val="14"/>
        <rFont val="等线"/>
        <charset val="134"/>
      </rPr>
      <t>双鱼座</t>
    </r>
  </si>
  <si>
    <r>
      <rPr>
        <b/>
        <sz val="14"/>
        <color rgb="FFC00000"/>
        <rFont val="等线"/>
        <charset val="134"/>
      </rPr>
      <t>满配</t>
    </r>
    <r>
      <rPr>
        <b/>
        <sz val="14"/>
        <color rgb="FF002060"/>
        <rFont val="等线"/>
        <charset val="134"/>
      </rPr>
      <t>二转</t>
    </r>
    <r>
      <rPr>
        <sz val="14"/>
        <rFont val="等线"/>
        <charset val="134"/>
      </rPr>
      <t>双鱼</t>
    </r>
  </si>
  <si>
    <r>
      <rPr>
        <sz val="14"/>
        <color theme="1"/>
        <rFont val="等线"/>
        <charset val="134"/>
      </rPr>
      <t>煮蛋器2个攻速食谱分开写|开启</t>
    </r>
    <r>
      <rPr>
        <b/>
        <sz val="14"/>
        <color theme="1"/>
        <rFont val="等线"/>
        <charset val="134"/>
      </rPr>
      <t>葡式蛋挞</t>
    </r>
    <r>
      <rPr>
        <sz val="14"/>
        <color theme="1"/>
        <rFont val="等线"/>
        <charset val="134"/>
      </rPr>
      <t>后冷却变为6s</t>
    </r>
  </si>
  <si>
    <r>
      <rPr>
        <b/>
        <sz val="14"/>
        <color rgb="FFC00000"/>
        <rFont val="等线"/>
        <charset val="134"/>
      </rPr>
      <t>姜饼</t>
    </r>
    <r>
      <rPr>
        <sz val="14"/>
        <rFont val="等线"/>
        <charset val="134"/>
      </rPr>
      <t>煮蛋器</t>
    </r>
  </si>
  <si>
    <r>
      <rPr>
        <sz val="14"/>
        <color theme="1"/>
        <rFont val="等线"/>
        <charset val="134"/>
      </rPr>
      <t>在仅开启</t>
    </r>
    <r>
      <rPr>
        <b/>
        <sz val="14"/>
        <color theme="1"/>
        <rFont val="等线"/>
        <charset val="134"/>
      </rPr>
      <t>圣诞姜饼</t>
    </r>
    <r>
      <rPr>
        <sz val="14"/>
        <color theme="1"/>
        <rFont val="等线"/>
        <charset val="134"/>
      </rPr>
      <t>时的攻击间隔</t>
    </r>
  </si>
  <si>
    <r>
      <rPr>
        <b/>
        <sz val="14"/>
        <color rgb="FFC00000"/>
        <rFont val="等线"/>
        <charset val="134"/>
      </rPr>
      <t>茶叶蛋</t>
    </r>
    <r>
      <rPr>
        <sz val="14"/>
        <rFont val="等线"/>
        <charset val="134"/>
      </rPr>
      <t>煮蛋器</t>
    </r>
  </si>
  <si>
    <r>
      <rPr>
        <sz val="14"/>
        <color theme="1"/>
        <rFont val="等线"/>
        <charset val="134"/>
      </rPr>
      <t>在仅开启</t>
    </r>
    <r>
      <rPr>
        <b/>
        <sz val="14"/>
        <color theme="1"/>
        <rFont val="等线"/>
        <charset val="134"/>
      </rPr>
      <t>茶叶蛋</t>
    </r>
    <r>
      <rPr>
        <sz val="14"/>
        <color theme="1"/>
        <rFont val="等线"/>
        <charset val="134"/>
      </rPr>
      <t>时的攻击间隔</t>
    </r>
  </si>
  <si>
    <r>
      <rPr>
        <sz val="14"/>
        <color theme="1"/>
        <rFont val="等线"/>
        <charset val="134"/>
      </rPr>
      <t>在</t>
    </r>
    <r>
      <rPr>
        <b/>
        <sz val="14"/>
        <color theme="1"/>
        <rFont val="等线"/>
        <charset val="134"/>
      </rPr>
      <t>圣诞姜饼</t>
    </r>
    <r>
      <rPr>
        <sz val="14"/>
        <color theme="1"/>
        <rFont val="等线"/>
        <charset val="134"/>
      </rPr>
      <t>和</t>
    </r>
    <r>
      <rPr>
        <b/>
        <sz val="14"/>
        <color theme="1"/>
        <rFont val="等线"/>
        <charset val="134"/>
      </rPr>
      <t>茶叶蛋</t>
    </r>
    <r>
      <rPr>
        <sz val="14"/>
        <color theme="1"/>
        <rFont val="等线"/>
        <charset val="134"/>
      </rPr>
      <t>同时开启的情况下</t>
    </r>
  </si>
  <si>
    <r>
      <rPr>
        <b/>
        <sz val="14"/>
        <color rgb="FFC00000"/>
        <rFont val="等线"/>
        <charset val="134"/>
      </rPr>
      <t>满配</t>
    </r>
    <r>
      <rPr>
        <sz val="14"/>
        <color theme="1"/>
        <rFont val="等线"/>
        <charset val="134"/>
      </rPr>
      <t>双鱼座</t>
    </r>
  </si>
  <si>
    <t>拿来作雷神的援护√</t>
  </si>
  <si>
    <t>投手B</t>
  </si>
  <si>
    <t>带定身控制的和基础攻击力不高的</t>
  </si>
  <si>
    <t>雪糕投手</t>
  </si>
  <si>
    <t>投弹猪</t>
  </si>
  <si>
    <r>
      <rPr>
        <b/>
        <sz val="14"/>
        <color rgb="FF0070C0"/>
        <rFont val="等线"/>
        <charset val="134"/>
      </rPr>
      <t>一转</t>
    </r>
    <r>
      <rPr>
        <sz val="14"/>
        <color theme="1"/>
        <rFont val="等线"/>
        <charset val="134"/>
      </rPr>
      <t>雪糕投手</t>
    </r>
  </si>
  <si>
    <r>
      <rPr>
        <b/>
        <sz val="14"/>
        <color rgb="FF0070C0"/>
        <rFont val="等线"/>
        <charset val="134"/>
      </rPr>
      <t>一转</t>
    </r>
    <r>
      <rPr>
        <sz val="14"/>
        <rFont val="等线"/>
        <charset val="134"/>
      </rPr>
      <t>投弹猪</t>
    </r>
  </si>
  <si>
    <t>攻击速度</t>
  </si>
  <si>
    <t>雪糕投手间隔2轮发射一次冰冻子弹,可冻住单格内所有老鼠
耗能135|冷却7s|子弹数1/1/2|20%溅射</t>
  </si>
  <si>
    <t>耗能225|冷却7s|子弹数2/2/3|无溅射|定身4s|初设计为击退</t>
  </si>
  <si>
    <t>以下为真爱结晶、图鉴加成拉满后的数值</t>
  </si>
  <si>
    <r>
      <rPr>
        <b/>
        <sz val="14"/>
        <color rgb="FFC00000"/>
        <rFont val="等线"/>
        <charset val="134"/>
      </rPr>
      <t>满配</t>
    </r>
    <r>
      <rPr>
        <sz val="14"/>
        <color theme="1"/>
        <rFont val="等线"/>
        <charset val="134"/>
      </rPr>
      <t>投弹猪</t>
    </r>
  </si>
  <si>
    <r>
      <rPr>
        <b/>
        <sz val="14"/>
        <color rgb="FFC00000"/>
        <rFont val="等线"/>
        <charset val="134"/>
      </rPr>
      <t>满配</t>
    </r>
    <r>
      <rPr>
        <b/>
        <sz val="14"/>
        <color rgb="FF7030A0"/>
        <rFont val="等线"/>
        <charset val="134"/>
      </rPr>
      <t>一转</t>
    </r>
    <r>
      <rPr>
        <sz val="14"/>
        <color theme="1"/>
        <rFont val="等线"/>
        <charset val="134"/>
      </rPr>
      <t>投弹</t>
    </r>
  </si>
  <si>
    <t>如果不是因为单体貌似还挺强的？</t>
  </si>
  <si>
    <t>色拉投手</t>
  </si>
  <si>
    <t>巧克力投手</t>
  </si>
  <si>
    <t>臭豆腐投手</t>
  </si>
  <si>
    <r>
      <rPr>
        <sz val="14"/>
        <color theme="1"/>
        <rFont val="等线"/>
        <charset val="134"/>
      </rPr>
      <t>太冷门不列举详细常规数据|</t>
    </r>
    <r>
      <rPr>
        <b/>
        <sz val="14"/>
        <color rgb="FFC00000"/>
        <rFont val="等线"/>
        <charset val="134"/>
      </rPr>
      <t>巧克力唯一作用是大炮的底座</t>
    </r>
  </si>
  <si>
    <t>弹跳实际为一个1*3范围的溅射伤害</t>
  </si>
  <si>
    <t>臭豆腐投手的毒雾，每秒对范围内老鼠造成30%溅射伤害
（最低为15）共计3次，一转提升至35%</t>
  </si>
  <si>
    <t>投手C</t>
  </si>
  <si>
    <t>《寄投手》 底座和没人用的</t>
  </si>
  <si>
    <t>冰煮蛋器</t>
  </si>
  <si>
    <t>8周年蛋糕</t>
  </si>
  <si>
    <r>
      <rPr>
        <sz val="14"/>
        <rFont val="等线"/>
        <charset val="134"/>
      </rPr>
      <t>8周年蛋糕:耗能150|冷却7s|子弹数1|</t>
    </r>
    <r>
      <rPr>
        <b/>
        <sz val="14"/>
        <color rgb="FFC00000"/>
        <rFont val="等线"/>
        <charset val="134"/>
      </rPr>
      <t>可用作大炮的底座</t>
    </r>
  </si>
  <si>
    <t>理想冰煮蛋器</t>
  </si>
  <si>
    <r>
      <rPr>
        <sz val="14"/>
        <color theme="1"/>
        <rFont val="等线"/>
        <charset val="134"/>
      </rPr>
      <t>耗能200+/200/200|冷却50s|子弹数1</t>
    </r>
    <r>
      <rPr>
        <b/>
        <sz val="14"/>
        <color rgb="FFC00000"/>
        <rFont val="等线"/>
        <charset val="134"/>
      </rPr>
      <t>|攻速恒定3s,技能报废</t>
    </r>
  </si>
  <si>
    <t>火焰伤害3次，每次造成单格范围内的50%溅射伤害</t>
  </si>
  <si>
    <t>空配煮蛋器</t>
  </si>
  <si>
    <t>食谱+结晶</t>
  </si>
  <si>
    <t>先食谱再结晶</t>
  </si>
  <si>
    <t>先结晶再食谱</t>
  </si>
  <si>
    <r>
      <rPr>
        <sz val="48"/>
        <color theme="1"/>
        <rFont val="方正粗圆简体"/>
        <charset val="134"/>
      </rPr>
      <t xml:space="preserve">海星类&amp;类海星类&amp;竞技类
</t>
    </r>
    <r>
      <rPr>
        <sz val="18"/>
        <color theme="1"/>
        <rFont val="方正粗圆简体"/>
        <charset val="134"/>
      </rPr>
      <t>Star &amp; PVP</t>
    </r>
  </si>
  <si>
    <t>更新日期:2022.9.24</t>
  </si>
  <si>
    <t>禁止某女企业家盗用！！！</t>
  </si>
  <si>
    <t>海星类</t>
  </si>
  <si>
    <t>炭烧海星</t>
  </si>
  <si>
    <t>猪猪料理机</t>
  </si>
  <si>
    <t>食谱料理机</t>
  </si>
  <si>
    <t>陀螺喵</t>
  </si>
  <si>
    <t>冥神</t>
  </si>
  <si>
    <t>食谱冥神</t>
  </si>
  <si>
    <r>
      <rPr>
        <sz val="14"/>
        <color theme="1"/>
        <rFont val="等线"/>
        <charset val="134"/>
      </rPr>
      <t>子弹数为单方向子弹数|冷却均为7s|</t>
    </r>
    <r>
      <rPr>
        <b/>
        <sz val="14"/>
        <color rgb="FFC00000"/>
        <rFont val="等线"/>
        <charset val="134"/>
      </rPr>
      <t>海星二转才可以被反弹</t>
    </r>
  </si>
  <si>
    <t>耗能175|子弹数1/1/2|可直接在海底生存</t>
  </si>
  <si>
    <t>耗能225/175/175|子弹数1/1/2|背面子弹可过火|一转减速</t>
  </si>
  <si>
    <t>耗能225/175/175|子弹数1/1/2|一转减速</t>
  </si>
  <si>
    <t>耗能225|子弹数1/1.2/2.2|可直接在海底生存</t>
  </si>
  <si>
    <t>下面是关于猪猪料理机的一些那啥</t>
  </si>
  <si>
    <r>
      <rPr>
        <sz val="14"/>
        <color theme="1"/>
        <rFont val="等线"/>
        <charset val="134"/>
      </rPr>
      <t>猪猪料理机的背面子弹，有一份独立的攻击数据，</t>
    </r>
    <r>
      <rPr>
        <b/>
        <sz val="14"/>
        <color rgb="FFC00000"/>
        <rFont val="等线"/>
        <charset val="134"/>
      </rPr>
      <t>且不享受食神谱加成</t>
    </r>
    <r>
      <rPr>
        <sz val="14"/>
        <color theme="1"/>
        <rFont val="等线"/>
        <charset val="134"/>
      </rPr>
      <t>。
背面子弹即使带上了减速效果，要变成火弹也只需要过一次火（冰包和冰威武要过2次火）</t>
    </r>
  </si>
  <si>
    <t>料理机背面</t>
  </si>
  <si>
    <t>下面是关于冥神的一些那啥</t>
  </si>
  <si>
    <r>
      <rPr>
        <sz val="14"/>
        <color theme="1"/>
        <rFont val="等线"/>
        <charset val="134"/>
      </rPr>
      <t>三转、四转冥神攻击的</t>
    </r>
    <r>
      <rPr>
        <b/>
        <sz val="14"/>
        <color rgb="FF0070C0"/>
        <rFont val="等线"/>
        <charset val="134"/>
      </rPr>
      <t>第一圈飞刀（蓝色的）</t>
    </r>
    <r>
      <rPr>
        <sz val="14"/>
        <color theme="1"/>
        <rFont val="等线"/>
        <charset val="134"/>
      </rPr>
      <t>伤害只有</t>
    </r>
    <r>
      <rPr>
        <b/>
        <sz val="14"/>
        <color rgb="FF0070C0"/>
        <rFont val="等线"/>
        <charset val="134"/>
      </rPr>
      <t>20%</t>
    </r>
    <r>
      <rPr>
        <sz val="14"/>
        <color theme="1"/>
        <rFont val="等线"/>
        <charset val="134"/>
      </rPr>
      <t>，后续的紫红色飞刀伤害正常
四转效果是每个方向增加一发子弹</t>
    </r>
  </si>
  <si>
    <t>这边预测设计上，三转攻击力是正常的，四转子弹+1是+0.2*5，然后游戏里面代码写串了导致三转遭殃</t>
  </si>
  <si>
    <t>冥神蓝子弹</t>
  </si>
  <si>
    <t>以下为真爱结晶、食神谱加成拉满后的数值</t>
  </si>
  <si>
    <r>
      <rPr>
        <b/>
        <sz val="14"/>
        <color rgb="FFFF0000"/>
        <rFont val="等线"/>
        <charset val="134"/>
      </rPr>
      <t>满配</t>
    </r>
    <r>
      <rPr>
        <sz val="14"/>
        <color theme="2" tint="-0.5"/>
        <rFont val="等线"/>
        <charset val="134"/>
      </rPr>
      <t>炭烧海星</t>
    </r>
  </si>
  <si>
    <r>
      <rPr>
        <b/>
        <sz val="14"/>
        <color rgb="FFC00000"/>
        <rFont val="等线"/>
        <charset val="134"/>
      </rPr>
      <t>满配</t>
    </r>
    <r>
      <rPr>
        <sz val="14"/>
        <rFont val="等线"/>
        <charset val="134"/>
      </rPr>
      <t>冥神</t>
    </r>
  </si>
  <si>
    <r>
      <rPr>
        <sz val="14"/>
        <color theme="1"/>
        <rFont val="等线"/>
        <charset val="134"/>
      </rPr>
      <t>满配炭烧海星指</t>
    </r>
    <r>
      <rPr>
        <sz val="14"/>
        <color theme="2" tint="-0.5"/>
        <rFont val="等线"/>
        <charset val="134"/>
      </rPr>
      <t>15海星结晶</t>
    </r>
    <r>
      <rPr>
        <sz val="14"/>
        <color theme="1"/>
        <rFont val="等线"/>
        <charset val="134"/>
      </rPr>
      <t>时的数据|满配冥神则为海星拉面+15冥神结晶时的数据</t>
    </r>
  </si>
  <si>
    <t>类海星类</t>
  </si>
  <si>
    <t>厨师虎</t>
  </si>
  <si>
    <t>怪味鱿鱼</t>
  </si>
  <si>
    <t>子弹均不可过火</t>
  </si>
  <si>
    <t>耗能200|冷却7s|单方向子弹数1/2/3</t>
  </si>
  <si>
    <t>耗能155|冷却7s|单方向子弹数1/1/2|一转后可被反弹</t>
  </si>
  <si>
    <t>厨师虎子弹方向：正前方,斜上45°斜下45°|子弹附带单格30%溅射|怪味鱿鱼：8个方向正前后上下以及4个45°角的子弹|需章鱼烧为底座</t>
  </si>
  <si>
    <t>竞技类</t>
  </si>
  <si>
    <t>鲈鱼</t>
  </si>
  <si>
    <t>便便汪</t>
  </si>
  <si>
    <r>
      <rPr>
        <b/>
        <sz val="14"/>
        <color theme="8" tint="-0.5"/>
        <rFont val="等线"/>
        <charset val="134"/>
      </rPr>
      <t>二转</t>
    </r>
    <r>
      <rPr>
        <sz val="14"/>
        <color theme="1"/>
        <rFont val="等线"/>
        <charset val="134"/>
      </rPr>
      <t>便便汪</t>
    </r>
  </si>
  <si>
    <t>龙虾</t>
  </si>
  <si>
    <t>龙虾：耗能225|冷却7s</t>
  </si>
  <si>
    <t>烧鸡</t>
  </si>
  <si>
    <t>食谱烧鸡</t>
  </si>
  <si>
    <t>饼干汪</t>
  </si>
  <si>
    <t>体力</t>
  </si>
  <si>
    <t>牛角面包</t>
  </si>
  <si>
    <t>食谱牛角面包</t>
  </si>
  <si>
    <t>盾盾汪</t>
  </si>
  <si>
    <r>
      <rPr>
        <b/>
        <sz val="14"/>
        <color rgb="FF0070C0"/>
        <rFont val="等线"/>
        <charset val="134"/>
      </rPr>
      <t>一转</t>
    </r>
    <r>
      <rPr>
        <sz val="14"/>
        <color theme="1"/>
        <rFont val="等线"/>
        <charset val="134"/>
      </rPr>
      <t>盾盾汪</t>
    </r>
  </si>
  <si>
    <r>
      <rPr>
        <sz val="14"/>
        <color theme="1"/>
        <rFont val="等线"/>
        <charset val="134"/>
      </rPr>
      <t>竞技玩变冷门不列举详细常规数据|鲈鱼烧鸡冷却7s|启用鸡丝银鱼汤后变为6s|</t>
    </r>
    <r>
      <rPr>
        <b/>
        <sz val="14"/>
        <color rgb="FFC00000"/>
        <rFont val="等线"/>
        <charset val="134"/>
      </rPr>
      <t>便便汪和饼干汪冷却为6s</t>
    </r>
    <r>
      <rPr>
        <sz val="14"/>
        <color theme="1"/>
        <rFont val="等线"/>
        <charset val="134"/>
      </rPr>
      <t>|牛角面包冷却15s|</t>
    </r>
    <r>
      <rPr>
        <b/>
        <sz val="14"/>
        <color rgb="FFC00000"/>
        <rFont val="等线"/>
        <charset val="134"/>
      </rPr>
      <t>盾盾汪冷却14s</t>
    </r>
  </si>
  <si>
    <r>
      <rPr>
        <sz val="48"/>
        <color theme="1"/>
        <rFont val="方正粗圆简体"/>
        <charset val="134"/>
      </rPr>
      <t xml:space="preserve">增幅类
</t>
    </r>
    <r>
      <rPr>
        <sz val="18"/>
        <color theme="1"/>
        <rFont val="方正粗圆简体"/>
        <charset val="134"/>
      </rPr>
      <t>Magnification Auxiliary</t>
    </r>
  </si>
  <si>
    <t>这张图小数点有点多，请留意.png</t>
  </si>
  <si>
    <t>平射增幅</t>
  </si>
  <si>
    <t>增幅倍率</t>
  </si>
  <si>
    <t>火盆</t>
  </si>
  <si>
    <t>食谱火盆</t>
  </si>
  <si>
    <t>暖炉汪</t>
  </si>
  <si>
    <t>图鉴暖炉汪</t>
  </si>
  <si>
    <t>金牛</t>
  </si>
  <si>
    <t>图鉴金牛</t>
  </si>
  <si>
    <t>能量喵</t>
  </si>
  <si>
    <t>火神</t>
  </si>
  <si>
    <t>图鉴火神</t>
  </si>
  <si>
    <t>以下为计算转职增幅后的数据</t>
  </si>
  <si>
    <t>二转火盆</t>
  </si>
  <si>
    <t>二转食谱火盆</t>
  </si>
  <si>
    <t>二转暖炉汪</t>
  </si>
  <si>
    <t>二转图鉴暖炉</t>
  </si>
  <si>
    <t>二转金牛</t>
  </si>
  <si>
    <t>二转图鉴金牛</t>
  </si>
  <si>
    <t>二转能量喵</t>
  </si>
  <si>
    <t>三转火神</t>
  </si>
  <si>
    <t>三转图鉴火神</t>
  </si>
  <si>
    <t>投手增幅</t>
  </si>
  <si>
    <t>蓝莓塔</t>
  </si>
  <si>
    <t>水果塔</t>
  </si>
  <si>
    <t>猪猪加强器</t>
  </si>
  <si>
    <t>图鉴加强器</t>
  </si>
  <si>
    <r>
      <rPr>
        <b/>
        <sz val="14"/>
        <color rgb="FF0070C0"/>
        <rFont val="等线"/>
        <charset val="134"/>
      </rPr>
      <t>二转</t>
    </r>
    <r>
      <rPr>
        <sz val="14"/>
        <color theme="1"/>
        <rFont val="等线"/>
        <charset val="134"/>
      </rPr>
      <t>水果塔</t>
    </r>
  </si>
  <si>
    <r>
      <rPr>
        <b/>
        <sz val="14"/>
        <color rgb="FF0070C0"/>
        <rFont val="等线"/>
        <charset val="134"/>
      </rPr>
      <t>二转</t>
    </r>
    <r>
      <rPr>
        <sz val="14"/>
        <color theme="1"/>
        <rFont val="等线"/>
        <charset val="134"/>
      </rPr>
      <t>能量喵</t>
    </r>
  </si>
  <si>
    <t>黑猪</t>
  </si>
  <si>
    <t>图鉴黑猪</t>
  </si>
  <si>
    <t>冷却时间</t>
  </si>
  <si>
    <t>能量喵冷却恒定7s|旧版加强器一转附带冷却缩减属性</t>
  </si>
  <si>
    <t>耗能160|冷却数据为旧版加强器数据</t>
  </si>
  <si>
    <t>耗能150|一转对周围3*3范围内老鼠造成1000物理伤害</t>
  </si>
  <si>
    <r>
      <rPr>
        <sz val="15"/>
        <color theme="1"/>
        <rFont val="等线"/>
        <charset val="134"/>
      </rPr>
      <t>耗能175|二转“大幅度”增伤为20%|</t>
    </r>
    <r>
      <rPr>
        <sz val="15"/>
        <color theme="0" tint="-0.5"/>
        <rFont val="等线"/>
        <charset val="134"/>
      </rPr>
      <t>旧版转职0技能冷却10s</t>
    </r>
  </si>
  <si>
    <t>追踪增幅</t>
  </si>
  <si>
    <t>莓果点心</t>
  </si>
  <si>
    <t>香料虎</t>
  </si>
  <si>
    <r>
      <rPr>
        <b/>
        <sz val="14"/>
        <color theme="8" tint="-0.5"/>
        <rFont val="等线"/>
        <charset val="134"/>
      </rPr>
      <t>二转</t>
    </r>
    <r>
      <rPr>
        <sz val="14"/>
        <color theme="1"/>
        <rFont val="等线"/>
        <charset val="134"/>
      </rPr>
      <t>莓果点心</t>
    </r>
  </si>
  <si>
    <r>
      <rPr>
        <b/>
        <sz val="14"/>
        <color theme="8" tint="-0.5"/>
        <rFont val="等线"/>
        <charset val="134"/>
      </rPr>
      <t>二转</t>
    </r>
    <r>
      <rPr>
        <sz val="14"/>
        <rFont val="等线"/>
        <charset val="134"/>
      </rPr>
      <t>香料虎</t>
    </r>
  </si>
  <si>
    <t>最下面为可增幅的对象の名单</t>
  </si>
  <si>
    <t>耗能260|增幅范围3*3/5*5/5*5</t>
  </si>
  <si>
    <t>耗能215|增幅范围3*3/5*5/5*5</t>
  </si>
  <si>
    <t>章鱼烧、巨蟹座、忍忍鸡、飞盘汪、飞镖猪、月神以及他们的所有转职形态(其实就是飞镖追踪类)</t>
  </si>
  <si>
    <t>章鱼烧|两栖章鱼烧|火影章鱼烧</t>
  </si>
  <si>
    <t>巨蟹座精灵|巨蟹座战将|巨蟹座星宿</t>
  </si>
  <si>
    <t>忍忍鸡|疾风忍忍鸡|幻影忍忍鸡</t>
  </si>
  <si>
    <t>飞盘汪|大厨飞盘汪|名厨飞盘汪</t>
  </si>
  <si>
    <t>飞镖猪|银甲飞镖猪|金甲飞镖猪</t>
  </si>
  <si>
    <t>狄安娜神使|狄安娜圣神|月神·狄安娜|至尊月神</t>
  </si>
  <si>
    <r>
      <rPr>
        <b/>
        <sz val="15"/>
        <color theme="1"/>
        <rFont val="方正爽趣体 简繁"/>
        <charset val="134"/>
      </rPr>
      <t>此行的2张卡</t>
    </r>
    <r>
      <rPr>
        <b/>
        <sz val="15"/>
        <color rgb="FFC00000"/>
        <rFont val="方正爽趣体 简繁"/>
        <charset val="134"/>
      </rPr>
      <t>仅仅只能</t>
    </r>
    <r>
      <rPr>
        <b/>
        <sz val="15"/>
        <color theme="1"/>
        <rFont val="方正爽趣体 简繁"/>
        <charset val="134"/>
      </rPr>
      <t>被</t>
    </r>
    <r>
      <rPr>
        <b/>
        <sz val="18"/>
        <color rgb="FF002060"/>
        <rFont val="方正爽趣体 简繁"/>
        <charset val="134"/>
      </rPr>
      <t>香料虎</t>
    </r>
    <r>
      <rPr>
        <b/>
        <sz val="15"/>
        <color theme="1"/>
        <rFont val="方正爽趣体 简繁"/>
        <charset val="134"/>
      </rPr>
      <t xml:space="preserve">加成
</t>
    </r>
    <r>
      <rPr>
        <b/>
        <sz val="18"/>
        <color theme="2" tint="-0.5"/>
        <rFont val="方正爽趣体 简繁"/>
        <charset val="134"/>
      </rPr>
      <t>大弟钕神</t>
    </r>
    <r>
      <rPr>
        <b/>
        <sz val="15"/>
        <color rgb="FFC00000"/>
        <rFont val="方正爽趣体 简繁"/>
        <charset val="134"/>
      </rPr>
      <t>无加成</t>
    </r>
    <r>
      <rPr>
        <b/>
        <sz val="15"/>
        <rFont val="方正爽趣体 简繁"/>
        <charset val="134"/>
      </rPr>
      <t>|</t>
    </r>
    <r>
      <rPr>
        <b/>
        <sz val="18"/>
        <color theme="7" tint="-0.25"/>
        <rFont val="方正爽趣体 简繁"/>
        <charset val="134"/>
      </rPr>
      <t>火箭猪</t>
    </r>
    <r>
      <rPr>
        <b/>
        <sz val="15"/>
        <rFont val="方正爽趣体 简繁"/>
        <charset val="134"/>
      </rPr>
      <t>进化成</t>
    </r>
    <r>
      <rPr>
        <b/>
        <sz val="18"/>
        <color theme="7" tint="-0.25"/>
        <rFont val="方正爽趣体 简繁"/>
        <charset val="134"/>
      </rPr>
      <t>核弹猪</t>
    </r>
  </si>
  <si>
    <t>火箭猪|运载火箭猪|反重力火箭猪</t>
  </si>
  <si>
    <t>盖亚神使|盖亚圣神|大地女神·盖亚</t>
  </si>
  <si>
    <t>全能增幅</t>
  </si>
  <si>
    <t>目前仅包含：11周年美食盒子</t>
  </si>
  <si>
    <t>11周年盒子</t>
  </si>
  <si>
    <t>增幅百分比</t>
  </si>
  <si>
    <t>耗能11|范围3*3|看似是悬浮卡实则占格子|技能几乎无意义</t>
  </si>
  <si>
    <t>体力属性</t>
  </si>
  <si>
    <t>不包含11周年美食盒子</t>
  </si>
  <si>
    <r>
      <rPr>
        <b/>
        <sz val="14"/>
        <color rgb="FF0070C0"/>
        <rFont val="等线"/>
        <charset val="134"/>
      </rPr>
      <t>一转</t>
    </r>
    <r>
      <rPr>
        <sz val="14"/>
        <color theme="1"/>
        <rFont val="等线"/>
        <charset val="134"/>
      </rPr>
      <t>加强器</t>
    </r>
  </si>
  <si>
    <r>
      <rPr>
        <b/>
        <sz val="14"/>
        <color rgb="FF0070C0"/>
        <rFont val="等线"/>
        <charset val="134"/>
      </rPr>
      <t>一转</t>
    </r>
    <r>
      <rPr>
        <sz val="14"/>
        <color theme="1"/>
        <rFont val="等线"/>
        <charset val="134"/>
      </rPr>
      <t>能量喵</t>
    </r>
  </si>
  <si>
    <r>
      <rPr>
        <b/>
        <sz val="14"/>
        <color rgb="FF0070C0"/>
        <rFont val="等线"/>
        <charset val="134"/>
      </rPr>
      <t>一转</t>
    </r>
    <r>
      <rPr>
        <sz val="14"/>
        <rFont val="等线"/>
        <charset val="134"/>
      </rPr>
      <t>火盆</t>
    </r>
  </si>
  <si>
    <r>
      <rPr>
        <sz val="14"/>
        <rFont val="等线"/>
        <charset val="134"/>
      </rPr>
      <t>食谱</t>
    </r>
    <r>
      <rPr>
        <b/>
        <sz val="14"/>
        <color rgb="FF0070C0"/>
        <rFont val="等线"/>
        <charset val="134"/>
      </rPr>
      <t>一转</t>
    </r>
    <r>
      <rPr>
        <sz val="14"/>
        <rFont val="等线"/>
        <charset val="134"/>
      </rPr>
      <t>火盆</t>
    </r>
  </si>
  <si>
    <t>白猪</t>
  </si>
  <si>
    <t>不转能量喵</t>
  </si>
  <si>
    <t>蓝莓/水果塔</t>
  </si>
  <si>
    <t>暖炉汪强化加体力,但是游戏文案没写|加强器一转实际效果为“体力可提升”</t>
  </si>
  <si>
    <t>成吨的附加说明</t>
  </si>
  <si>
    <t>15星带食谱火盆，和16星不管你带没带食谱的火盆，会报废（二转前火盆倍率大于3.2，二转后大于3.52，会被强制修正为0|二转前金牛倍率大于6，二转后大于7.2001，会被强制修正为0）</t>
  </si>
  <si>
    <t>同一条线路多个投手增幅时，取最大的为生效数值</t>
  </si>
  <si>
    <t>附上火的子弹穿过倍率更高的火盆类卡时，移除之前的过火情况并附上新的</t>
  </si>
  <si>
    <t>过终转火神的子弹,对命中单位所在格造成100%伤害溅射,对3*3十字范围内(不含子弹本格)造成30%伤害溅射(无受伤动画)多路可叠加</t>
  </si>
  <si>
    <t>图鉴和食谱的倍率加成，在计算完转职加成后再计算，其中除了暖炉汪为乘算（*1.03）以外，其他的均为加算0.1|加强器加算0.05</t>
  </si>
  <si>
    <t>看着挺核锂</t>
  </si>
  <si>
    <t>食谱看着挺核锂</t>
  </si>
  <si>
    <t>火盆&amp;金牛对比</t>
  </si>
  <si>
    <t>金牛体力</t>
  </si>
  <si>
    <t>Made by 陌路不住你的心  2022.3.19 原贴：http://my.4399.com/forums/thread-62800732</t>
  </si>
  <si>
    <r>
      <rPr>
        <sz val="48"/>
        <color theme="1"/>
        <rFont val="方正粗圆简体"/>
        <charset val="134"/>
      </rPr>
      <t xml:space="preserve">持续产火类
</t>
    </r>
    <r>
      <rPr>
        <sz val="18"/>
        <color theme="1"/>
        <rFont val="方正粗圆简体"/>
        <charset val="134"/>
      </rPr>
      <t>EnergyFlower &amp; Special Effect Producer</t>
    </r>
  </si>
  <si>
    <t>太阳神</t>
  </si>
  <si>
    <t>产火间隔</t>
  </si>
  <si>
    <t>火苗单值</t>
  </si>
  <si>
    <t>耗能200|冷却50s，激活图鉴后冷却45s</t>
  </si>
  <si>
    <t>单轮产值</t>
  </si>
  <si>
    <t>单次产火数6/7/8|四转放下后立即产火</t>
  </si>
  <si>
    <t>阿波罗神使</t>
  </si>
  <si>
    <t>阿波罗圣神</t>
  </si>
  <si>
    <t>太阳神·阿波罗</t>
  </si>
  <si>
    <t>以下为真爱结晶、金卡援护加成拉满后的数值</t>
  </si>
  <si>
    <r>
      <rPr>
        <b/>
        <sz val="14"/>
        <color rgb="FFC00000"/>
        <rFont val="等线"/>
        <charset val="134"/>
      </rPr>
      <t>满配</t>
    </r>
    <r>
      <rPr>
        <sz val="14"/>
        <color theme="1"/>
        <rFont val="等线"/>
        <charset val="134"/>
      </rPr>
      <t>太阳神</t>
    </r>
  </si>
  <si>
    <r>
      <rPr>
        <sz val="14"/>
        <color theme="1"/>
        <rFont val="等线"/>
        <charset val="134"/>
      </rPr>
      <t>15结晶,满援护时的火苗单值|四转顶配单次</t>
    </r>
    <r>
      <rPr>
        <b/>
        <sz val="14"/>
        <color rgb="FFC00000"/>
        <rFont val="方正粗黑宋简体"/>
        <charset val="134"/>
      </rPr>
      <t>336</t>
    </r>
  </si>
  <si>
    <t>配冰沙+幻幻鸡|开局通过武器产能直接4个太阳神非常舒服</t>
  </si>
  <si>
    <t>援护加成实际生效时会向下取整
数据带小数是为了保证与背包内的加成显示一致</t>
  </si>
  <si>
    <t>双子座技能等级</t>
  </si>
  <si>
    <t>小
火
炉
技
能
等
级</t>
  </si>
  <si>
    <t>1.0</t>
  </si>
  <si>
    <t>2.0</t>
  </si>
  <si>
    <t>主职产火</t>
  </si>
  <si>
    <t>包含：小火炉、大火炉、酒杯灯、7周年蜡烛、双子座、暖暖鸡、咕咕鸡、火焰牛、烈火虎(储能数据写在“储能产火里”)</t>
  </si>
  <si>
    <t>通用</t>
  </si>
  <si>
    <t>下面包含的东西比较多</t>
  </si>
  <si>
    <t>火炉酒杯</t>
  </si>
  <si>
    <t>此为小火炉、大火炉、酒杯灯</t>
  </si>
  <si>
    <t>7周年蜡烛</t>
  </si>
  <si>
    <t>7周年蜡寄</t>
  </si>
  <si>
    <t>双子双鸡</t>
  </si>
  <si>
    <t>此为双子座、暖暖鸡、咕咕鸡</t>
  </si>
  <si>
    <t>小咕咕鸡</t>
  </si>
  <si>
    <t>放下后附带类似火炉酒杯的秒产</t>
  </si>
  <si>
    <t>火焰牛</t>
  </si>
  <si>
    <t>本身具有类似大火的秒产，二转的秒产类似于四转太阳神</t>
  </si>
  <si>
    <t>烈火虎</t>
  </si>
  <si>
    <t>普通火炉和钱罐猪的究极缝合</t>
  </si>
  <si>
    <r>
      <rPr>
        <b/>
        <sz val="14"/>
        <color rgb="FF0070C0"/>
        <rFont val="等线"/>
        <charset val="134"/>
      </rPr>
      <t>二转</t>
    </r>
    <r>
      <rPr>
        <sz val="14"/>
        <color theme="1"/>
        <rFont val="等线"/>
        <charset val="134"/>
      </rPr>
      <t>暖鸡</t>
    </r>
  </si>
  <si>
    <t>二转暖暖鸡加成采用四舍五入取整</t>
  </si>
  <si>
    <r>
      <rPr>
        <b/>
        <sz val="14"/>
        <color rgb="FF0070C0"/>
        <rFont val="等线"/>
        <charset val="134"/>
      </rPr>
      <t>二转</t>
    </r>
    <r>
      <rPr>
        <sz val="14"/>
        <color theme="1"/>
        <rFont val="等线"/>
        <charset val="134"/>
      </rPr>
      <t>咕咕鸡</t>
    </r>
  </si>
  <si>
    <t>二转咕咕鸡加成采用向下取整</t>
  </si>
  <si>
    <r>
      <rPr>
        <b/>
        <sz val="14"/>
        <color rgb="FF0070C0"/>
        <rFont val="等线"/>
        <charset val="134"/>
      </rPr>
      <t>二转</t>
    </r>
    <r>
      <rPr>
        <sz val="14"/>
        <color theme="1"/>
        <rFont val="等线"/>
        <charset val="134"/>
      </rPr>
      <t>小咕咕鸡</t>
    </r>
  </si>
  <si>
    <t>咕咕鸡成长时间90s</t>
  </si>
  <si>
    <t>以下为火苗单值×火苗数量后的单轮生产的火苗能量</t>
  </si>
  <si>
    <r>
      <rPr>
        <sz val="14"/>
        <color theme="1"/>
        <rFont val="等线"/>
        <charset val="134"/>
      </rPr>
      <t>双子座、暖暖</t>
    </r>
    <r>
      <rPr>
        <b/>
        <sz val="14"/>
        <color rgb="FFC00000"/>
        <rFont val="等线"/>
        <charset val="134"/>
      </rPr>
      <t>寄</t>
    </r>
    <r>
      <rPr>
        <sz val="14"/>
        <rFont val="等线"/>
        <charset val="134"/>
      </rPr>
      <t>、咕咕鸡开启图鉴后冷却45s</t>
    </r>
  </si>
  <si>
    <t>小火&amp;酒杯</t>
  </si>
  <si>
    <t>小火炉:耗能50/25/25|冷却7s|朵数1/1/2</t>
  </si>
  <si>
    <t>小酒杯</t>
  </si>
  <si>
    <t>酒杯灯:耗能25/15/15|冷却7s|朵数1/1/2</t>
  </si>
  <si>
    <t>大火炉</t>
  </si>
  <si>
    <t>耗能150+/150/150|冷却50s|产火朵数2/3/3</t>
  </si>
  <si>
    <r>
      <rPr>
        <sz val="14"/>
        <color theme="1"/>
        <rFont val="等线"/>
        <charset val="134"/>
      </rPr>
      <t>耗能50|冷却7s|</t>
    </r>
    <r>
      <rPr>
        <b/>
        <sz val="14"/>
        <color rgb="FFC00000"/>
        <rFont val="等线"/>
        <charset val="134"/>
      </rPr>
      <t>该防御卡不支持技能</t>
    </r>
  </si>
  <si>
    <t>双子座</t>
  </si>
  <si>
    <t>耗能200+/200/200|冷却50s</t>
  </si>
  <si>
    <t>暖暖鸡</t>
  </si>
  <si>
    <t>耗能125(旧版225)|产火朵数3/4/5</t>
  </si>
  <si>
    <t>咕咕鸡</t>
  </si>
  <si>
    <t>耗能75|冷却50s|产火朵数3/4/5</t>
  </si>
  <si>
    <t>耗能150/150/150|冷却35s|产火朵数2/3/3</t>
  </si>
  <si>
    <r>
      <rPr>
        <sz val="14"/>
        <color theme="1"/>
        <rFont val="等线"/>
        <charset val="134"/>
      </rPr>
      <t>耗能85|冷却数据见“储能产火”处|产火朵数1/1/2|</t>
    </r>
    <r>
      <rPr>
        <b/>
        <sz val="14"/>
        <color rgb="FFFF0000"/>
        <rFont val="等线"/>
        <charset val="134"/>
      </rPr>
      <t>有秒产</t>
    </r>
  </si>
  <si>
    <r>
      <rPr>
        <b/>
        <sz val="15"/>
        <color theme="0"/>
        <rFont val="等线"/>
        <charset val="134"/>
      </rPr>
      <t>以下为计算</t>
    </r>
    <r>
      <rPr>
        <b/>
        <sz val="15"/>
        <color rgb="FFFFC000"/>
        <rFont val="等线"/>
        <charset val="134"/>
      </rPr>
      <t>一转</t>
    </r>
    <r>
      <rPr>
        <b/>
        <sz val="15"/>
        <color theme="0"/>
        <rFont val="等线"/>
        <charset val="134"/>
      </rPr>
      <t>增幅后的数据</t>
    </r>
  </si>
  <si>
    <r>
      <rPr>
        <b/>
        <sz val="14"/>
        <color rgb="FF0070C0"/>
        <rFont val="等线"/>
        <charset val="134"/>
      </rPr>
      <t>一转</t>
    </r>
    <r>
      <rPr>
        <sz val="14"/>
        <color theme="1"/>
        <rFont val="等线"/>
        <charset val="134"/>
      </rPr>
      <t>小火酒杯</t>
    </r>
  </si>
  <si>
    <t>减了25/10火不是一般的舒适</t>
  </si>
  <si>
    <r>
      <rPr>
        <b/>
        <sz val="14"/>
        <color rgb="FF0070C0"/>
        <rFont val="等线"/>
        <charset val="134"/>
      </rPr>
      <t>一转</t>
    </r>
    <r>
      <rPr>
        <sz val="14"/>
        <color theme="1"/>
        <rFont val="等线"/>
        <charset val="134"/>
      </rPr>
      <t>小酒杯</t>
    </r>
  </si>
  <si>
    <t>酒杯灯成长90s,成长前单火-10,成长后自身真爱谱加成消失</t>
  </si>
  <si>
    <r>
      <rPr>
        <b/>
        <sz val="14"/>
        <color rgb="FF0070C0"/>
        <rFont val="等线"/>
        <charset val="134"/>
      </rPr>
      <t>一转</t>
    </r>
    <r>
      <rPr>
        <sz val="14"/>
        <color theme="1"/>
        <rFont val="等线"/>
        <charset val="134"/>
      </rPr>
      <t>大火炉</t>
    </r>
  </si>
  <si>
    <t>大火新手就送</t>
  </si>
  <si>
    <r>
      <rPr>
        <b/>
        <sz val="14"/>
        <color rgb="FF0070C0"/>
        <rFont val="等线"/>
        <charset val="134"/>
      </rPr>
      <t>一转</t>
    </r>
    <r>
      <rPr>
        <sz val="14"/>
        <color theme="1"/>
        <rFont val="等线"/>
        <charset val="134"/>
      </rPr>
      <t>双子座</t>
    </r>
  </si>
  <si>
    <t>超级天坑|能量守恒对冷却如此慢的产能卡几乎无提升</t>
  </si>
  <si>
    <r>
      <rPr>
        <b/>
        <sz val="14"/>
        <color rgb="FF0070C0"/>
        <rFont val="等线"/>
        <charset val="134"/>
      </rPr>
      <t>一转</t>
    </r>
    <r>
      <rPr>
        <sz val="14"/>
        <color theme="1"/>
        <rFont val="等线"/>
        <charset val="134"/>
      </rPr>
      <t>暖暖鸡</t>
    </r>
  </si>
  <si>
    <t>什么？白板暖暖鸡比大火高级好弄？谁说的？</t>
  </si>
  <si>
    <r>
      <rPr>
        <b/>
        <sz val="14"/>
        <color rgb="FF0070C0"/>
        <rFont val="等线"/>
        <charset val="134"/>
      </rPr>
      <t>一转</t>
    </r>
    <r>
      <rPr>
        <sz val="14"/>
        <color theme="1"/>
        <rFont val="等线"/>
        <charset val="134"/>
      </rPr>
      <t>咕咕鸡</t>
    </r>
  </si>
  <si>
    <t>绝版状态，几乎没有人有</t>
  </si>
  <si>
    <r>
      <rPr>
        <b/>
        <sz val="14"/>
        <color rgb="FF0070C0"/>
        <rFont val="等线"/>
        <charset val="134"/>
      </rPr>
      <t>一转</t>
    </r>
    <r>
      <rPr>
        <sz val="14"/>
        <color theme="1"/>
        <rFont val="等线"/>
        <charset val="134"/>
      </rPr>
      <t>小咕咕鸡</t>
    </r>
  </si>
  <si>
    <r>
      <rPr>
        <b/>
        <sz val="14"/>
        <color rgb="FF0070C0"/>
        <rFont val="等线"/>
        <charset val="134"/>
      </rPr>
      <t>一转</t>
    </r>
    <r>
      <rPr>
        <sz val="14"/>
        <color theme="1"/>
        <rFont val="等线"/>
        <charset val="134"/>
      </rPr>
      <t>火焰牛</t>
    </r>
  </si>
  <si>
    <t>一转就足够了</t>
  </si>
  <si>
    <r>
      <rPr>
        <b/>
        <sz val="14"/>
        <color rgb="FF0070C0"/>
        <rFont val="等线"/>
        <charset val="134"/>
      </rPr>
      <t>一转</t>
    </r>
    <r>
      <rPr>
        <sz val="14"/>
        <color theme="1"/>
        <rFont val="等线"/>
        <charset val="134"/>
      </rPr>
      <t>烈火虎</t>
    </r>
  </si>
  <si>
    <t>缝合怪+1</t>
  </si>
  <si>
    <r>
      <rPr>
        <b/>
        <sz val="15"/>
        <color theme="0"/>
        <rFont val="等线"/>
        <charset val="134"/>
      </rPr>
      <t>以下为计算</t>
    </r>
    <r>
      <rPr>
        <b/>
        <sz val="15"/>
        <color rgb="FFFFFF00"/>
        <rFont val="等线"/>
        <charset val="134"/>
      </rPr>
      <t>二转</t>
    </r>
    <r>
      <rPr>
        <b/>
        <sz val="15"/>
        <color theme="0"/>
        <rFont val="等线"/>
        <charset val="134"/>
      </rPr>
      <t>增幅后的数据</t>
    </r>
  </si>
  <si>
    <r>
      <rPr>
        <b/>
        <sz val="14"/>
        <color rgb="FF0070C0"/>
        <rFont val="等线"/>
        <charset val="134"/>
      </rPr>
      <t>二转</t>
    </r>
    <r>
      <rPr>
        <sz val="14"/>
        <rFont val="等线"/>
        <charset val="134"/>
      </rPr>
      <t>小火酒杯</t>
    </r>
  </si>
  <si>
    <t>平民玩家のYYDS|配上7星结晶直接起飞</t>
  </si>
  <si>
    <r>
      <rPr>
        <b/>
        <sz val="14"/>
        <color rgb="FF0070C0"/>
        <rFont val="等线"/>
        <charset val="134"/>
      </rPr>
      <t>二转</t>
    </r>
    <r>
      <rPr>
        <sz val="14"/>
        <color theme="1"/>
        <rFont val="等线"/>
        <charset val="134"/>
      </rPr>
      <t>小酒杯</t>
    </r>
  </si>
  <si>
    <t>此状态可以吃结晶，长大吃不到就很难受</t>
  </si>
  <si>
    <r>
      <rPr>
        <b/>
        <sz val="14"/>
        <color rgb="FF0070C0"/>
        <rFont val="等线"/>
        <charset val="134"/>
      </rPr>
      <t>二转</t>
    </r>
    <r>
      <rPr>
        <sz val="14"/>
        <color theme="1"/>
        <rFont val="等线"/>
        <charset val="134"/>
      </rPr>
      <t>大火炉</t>
    </r>
  </si>
  <si>
    <t>大火高级技能书900D稳定产出</t>
  </si>
  <si>
    <r>
      <rPr>
        <b/>
        <sz val="14"/>
        <color rgb="FF0070C0"/>
        <rFont val="等线"/>
        <charset val="134"/>
      </rPr>
      <t>二转</t>
    </r>
    <r>
      <rPr>
        <sz val="14"/>
        <color theme="1"/>
        <rFont val="等线"/>
        <charset val="134"/>
      </rPr>
      <t>双子座</t>
    </r>
  </si>
  <si>
    <t>这成本可不低</t>
  </si>
  <si>
    <r>
      <rPr>
        <b/>
        <sz val="14"/>
        <color rgb="FF0070C0"/>
        <rFont val="等线"/>
        <charset val="134"/>
      </rPr>
      <t>二转</t>
    </r>
    <r>
      <rPr>
        <sz val="14"/>
        <rFont val="等线"/>
        <charset val="134"/>
      </rPr>
      <t>暖暖鸡</t>
    </r>
  </si>
  <si>
    <t>这个还是可以用的</t>
  </si>
  <si>
    <r>
      <rPr>
        <b/>
        <sz val="14"/>
        <color rgb="FF0070C0"/>
        <rFont val="等线"/>
        <charset val="134"/>
      </rPr>
      <t>二转</t>
    </r>
    <r>
      <rPr>
        <sz val="14"/>
        <rFont val="等线"/>
        <charset val="134"/>
      </rPr>
      <t>火焰牛</t>
    </r>
  </si>
  <si>
    <t>弄二转的必要性不是很大</t>
  </si>
  <si>
    <r>
      <rPr>
        <b/>
        <sz val="14"/>
        <color rgb="FF0070C0"/>
        <rFont val="等线"/>
        <charset val="134"/>
      </rPr>
      <t>二转</t>
    </r>
    <r>
      <rPr>
        <sz val="14"/>
        <color theme="1"/>
        <rFont val="等线"/>
        <charset val="134"/>
      </rPr>
      <t>烈火虎</t>
    </r>
  </si>
  <si>
    <t>缝合怪+2</t>
  </si>
  <si>
    <t>兼职产火</t>
  </si>
  <si>
    <t>包含：生日帽、守能汪、喵喵炉、
扑克牌护罩、月蟾兔</t>
  </si>
  <si>
    <t>生日帽</t>
  </si>
  <si>
    <t>守能汪</t>
  </si>
  <si>
    <t>喵喵炉</t>
  </si>
  <si>
    <t>扑克牌护罩</t>
  </si>
  <si>
    <t>月蟾兔</t>
  </si>
  <si>
    <t>生日帽、守能汪、喵喵炉均无反伤</t>
  </si>
  <si>
    <t>耗能155|产火朵数:1|冷却25s|体力固定1000</t>
  </si>
  <si>
    <t>耗能150/125/125|产火朵数:1/1/2|冷却25s|体力固定1200</t>
  </si>
  <si>
    <t>耗能125|产火朵数:1/1/2|冷却15s|非专职体力200,转职如下</t>
  </si>
  <si>
    <t>耗能130|冷却25s|火苗朵数1/1/1</t>
  </si>
  <si>
    <r>
      <rPr>
        <sz val="14"/>
        <rFont val="等线"/>
        <charset val="134"/>
      </rPr>
      <t>耗能50</t>
    </r>
    <r>
      <rPr>
        <b/>
        <sz val="14"/>
        <color rgb="FFC00000"/>
        <rFont val="等线"/>
        <charset val="134"/>
      </rPr>
      <t>|该防御卡不支持技能|爆炸伤害单格</t>
    </r>
  </si>
  <si>
    <t>转职喵炉体力</t>
  </si>
  <si>
    <t>扑克牌体力</t>
  </si>
  <si>
    <r>
      <rPr>
        <sz val="15"/>
        <color theme="1"/>
        <rFont val="等线"/>
        <charset val="134"/>
      </rPr>
      <t>扑克牌护罩：一转3*3范围50%伤害反伤|二转对3*3范围造成900标准灰烬伤害|</t>
    </r>
    <r>
      <rPr>
        <b/>
        <sz val="15"/>
        <color rgb="FFFF0000"/>
        <rFont val="等线"/>
        <charset val="134"/>
      </rPr>
      <t>不可铲掉生效</t>
    </r>
    <r>
      <rPr>
        <sz val="15"/>
        <color theme="1"/>
        <rFont val="等线"/>
        <charset val="134"/>
      </rPr>
      <t>|可以防止里面的卡变成蘑菇</t>
    </r>
  </si>
  <si>
    <t>喵喵炉无延迟秒产特性！喵喵炉为喵喵兑换券五选一(招财喵,喵喵炉,镭射喵,逗喵棒,枪塔喵)常驻卡
如果追求极致产火可以选择去搞风化、光能或神佑等。如果真的认为喵喵炉实用性强度众多强力的“主职产火”卡
硬要花上几千块整一个二转8技能的喵喵炉也不是不行坚持想弄那就弄去吧，反正不花别人的钱，吃亏的是自己不是别人</t>
  </si>
  <si>
    <t>储能产火</t>
  </si>
  <si>
    <t>包含：钱罐猪、罐罐牛、烈火虎</t>
  </si>
  <si>
    <t>储能比例</t>
  </si>
  <si>
    <t>钱罐猪</t>
  </si>
  <si>
    <t>罐罐牛</t>
  </si>
  <si>
    <t>烈火虎常驻产火数据写在“主职产火”里</t>
  </si>
  <si>
    <r>
      <rPr>
        <b/>
        <sz val="14"/>
        <color rgb="FFC00000"/>
        <rFont val="等线"/>
        <charset val="134"/>
      </rPr>
      <t>钱罐猪冷却写死90s|技能无效果|</t>
    </r>
    <r>
      <rPr>
        <sz val="14"/>
        <rFont val="等线"/>
        <charset val="134"/>
      </rPr>
      <t>储能上限1000/1000/3000</t>
    </r>
  </si>
  <si>
    <t>一转铲掉后即可生效|储能上限1800/1800/4000</t>
  </si>
  <si>
    <t>耗能85|储能上限1500/1500/3000</t>
  </si>
  <si>
    <t>附加说明</t>
  </si>
  <si>
    <t>产火类真爱谱加成不是计算百分比加成后取整，是直接加固定值。因此会导致产火卡的真爱谱等级卡在中间的话会非常尴尬</t>
  </si>
  <si>
    <t>结晶等级</t>
  </si>
  <si>
    <t>火苗附加单值</t>
  </si>
  <si>
    <t>双子&amp;暖鸡对比</t>
  </si>
  <si>
    <t>单次产量</t>
  </si>
  <si>
    <t>高能火炉</t>
  </si>
  <si>
    <t>焰羽暖暖鸡</t>
  </si>
  <si>
    <t>日耀暖暖鸡</t>
  </si>
  <si>
    <t>双子座精灵</t>
  </si>
  <si>
    <t>双子座战将</t>
  </si>
  <si>
    <t>双子座星宿</t>
  </si>
  <si>
    <t>单朵产量</t>
  </si>
  <si>
    <r>
      <rPr>
        <sz val="48"/>
        <color theme="1"/>
        <rFont val="方正粗圆简体"/>
        <charset val="134"/>
      </rPr>
      <t xml:space="preserve">反弹类＆承载类
</t>
    </r>
    <r>
      <rPr>
        <sz val="18"/>
        <color theme="1"/>
        <rFont val="方正粗圆简体"/>
        <charset val="134"/>
      </rPr>
      <t>JellyPudding &amp; Tray</t>
    </r>
  </si>
  <si>
    <r>
      <rPr>
        <sz val="14"/>
        <color theme="1"/>
        <rFont val="宋体"/>
        <charset val="134"/>
      </rPr>
      <t>更新日期:</t>
    </r>
    <r>
      <rPr>
        <sz val="13.5"/>
        <color theme="1"/>
        <rFont val="宋体"/>
        <charset val="134"/>
      </rPr>
      <t>2022.7.26</t>
    </r>
  </si>
  <si>
    <t>反弹类</t>
  </si>
  <si>
    <t>前排说明:7-21左右的更新中“冰粉牛”趁玩家不注意改名为了“凉粉牛”</t>
  </si>
  <si>
    <t>附加伤害</t>
  </si>
  <si>
    <t>艾草粑粑</t>
  </si>
  <si>
    <t>布丁汪</t>
  </si>
  <si>
    <t>凉粉牛</t>
  </si>
  <si>
    <r>
      <rPr>
        <b/>
        <sz val="14"/>
        <color rgb="FF002060"/>
        <rFont val="等线"/>
        <charset val="134"/>
      </rPr>
      <t>二转</t>
    </r>
    <r>
      <rPr>
        <sz val="14"/>
        <color theme="1"/>
        <rFont val="等线"/>
        <charset val="134"/>
      </rPr>
      <t>布丁汪</t>
    </r>
  </si>
  <si>
    <r>
      <rPr>
        <b/>
        <sz val="14"/>
        <color rgb="FF002060"/>
        <rFont val="等线"/>
        <charset val="134"/>
      </rPr>
      <t>二转</t>
    </r>
    <r>
      <rPr>
        <sz val="14"/>
        <color theme="1"/>
        <rFont val="等线"/>
        <charset val="134"/>
      </rPr>
      <t>凉粉牛</t>
    </r>
  </si>
  <si>
    <t>樱桃反弹布丁</t>
  </si>
  <si>
    <t>带谱反弹布丁</t>
  </si>
  <si>
    <t>布丁狗不转强化也增伤，且二转增伤为100%（除16星）</t>
  </si>
  <si>
    <t>耗能:100/75|食神谱—菠萝布丁可增加40%的体力</t>
  </si>
  <si>
    <t>耗能95|除艾草粑粑其他均无技能</t>
  </si>
  <si>
    <t>耗能:100/70/70|集齐10张图鉴生肖时冷却缩减为7s</t>
  </si>
  <si>
    <t>耗能125|预计未来开放图鉴后7s|由"冰粉牛”改名为“凉粉牛”</t>
  </si>
  <si>
    <t>承载类</t>
  </si>
  <si>
    <t>包含:木盘子、盘盘鸡、猫猫盘|耗能25/0/0|木盘子无二转</t>
  </si>
  <si>
    <t>猫猫盘冷却恒定7s|盘盘鸡＆猫猫盘二转爆炸伤害900</t>
  </si>
  <si>
    <t>数值过大，下面的数值进行÷100的处理</t>
  </si>
  <si>
    <t>体力÷100</t>
  </si>
  <si>
    <t>棉花&amp;气泡</t>
  </si>
  <si>
    <t>麦芽糖</t>
  </si>
  <si>
    <t>这仨在场20分钟后会强制销毁</t>
  </si>
  <si>
    <t>棉花糖</t>
  </si>
  <si>
    <t>耗能:25/0|岩浆的伤害为每秒10点</t>
  </si>
  <si>
    <t>苏打气泡</t>
  </si>
  <si>
    <t>耗能:25/0|海底缺氧的伤害为每秒10点</t>
  </si>
  <si>
    <r>
      <rPr>
        <sz val="14"/>
        <rFont val="等线"/>
        <charset val="134"/>
      </rPr>
      <t>耗能:55/0|</t>
    </r>
    <r>
      <rPr>
        <b/>
        <sz val="14"/>
        <color rgb="FFC00000"/>
        <rFont val="等线"/>
        <charset val="134"/>
      </rPr>
      <t>毒气的伤害为每秒100点</t>
    </r>
  </si>
  <si>
    <t>相对在场时间|单位：分钟|只列举能通过正常手段代入该地形的情况</t>
  </si>
  <si>
    <t>卡片</t>
  </si>
  <si>
    <t>地形</t>
  </si>
  <si>
    <t>棉花</t>
  </si>
  <si>
    <t>岩浆</t>
  </si>
  <si>
    <t>泡/棉</t>
  </si>
  <si>
    <t>海底</t>
  </si>
  <si>
    <t>毒气</t>
  </si>
  <si>
    <r>
      <rPr>
        <sz val="48"/>
        <color theme="1"/>
        <rFont val="方正粗圆简体"/>
        <charset val="134"/>
      </rPr>
      <t xml:space="preserve">专业对空
</t>
    </r>
    <r>
      <rPr>
        <sz val="18"/>
        <color theme="1"/>
        <rFont val="方正粗圆简体"/>
        <charset val="134"/>
      </rPr>
      <t xml:space="preserve">Air Force </t>
    </r>
    <r>
      <rPr>
        <b/>
        <sz val="18"/>
        <color theme="1"/>
        <rFont val="微软雅黑"/>
        <charset val="134"/>
      </rPr>
      <t>Ⅰ</t>
    </r>
  </si>
  <si>
    <t>更新日期:2022.10.6</t>
  </si>
  <si>
    <t>糖葫芦系</t>
  </si>
  <si>
    <t>全屏追踪纯对空</t>
  </si>
  <si>
    <t>糖葫芦</t>
  </si>
  <si>
    <t>跳跳鸡</t>
  </si>
  <si>
    <t>防空喵</t>
  </si>
  <si>
    <t>大力神</t>
  </si>
  <si>
    <r>
      <rPr>
        <b/>
        <sz val="14"/>
        <color rgb="FF0070C0"/>
        <rFont val="等线"/>
        <charset val="134"/>
      </rPr>
      <t>一转</t>
    </r>
    <r>
      <rPr>
        <sz val="14"/>
        <color theme="1"/>
        <rFont val="等线"/>
        <charset val="134"/>
      </rPr>
      <t>糖葫芦</t>
    </r>
  </si>
  <si>
    <r>
      <rPr>
        <b/>
        <sz val="14"/>
        <color rgb="FF0070C0"/>
        <rFont val="等线"/>
        <charset val="134"/>
      </rPr>
      <t>一转</t>
    </r>
    <r>
      <rPr>
        <sz val="14"/>
        <color theme="1"/>
        <rFont val="等线"/>
        <charset val="134"/>
      </rPr>
      <t>跳跳鸡</t>
    </r>
  </si>
  <si>
    <r>
      <rPr>
        <b/>
        <sz val="14"/>
        <color rgb="FF0070C0"/>
        <rFont val="等线"/>
        <charset val="134"/>
      </rPr>
      <t>一转</t>
    </r>
    <r>
      <rPr>
        <sz val="14"/>
        <color theme="1"/>
        <rFont val="等线"/>
        <charset val="134"/>
      </rPr>
      <t>防空喵</t>
    </r>
  </si>
  <si>
    <r>
      <rPr>
        <b/>
        <sz val="14"/>
        <color rgb="FF002060"/>
        <rFont val="微软雅黑"/>
        <charset val="134"/>
      </rPr>
      <t>三转</t>
    </r>
    <r>
      <rPr>
        <b/>
        <sz val="14"/>
        <color rgb="FFC00000"/>
        <rFont val="微软雅黑"/>
        <charset val="134"/>
      </rPr>
      <t>大力神</t>
    </r>
  </si>
  <si>
    <t>大力神15%定身4s|三转后30%定身6s</t>
  </si>
  <si>
    <t>耗能175/200/250|冷却7s|子弹数1/1/2</t>
  </si>
  <si>
    <t>耗能175|冷却7s|子弹数1/1/2</t>
  </si>
  <si>
    <t>耗能220|冷却7s|子弹数1/1/2</t>
  </si>
  <si>
    <t>耗能275|冷却7s|子弹数2/2/3(原1/2/3)</t>
  </si>
  <si>
    <r>
      <rPr>
        <b/>
        <sz val="14"/>
        <color rgb="FFC00000"/>
        <rFont val="等线"/>
        <charset val="134"/>
      </rPr>
      <t>满配</t>
    </r>
    <r>
      <rPr>
        <sz val="14"/>
        <color theme="1"/>
        <rFont val="等线"/>
        <charset val="134"/>
      </rPr>
      <t>糖葫芦</t>
    </r>
  </si>
  <si>
    <r>
      <rPr>
        <b/>
        <sz val="14"/>
        <color rgb="FFC00000"/>
        <rFont val="等线"/>
        <charset val="134"/>
      </rPr>
      <t>满配</t>
    </r>
    <r>
      <rPr>
        <sz val="14"/>
        <color theme="1"/>
        <rFont val="等线"/>
        <charset val="134"/>
      </rPr>
      <t>跳跳鸡</t>
    </r>
  </si>
  <si>
    <r>
      <rPr>
        <b/>
        <sz val="14"/>
        <color rgb="FFFF0000"/>
        <rFont val="等线"/>
        <charset val="134"/>
      </rPr>
      <t>满配</t>
    </r>
    <r>
      <rPr>
        <sz val="14"/>
        <color theme="2" tint="-0.5"/>
        <rFont val="等线"/>
        <charset val="134"/>
      </rPr>
      <t>防空喵</t>
    </r>
  </si>
  <si>
    <t>满配大力神</t>
  </si>
  <si>
    <r>
      <rPr>
        <sz val="14"/>
        <rFont val="等线"/>
        <charset val="134"/>
      </rPr>
      <t>只有跳跳鸡是15结晶+图鉴加成后的数据，其余都是15结晶|防空喵和大力神只是</t>
    </r>
    <r>
      <rPr>
        <b/>
        <sz val="14"/>
        <color rgb="FFC00000"/>
        <rFont val="等线"/>
        <charset val="134"/>
      </rPr>
      <t>假设15结晶</t>
    </r>
    <r>
      <rPr>
        <sz val="14"/>
        <rFont val="等线"/>
        <charset val="134"/>
      </rPr>
      <t>的数据</t>
    </r>
  </si>
  <si>
    <t>奶茶猪系</t>
  </si>
  <si>
    <t>攻击力对空对地不一样，对地数据见表11</t>
  </si>
  <si>
    <t>直线对地,跟踪对空,优先对空</t>
  </si>
  <si>
    <t>奶茶猪</t>
  </si>
  <si>
    <t>科技喵</t>
  </si>
  <si>
    <t>图鉴加成待确认</t>
  </si>
  <si>
    <t>耗能255|冷却7s|子弹数2/3/4</t>
  </si>
  <si>
    <t>耗能255|冷却7s|子弹数1/2/3</t>
  </si>
  <si>
    <t>香肠系</t>
  </si>
  <si>
    <t>对空对地均为直线,优先对空</t>
  </si>
  <si>
    <t>香肠</t>
  </si>
  <si>
    <t>热狗大炮</t>
  </si>
  <si>
    <t>弹簧虎</t>
  </si>
  <si>
    <t>耗油双菇对空</t>
  </si>
  <si>
    <t>耗油双菇对地</t>
  </si>
  <si>
    <t>热狗大炮转职后攻击力变成下面的数值</t>
  </si>
  <si>
    <t>转职热狗大炮</t>
  </si>
  <si>
    <t>相传曾经热狗分为“热狗大炮”和“冰热狗大炮(正是现在的)”</t>
  </si>
  <si>
    <t>香肠对空</t>
  </si>
  <si>
    <t>耗能125|冷却7s|子弹数空/地:1</t>
  </si>
  <si>
    <t>香肠对地</t>
  </si>
  <si>
    <t>热狗子弹数：对空+对地</t>
  </si>
  <si>
    <t>热狗</t>
  </si>
  <si>
    <r>
      <rPr>
        <sz val="14"/>
        <color theme="1"/>
        <rFont val="等线"/>
        <charset val="134"/>
      </rPr>
      <t>耗能225|冷却7s|子弹数2+1/3+1/</t>
    </r>
    <r>
      <rPr>
        <b/>
        <sz val="14"/>
        <color rgb="FFFF0000"/>
        <rFont val="等线"/>
        <charset val="134"/>
      </rPr>
      <t>4</t>
    </r>
    <r>
      <rPr>
        <sz val="14"/>
        <color theme="1"/>
        <rFont val="等线"/>
        <charset val="134"/>
      </rPr>
      <t>+2|</t>
    </r>
    <r>
      <rPr>
        <b/>
        <sz val="14"/>
        <color rgb="FFFF0000"/>
        <rFont val="等线"/>
        <charset val="134"/>
      </rPr>
      <t>二转稳定对空只有3发</t>
    </r>
  </si>
  <si>
    <t>耗能195|冷却7s|子弹数(空&amp;地均)2/2/3|3*3溅射25%/40%/40%</t>
  </si>
  <si>
    <t>耗油双菇</t>
  </si>
  <si>
    <t>耗能255|冷却7s|子弹数(空)2/3/3|(陆)2/2/3|前摇0.75s|体力90</t>
  </si>
  <si>
    <t>弹簧虎:子弹可以穿过岩浆和障碍攻击老鼠。对地时子弹溅射可溅射到空中和地下；对空子弹只能溅射到空军。可以打到从后方钻出的鼹鼠
对空不会像热狗那样伸长而消耗时间。拿来挂机打小兵时的效果非常显著
耗油双菇：可以同时发射对空&amp;对地的子弹，只能攻击自身所在行，对地子弹可过火</t>
  </si>
  <si>
    <r>
      <rPr>
        <sz val="48"/>
        <color theme="1"/>
        <rFont val="方正粗圆简体"/>
        <charset val="134"/>
      </rPr>
      <t xml:space="preserve">旋转群攻
</t>
    </r>
    <r>
      <rPr>
        <sz val="18"/>
        <color theme="1"/>
        <rFont val="方正粗圆简体"/>
        <charset val="134"/>
      </rPr>
      <t>EightDirections</t>
    </r>
  </si>
  <si>
    <t>更新日期:2022.7.19</t>
  </si>
  <si>
    <t>前排说明 前排说明 前排说明 前排说明 前排说明 前排说明 前排说明 前排说明 前排说明 前排说明 前排说明 前排说明 前排说明</t>
  </si>
  <si>
    <r>
      <rPr>
        <b/>
        <sz val="16"/>
        <color theme="1"/>
        <rFont val="等线"/>
        <charset val="134"/>
      </rPr>
      <t>下列卡的单轮攻击，实际效果为：每轮攻击造成</t>
    </r>
    <r>
      <rPr>
        <b/>
        <sz val="16"/>
        <color rgb="FFC00000"/>
        <rFont val="等线"/>
        <charset val="134"/>
      </rPr>
      <t>相当于攻击力0.5x倍</t>
    </r>
    <r>
      <rPr>
        <b/>
        <sz val="16"/>
        <color theme="1"/>
        <rFont val="等线"/>
        <charset val="134"/>
      </rPr>
      <t>伤害（x为游戏描述或者表现的</t>
    </r>
    <r>
      <rPr>
        <b/>
        <sz val="16"/>
        <color rgb="FFC00000"/>
        <rFont val="等线"/>
        <charset val="134"/>
      </rPr>
      <t>攻击波数</t>
    </r>
    <r>
      <rPr>
        <b/>
        <sz val="16"/>
        <color theme="1"/>
        <rFont val="等线"/>
        <charset val="134"/>
      </rPr>
      <t>）</t>
    </r>
  </si>
  <si>
    <t>包含：旋转咖啡喷壶、转转鸡、海神、可乐汪</t>
  </si>
  <si>
    <t>海神</t>
  </si>
  <si>
    <t>波塞冬神使</t>
  </si>
  <si>
    <t>波塞冬圣神</t>
  </si>
  <si>
    <t>海神·波塞冬</t>
  </si>
  <si>
    <t>所谓的2波也好还是四转后的3波也好，攻击时记作1次伤害</t>
  </si>
  <si>
    <t>耗能275(旧版不转耗火275+)|冷却35s|三转实际加成为25%</t>
  </si>
  <si>
    <r>
      <rPr>
        <b/>
        <sz val="14"/>
        <color rgb="FFC00000"/>
        <rFont val="等线"/>
        <charset val="134"/>
      </rPr>
      <t>满配</t>
    </r>
    <r>
      <rPr>
        <sz val="14"/>
        <rFont val="等线"/>
        <charset val="134"/>
      </rPr>
      <t>不转</t>
    </r>
    <r>
      <rPr>
        <sz val="14"/>
        <color theme="1"/>
        <rFont val="等线"/>
        <charset val="134"/>
      </rPr>
      <t>海神</t>
    </r>
  </si>
  <si>
    <r>
      <rPr>
        <b/>
        <sz val="14"/>
        <color rgb="FFC00000"/>
        <rFont val="等线"/>
        <charset val="134"/>
      </rPr>
      <t>满配</t>
    </r>
    <r>
      <rPr>
        <sz val="14"/>
        <color theme="1"/>
        <rFont val="等线"/>
        <charset val="134"/>
      </rPr>
      <t>三转海神</t>
    </r>
  </si>
  <si>
    <r>
      <rPr>
        <b/>
        <sz val="14"/>
        <color rgb="FFC00000"/>
        <rFont val="等线"/>
        <charset val="134"/>
      </rPr>
      <t>满配</t>
    </r>
    <r>
      <rPr>
        <sz val="14"/>
        <color theme="1"/>
        <rFont val="等线"/>
        <charset val="134"/>
      </rPr>
      <t>四转海神</t>
    </r>
  </si>
  <si>
    <t>狮子座技能等级</t>
  </si>
  <si>
    <r>
      <rPr>
        <sz val="14"/>
        <rFont val="等线"/>
        <charset val="134"/>
      </rPr>
      <t>三转后附带减速效果</t>
    </r>
    <r>
      <rPr>
        <b/>
        <sz val="14"/>
        <color theme="0" tint="-0.5"/>
        <rFont val="等线"/>
        <charset val="134"/>
      </rPr>
      <t>|关于海神在海底会被淹死这件事</t>
    </r>
  </si>
  <si>
    <t>旋
转
咖
啡
喷
壶
技
能
等
级</t>
  </si>
  <si>
    <t>旋转群攻</t>
  </si>
  <si>
    <t>未转职的转转鸡攻击波数为1；二转可乐汪攻击波数为3</t>
  </si>
  <si>
    <t>旋转壶</t>
  </si>
  <si>
    <t>狮子座</t>
  </si>
  <si>
    <t>转转鸡</t>
  </si>
  <si>
    <t>可乐汪</t>
  </si>
  <si>
    <t>元气牛</t>
  </si>
  <si>
    <r>
      <rPr>
        <b/>
        <sz val="14"/>
        <color rgb="FF0070C0"/>
        <rFont val="等线"/>
        <charset val="134"/>
      </rPr>
      <t>一转</t>
    </r>
    <r>
      <rPr>
        <sz val="14"/>
        <color theme="1"/>
        <rFont val="等线"/>
        <charset val="134"/>
      </rPr>
      <t>旋转壶</t>
    </r>
  </si>
  <si>
    <r>
      <rPr>
        <b/>
        <sz val="14"/>
        <color rgb="FF0070C0"/>
        <rFont val="等线"/>
        <charset val="134"/>
      </rPr>
      <t>二转</t>
    </r>
    <r>
      <rPr>
        <sz val="14"/>
        <color theme="1"/>
        <rFont val="等线"/>
        <charset val="134"/>
      </rPr>
      <t>狮子座</t>
    </r>
  </si>
  <si>
    <r>
      <rPr>
        <b/>
        <sz val="14"/>
        <color rgb="FF0070C0"/>
        <rFont val="等线"/>
        <charset val="134"/>
      </rPr>
      <t>一转</t>
    </r>
    <r>
      <rPr>
        <sz val="14"/>
        <color theme="1"/>
        <rFont val="等线"/>
        <charset val="134"/>
      </rPr>
      <t>转转鸡</t>
    </r>
  </si>
  <si>
    <r>
      <rPr>
        <b/>
        <sz val="14"/>
        <color rgb="FF002060"/>
        <rFont val="等线"/>
        <charset val="134"/>
      </rPr>
      <t>二转</t>
    </r>
    <r>
      <rPr>
        <sz val="14"/>
        <color theme="1"/>
        <rFont val="等线"/>
        <charset val="134"/>
      </rPr>
      <t>转转鸡</t>
    </r>
  </si>
  <si>
    <r>
      <rPr>
        <b/>
        <sz val="14"/>
        <color rgb="FF0070C0"/>
        <rFont val="等线"/>
        <charset val="134"/>
      </rPr>
      <t>一转</t>
    </r>
    <r>
      <rPr>
        <sz val="14"/>
        <color theme="1"/>
        <rFont val="等线"/>
        <charset val="134"/>
      </rPr>
      <t>可乐汪</t>
    </r>
  </si>
  <si>
    <r>
      <rPr>
        <b/>
        <sz val="14"/>
        <color rgb="FF002060"/>
        <rFont val="等线"/>
        <charset val="134"/>
      </rPr>
      <t>二转</t>
    </r>
    <r>
      <rPr>
        <sz val="14"/>
        <color theme="1"/>
        <rFont val="等线"/>
        <charset val="134"/>
      </rPr>
      <t>可乐汪</t>
    </r>
  </si>
  <si>
    <r>
      <rPr>
        <b/>
        <sz val="14"/>
        <color rgb="FF0070C0"/>
        <rFont val="等线"/>
        <charset val="134"/>
      </rPr>
      <t>二转</t>
    </r>
    <r>
      <rPr>
        <sz val="14"/>
        <color theme="1"/>
        <rFont val="等线"/>
        <charset val="134"/>
      </rPr>
      <t>元气牛</t>
    </r>
  </si>
  <si>
    <t>技能</t>
  </si>
  <si>
    <t>旋转壶为冷却时间|其余为攻击间隔</t>
  </si>
  <si>
    <t>耗能150+/150/150|攻击间隔2.1s|一转攻击力+40(隐藏加成)</t>
  </si>
  <si>
    <t>耗能275+/275/275|冷却35s</t>
  </si>
  <si>
    <t>耗能200|冷却35s</t>
  </si>
  <si>
    <t>耗能200|冷却35s|一转后附带减速效果|范围5*5|动画错误3*3</t>
  </si>
  <si>
    <t>耗火225+/225/225|冷却30s|伤害叠加特性如下</t>
  </si>
  <si>
    <r>
      <rPr>
        <sz val="14"/>
        <color theme="1"/>
        <rFont val="等线"/>
        <charset val="134"/>
      </rPr>
      <t>场上每多a张元气牛(不算放下的第一张)，攻击力原来的(1+0.1a)倍,a≤10|</t>
    </r>
    <r>
      <rPr>
        <sz val="14"/>
        <color theme="0" tint="-0.5"/>
        <rFont val="等线"/>
        <charset val="134"/>
      </rPr>
      <t>旧版为(1+0.2a)倍,a≤7</t>
    </r>
  </si>
  <si>
    <r>
      <rPr>
        <sz val="34.5"/>
        <color theme="1"/>
        <rFont val="方正粗圆简体"/>
        <charset val="134"/>
      </rPr>
      <t xml:space="preserve">飞镖追踪,追踪群轰,散点追踪,灰烬追踪
</t>
    </r>
    <r>
      <rPr>
        <sz val="18"/>
        <color theme="1"/>
        <rFont val="方正粗圆简体"/>
        <charset val="134"/>
      </rPr>
      <t>Takoyaki&amp;Group&amp;Scatter&amp;Bombing Follow</t>
    </r>
  </si>
  <si>
    <t>月神</t>
  </si>
  <si>
    <r>
      <rPr>
        <b/>
        <sz val="14"/>
        <color rgb="FFC00000"/>
        <rFont val="等线"/>
        <charset val="134"/>
      </rPr>
      <t>满配</t>
    </r>
    <r>
      <rPr>
        <sz val="14"/>
        <color theme="1"/>
        <rFont val="等线"/>
        <charset val="134"/>
      </rPr>
      <t>月神</t>
    </r>
  </si>
  <si>
    <r>
      <rPr>
        <sz val="14"/>
        <color theme="1"/>
        <rFont val="等线"/>
        <charset val="134"/>
      </rPr>
      <t>耗能200|冷却30s|子弹数6/7/6</t>
    </r>
    <r>
      <rPr>
        <b/>
        <sz val="14"/>
        <rFont val="等线"/>
        <charset val="134"/>
      </rPr>
      <t>+</t>
    </r>
    <r>
      <rPr>
        <b/>
        <sz val="16"/>
        <color rgb="FFFF0000"/>
        <rFont val="方正粗黑宋简体"/>
        <charset val="134"/>
      </rPr>
      <t>2.75</t>
    </r>
  </si>
  <si>
    <t>巨蟹座技能等级</t>
  </si>
  <si>
    <t>超级子弹对本体造成2倍伤害
对3*3范围内造成基础攻击力×75%的溅射伤害</t>
  </si>
  <si>
    <t>章
鱼
烧
技
能
等
级</t>
  </si>
  <si>
    <t>飞镖追踪</t>
  </si>
  <si>
    <t>全屏索敌单个目标，造成单体伤害
可对空，飞镖会被岩浆阻挡</t>
  </si>
  <si>
    <t>章鱼烧</t>
  </si>
  <si>
    <t>忍忍鸡</t>
  </si>
  <si>
    <r>
      <rPr>
        <b/>
        <sz val="14"/>
        <color rgb="FF0070C0"/>
        <rFont val="等线"/>
        <charset val="134"/>
      </rPr>
      <t>二转</t>
    </r>
    <r>
      <rPr>
        <sz val="14"/>
        <color theme="1"/>
        <rFont val="等线"/>
        <charset val="134"/>
      </rPr>
      <t>忍忍鸡</t>
    </r>
  </si>
  <si>
    <t>巨蟹座</t>
  </si>
  <si>
    <t>飞盘汪</t>
  </si>
  <si>
    <t>飞镖猪</t>
  </si>
  <si>
    <t>章鱼烧为冷却数据|其余为攻击间隔，章鱼烧攻速固定3s</t>
  </si>
  <si>
    <r>
      <rPr>
        <sz val="14"/>
        <color theme="1"/>
        <rFont val="等线"/>
        <charset val="134"/>
      </rPr>
      <t>耗能225+(唯</t>
    </r>
    <r>
      <rPr>
        <b/>
        <sz val="14"/>
        <color rgb="FFC00000"/>
        <rFont val="等线"/>
        <charset val="134"/>
      </rPr>
      <t>二</t>
    </r>
    <r>
      <rPr>
        <sz val="14"/>
        <color theme="1"/>
        <rFont val="等线"/>
        <charset val="134"/>
      </rPr>
      <t>转职后仍然带+的卡)|远古版本の神器</t>
    </r>
  </si>
  <si>
    <t>耗能200(旧版275)|冷却30s|子弹数3/4/5</t>
  </si>
  <si>
    <t>耗能225+/225/225|冷却30s|子弹数4/4/6</t>
  </si>
  <si>
    <t>耗能225|冷却30s|子弹数3/4/5</t>
  </si>
  <si>
    <r>
      <rPr>
        <sz val="14"/>
        <color theme="1"/>
        <rFont val="等线"/>
        <charset val="134"/>
      </rPr>
      <t>耗能225|冷却28s|子弹数4/5/6|</t>
    </r>
    <r>
      <rPr>
        <b/>
        <sz val="14"/>
        <color rgb="FFC00000"/>
        <rFont val="等线"/>
        <charset val="134"/>
      </rPr>
      <t>旧版6技能攻击间隔31s已修复</t>
    </r>
  </si>
  <si>
    <t>追踪群轰</t>
  </si>
  <si>
    <t>全屏索敌单个目标
造成3*3群体伤害，可对空</t>
  </si>
  <si>
    <t>龙虾炮</t>
  </si>
  <si>
    <t>雅典娜</t>
  </si>
  <si>
    <t>火箭猪</t>
  </si>
  <si>
    <t>宙斯</t>
  </si>
  <si>
    <r>
      <rPr>
        <b/>
        <sz val="14"/>
        <color rgb="FF0070C0"/>
        <rFont val="等线"/>
        <charset val="134"/>
      </rPr>
      <t>一转</t>
    </r>
    <r>
      <rPr>
        <sz val="14"/>
        <color theme="1"/>
        <rFont val="等线"/>
        <charset val="134"/>
      </rPr>
      <t>龙虾炮</t>
    </r>
  </si>
  <si>
    <r>
      <rPr>
        <b/>
        <sz val="14"/>
        <color rgb="FF0070C0"/>
        <rFont val="等线"/>
        <charset val="134"/>
      </rPr>
      <t>三转</t>
    </r>
    <r>
      <rPr>
        <sz val="14"/>
        <color theme="1"/>
        <rFont val="等线"/>
        <charset val="134"/>
      </rPr>
      <t>宙斯</t>
    </r>
  </si>
  <si>
    <r>
      <rPr>
        <b/>
        <sz val="14"/>
        <color rgb="FFC00000"/>
        <rFont val="微软雅黑"/>
        <charset val="134"/>
      </rPr>
      <t>巧克力大炮</t>
    </r>
    <r>
      <rPr>
        <b/>
        <sz val="14"/>
        <rFont val="微软雅黑"/>
        <charset val="134"/>
      </rPr>
      <t>和</t>
    </r>
    <r>
      <rPr>
        <b/>
        <sz val="14"/>
        <color theme="7" tint="-0.25"/>
        <rFont val="微软雅黑"/>
        <charset val="134"/>
      </rPr>
      <t>宙斯</t>
    </r>
    <r>
      <rPr>
        <b/>
        <sz val="14"/>
        <color rgb="FFFF0000"/>
        <rFont val="微软雅黑"/>
        <charset val="134"/>
      </rPr>
      <t>不是</t>
    </r>
    <r>
      <rPr>
        <b/>
        <sz val="14"/>
        <rFont val="微软雅黑"/>
        <charset val="134"/>
      </rPr>
      <t>一类的</t>
    </r>
    <r>
      <rPr>
        <b/>
        <sz val="14"/>
        <color rgb="FFC00000"/>
        <rFont val="微软雅黑"/>
        <charset val="134"/>
      </rPr>
      <t>！！！</t>
    </r>
    <r>
      <rPr>
        <sz val="14"/>
        <rFont val="微软雅黑"/>
        <charset val="134"/>
      </rPr>
      <t>|</t>
    </r>
    <r>
      <rPr>
        <b/>
        <sz val="14"/>
        <color rgb="FFC00000"/>
        <rFont val="等线"/>
        <charset val="134"/>
      </rPr>
      <t>火箭猪受香料虎加成</t>
    </r>
  </si>
  <si>
    <t>耗能275|冷却32s|子弹数1/1/2|一转附带减速|直接在海底生存</t>
  </si>
  <si>
    <r>
      <rPr>
        <sz val="14"/>
        <color theme="1"/>
        <rFont val="等线"/>
        <charset val="134"/>
      </rPr>
      <t>耗能375+/375/375|冷却20s|子弹数1/1/2|</t>
    </r>
    <r>
      <rPr>
        <b/>
        <sz val="14"/>
        <color theme="4" tint="-0.5"/>
        <rFont val="等线"/>
        <charset val="134"/>
      </rPr>
      <t>《黄道十二宫》</t>
    </r>
  </si>
  <si>
    <t>耗能255|冷却30s|一转无20%增伤|转职定身2s</t>
  </si>
  <si>
    <t>耗能225|冷却20s|子弹数2/2/3|三转定身2s</t>
  </si>
  <si>
    <t>以下为附加说明</t>
  </si>
  <si>
    <r>
      <rPr>
        <b/>
        <sz val="14"/>
        <color theme="1"/>
        <rFont val="等线"/>
        <charset val="134"/>
      </rPr>
      <t>火箭猪攻击次数不稳定，理论攻击次数为1/1/2，但是场上</t>
    </r>
    <r>
      <rPr>
        <b/>
        <sz val="14"/>
        <color rgb="FFC00000"/>
        <rFont val="等线"/>
        <charset val="134"/>
      </rPr>
      <t>火箭猪数量较少时</t>
    </r>
    <r>
      <rPr>
        <b/>
        <sz val="14"/>
        <color theme="1"/>
        <rFont val="等线"/>
        <charset val="134"/>
      </rPr>
      <t>攻击次数会变为2/2/3</t>
    </r>
  </si>
  <si>
    <t>四转宙斯额外追加一发弱离子雷电，实际为30%的一次攻击，伤害如下</t>
  </si>
  <si>
    <t>弱离子闪电</t>
  </si>
  <si>
    <t>灰烬追踪</t>
  </si>
  <si>
    <t>全屏索敌单个目标造成3*3群体灰烬伤害，可对空，子弹发射完毕后消失</t>
  </si>
  <si>
    <t>鼠鼠蛋糕</t>
  </si>
  <si>
    <t>空投猪</t>
  </si>
  <si>
    <t>鼠鼠蛋糕空投器：耗能235|攻击波数3/4|单波子弹数1                风力空投猪：耗能275|攻击波数3/3/4|单波子弹数2/3/3</t>
  </si>
  <si>
    <t>两卡对3*3范围造成900灰烬伤害|漏怪现象严重|子弹机制迷惑                    这2张卡也被归类为表12\时效型追踪灰烬炸弹</t>
  </si>
  <si>
    <t>范围内索敌，不可对空，对血量不大于单次攻击力的老鼠造成灰烬伤害</t>
  </si>
  <si>
    <t>电流虎</t>
  </si>
  <si>
    <t>不转单体|一转闪电溅射2只老鼠|二转发射2道闪电</t>
  </si>
  <si>
    <t>耗能335|冷却7s|范围5*5，二转后7*7</t>
  </si>
  <si>
    <t>散点追踪</t>
  </si>
  <si>
    <t>全屏索敌单个目标，造成单体/群体伤害
可对空，飞镖会被岩浆阻挡</t>
  </si>
  <si>
    <t>魔法猪</t>
  </si>
  <si>
    <t>招财喵</t>
  </si>
  <si>
    <t>冰神</t>
  </si>
  <si>
    <r>
      <rPr>
        <b/>
        <sz val="14"/>
        <color rgb="FF0070C0"/>
        <rFont val="等线"/>
        <charset val="134"/>
      </rPr>
      <t>二转</t>
    </r>
    <r>
      <rPr>
        <sz val="14"/>
        <color theme="1"/>
        <rFont val="等线"/>
        <charset val="134"/>
      </rPr>
      <t>魔法猪</t>
    </r>
  </si>
  <si>
    <r>
      <rPr>
        <b/>
        <sz val="14"/>
        <color rgb="FF0070C0"/>
        <rFont val="等线"/>
        <charset val="134"/>
      </rPr>
      <t>二转</t>
    </r>
    <r>
      <rPr>
        <sz val="14"/>
        <color theme="1"/>
        <rFont val="等线"/>
        <charset val="134"/>
      </rPr>
      <t>招财喵</t>
    </r>
  </si>
  <si>
    <r>
      <rPr>
        <b/>
        <sz val="14"/>
        <color rgb="FF0070C0"/>
        <rFont val="等线"/>
        <charset val="134"/>
      </rPr>
      <t>四转</t>
    </r>
    <r>
      <rPr>
        <sz val="14"/>
        <color theme="1"/>
        <rFont val="等线"/>
        <charset val="134"/>
      </rPr>
      <t>冰神</t>
    </r>
  </si>
  <si>
    <t>魔法猪单格AOE|伤害随单格老鼠数量而翻倍|其余为单体</t>
  </si>
  <si>
    <t>耗能325/225/225|冷却60s|攻击上限7/8/8|二转附带减速效果</t>
  </si>
  <si>
    <r>
      <rPr>
        <sz val="14"/>
        <color theme="1"/>
        <rFont val="等线"/>
        <charset val="134"/>
      </rPr>
      <t>耗能275|冷却20s|攻击上限8/8/10|一转20%定身1.5s,</t>
    </r>
    <r>
      <rPr>
        <b/>
        <sz val="14"/>
        <color rgb="FFC00000"/>
        <rFont val="等线"/>
        <charset val="134"/>
      </rPr>
      <t>二转2%</t>
    </r>
  </si>
  <si>
    <t>耗能325/225/225|冷却15s攻击上限8/8/10|三转后附带减速</t>
  </si>
  <si>
    <t>空配巨蟹</t>
  </si>
  <si>
    <r>
      <rPr>
        <b/>
        <sz val="14"/>
        <color rgb="FFC00000"/>
        <rFont val="微软雅黑"/>
        <charset val="134"/>
      </rPr>
      <t>巧克力大炮</t>
    </r>
    <r>
      <rPr>
        <b/>
        <sz val="14"/>
        <rFont val="微软雅黑"/>
        <charset val="134"/>
      </rPr>
      <t>和</t>
    </r>
    <r>
      <rPr>
        <b/>
        <sz val="14"/>
        <color theme="7" tint="-0.25"/>
        <rFont val="微软雅黑"/>
        <charset val="134"/>
      </rPr>
      <t>宙斯</t>
    </r>
    <r>
      <rPr>
        <b/>
        <sz val="14"/>
        <color rgb="FFFF0000"/>
        <rFont val="微软雅黑"/>
        <charset val="134"/>
      </rPr>
      <t>不是</t>
    </r>
    <r>
      <rPr>
        <b/>
        <sz val="14"/>
        <rFont val="微软雅黑"/>
        <charset val="134"/>
      </rPr>
      <t>一类的</t>
    </r>
    <r>
      <rPr>
        <b/>
        <sz val="14"/>
        <color rgb="FFC00000"/>
        <rFont val="微软雅黑"/>
        <charset val="134"/>
      </rPr>
      <t>！！！</t>
    </r>
  </si>
  <si>
    <t>常驻灰烬</t>
  </si>
  <si>
    <t>固定间隔对3*3固定范围造成900灰烬伤害</t>
  </si>
  <si>
    <t>巧克力大炮</t>
  </si>
  <si>
    <t>死神大炮</t>
  </si>
  <si>
    <t>食谱巧克力炮</t>
  </si>
  <si>
    <t>食谱死神大炮</t>
  </si>
  <si>
    <r>
      <rPr>
        <sz val="14"/>
        <rFont val="等线"/>
        <charset val="134"/>
      </rPr>
      <t>耗能300+/300/300|子弹数1/1/2|</t>
    </r>
    <r>
      <rPr>
        <b/>
        <sz val="14"/>
        <color rgb="FFC00000"/>
        <rFont val="微软雅黑"/>
        <charset val="134"/>
      </rPr>
      <t xml:space="preserve">高星二转只能说离大谱 </t>
    </r>
  </si>
  <si>
    <r>
      <rPr>
        <sz val="48"/>
        <color theme="1"/>
        <rFont val="方正粗圆简体"/>
        <charset val="134"/>
      </rPr>
      <t xml:space="preserve">浮空三锅&amp;拳手&amp;鱼刺&amp;啃食
</t>
    </r>
    <r>
      <rPr>
        <sz val="18"/>
        <color theme="1"/>
        <rFont val="方正粗圆简体"/>
        <charset val="134"/>
      </rPr>
      <t>Pot &amp; Boxing &amp; FishBone &amp; Eater</t>
    </r>
  </si>
  <si>
    <t>更新日期:2022.5.28</t>
  </si>
  <si>
    <t>浮空三锅</t>
  </si>
  <si>
    <t>三锅新增食谱：老北京涮锅，攻击力各+10%</t>
  </si>
  <si>
    <t>肥牛火锅</t>
  </si>
  <si>
    <t>食谱肥牛火锅</t>
  </si>
  <si>
    <t>麻辣香锅</t>
  </si>
  <si>
    <t>食谱麻辣香锅</t>
  </si>
  <si>
    <t>生煎锅</t>
  </si>
  <si>
    <t>食谱生煎锅</t>
  </si>
  <si>
    <t>铛铛虎</t>
  </si>
  <si>
    <r>
      <rPr>
        <b/>
        <sz val="14"/>
        <color rgb="FF0070C0"/>
        <rFont val="等线"/>
        <charset val="134"/>
      </rPr>
      <t>一转</t>
    </r>
    <r>
      <rPr>
        <sz val="14"/>
        <color theme="1"/>
        <rFont val="等线"/>
        <charset val="134"/>
      </rPr>
      <t>肥牛火锅</t>
    </r>
  </si>
  <si>
    <r>
      <rPr>
        <sz val="14"/>
        <color theme="1"/>
        <rFont val="等线"/>
        <charset val="134"/>
      </rPr>
      <t>食谱</t>
    </r>
    <r>
      <rPr>
        <b/>
        <sz val="14"/>
        <color rgb="FF0070C0"/>
        <rFont val="等线"/>
        <charset val="134"/>
      </rPr>
      <t>一转</t>
    </r>
    <r>
      <rPr>
        <sz val="14"/>
        <color theme="1"/>
        <rFont val="等线"/>
        <charset val="134"/>
      </rPr>
      <t>肥牛</t>
    </r>
  </si>
  <si>
    <r>
      <rPr>
        <b/>
        <sz val="14"/>
        <color rgb="FF0070C0"/>
        <rFont val="等线"/>
        <charset val="134"/>
      </rPr>
      <t>一转</t>
    </r>
    <r>
      <rPr>
        <sz val="14"/>
        <color theme="1"/>
        <rFont val="等线"/>
        <charset val="134"/>
      </rPr>
      <t>麻辣香锅</t>
    </r>
  </si>
  <si>
    <r>
      <rPr>
        <sz val="14"/>
        <color theme="1"/>
        <rFont val="等线"/>
        <charset val="134"/>
      </rPr>
      <t>食谱</t>
    </r>
    <r>
      <rPr>
        <b/>
        <sz val="14"/>
        <color rgb="FF0070C0"/>
        <rFont val="等线"/>
        <charset val="134"/>
      </rPr>
      <t>一转</t>
    </r>
    <r>
      <rPr>
        <sz val="14"/>
        <color theme="1"/>
        <rFont val="等线"/>
        <charset val="134"/>
      </rPr>
      <t>香锅</t>
    </r>
  </si>
  <si>
    <r>
      <rPr>
        <b/>
        <sz val="14"/>
        <color rgb="FF0070C0"/>
        <rFont val="等线"/>
        <charset val="134"/>
      </rPr>
      <t>一转</t>
    </r>
    <r>
      <rPr>
        <sz val="14"/>
        <color theme="1"/>
        <rFont val="等线"/>
        <charset val="134"/>
      </rPr>
      <t>生煎锅</t>
    </r>
  </si>
  <si>
    <r>
      <rPr>
        <sz val="14"/>
        <color theme="1"/>
        <rFont val="等线"/>
        <charset val="134"/>
      </rPr>
      <t>食谱</t>
    </r>
    <r>
      <rPr>
        <b/>
        <sz val="14"/>
        <color rgb="FF0070C0"/>
        <rFont val="等线"/>
        <charset val="134"/>
      </rPr>
      <t>一转</t>
    </r>
    <r>
      <rPr>
        <sz val="14"/>
        <color theme="1"/>
        <rFont val="等线"/>
        <charset val="134"/>
      </rPr>
      <t>生煎</t>
    </r>
  </si>
  <si>
    <r>
      <rPr>
        <b/>
        <sz val="14"/>
        <color rgb="FF0070C0"/>
        <rFont val="等线"/>
        <charset val="134"/>
      </rPr>
      <t>一转</t>
    </r>
    <r>
      <rPr>
        <sz val="14"/>
        <color theme="1"/>
        <rFont val="等线"/>
        <charset val="134"/>
      </rPr>
      <t>铛铛虎</t>
    </r>
  </si>
  <si>
    <t>生煎锅可被投手增幅类卡增强整片火焰伤害</t>
  </si>
  <si>
    <t>耗能175/200/250|冷却7s|攻击格数4/4/6(文本的5格有错误)</t>
  </si>
  <si>
    <t>耗能300/325/375|冷却30s|攻击范围3*4/3*4/3*5</t>
  </si>
  <si>
    <t>耗能150/175/225|冷却7s|攻击范围3*3十字/3*3十字/3*3</t>
  </si>
  <si>
    <t>耗能200|冷却7s|攻击范围3*3十字/3*3十字/3*3</t>
  </si>
  <si>
    <t>香锅火焰伤害次数不稳定，一般情况下为5次|生煎,肥牛,铛铛虎每次攻击造成10次火焰伤害</t>
  </si>
  <si>
    <r>
      <rPr>
        <b/>
        <sz val="16"/>
        <rFont val="等线"/>
        <charset val="134"/>
      </rPr>
      <t>二转生煎四个角的小火焰伤害倍率是25%|二转铛铛虎3*3的4个角的伤害没有缩减,仍为100%|</t>
    </r>
    <r>
      <rPr>
        <b/>
        <sz val="16"/>
        <color rgb="FFC00000"/>
        <rFont val="等线"/>
        <charset val="134"/>
      </rPr>
      <t>铛铛虎即使增强了但仍不建议弄</t>
    </r>
  </si>
  <si>
    <t>近战类</t>
  </si>
  <si>
    <t>炒面</t>
  </si>
  <si>
    <t>丸子厨师</t>
  </si>
  <si>
    <t>功夫汪</t>
  </si>
  <si>
    <r>
      <rPr>
        <b/>
        <sz val="14"/>
        <color rgb="FF0070C0"/>
        <rFont val="等线"/>
        <charset val="134"/>
      </rPr>
      <t>一转</t>
    </r>
    <r>
      <rPr>
        <sz val="14"/>
        <color theme="1"/>
        <rFont val="等线"/>
        <charset val="134"/>
      </rPr>
      <t>炒面</t>
    </r>
  </si>
  <si>
    <r>
      <rPr>
        <b/>
        <sz val="14"/>
        <color rgb="FF0070C0"/>
        <rFont val="等线"/>
        <charset val="134"/>
      </rPr>
      <t>一转</t>
    </r>
    <r>
      <rPr>
        <sz val="14"/>
        <color theme="1"/>
        <rFont val="等线"/>
        <charset val="134"/>
      </rPr>
      <t>功夫汪</t>
    </r>
  </si>
  <si>
    <t>虽说是模仿菜问,但是这玩意并不能打后面,攻速也没那么快</t>
  </si>
  <si>
    <t>耗能150/175/225|冷却7s|攻击格数2/2/3</t>
  </si>
  <si>
    <t>耗能135|冷却7s|攻击格数3</t>
  </si>
  <si>
    <t>耗能145|冷却9s|攻击格数2/2/3|20%定身3s|二转溅射倍率20%</t>
  </si>
  <si>
    <t>鱼刺类</t>
  </si>
  <si>
    <t>鱼刺</t>
  </si>
  <si>
    <t>钢鱼刺</t>
  </si>
  <si>
    <t>美食里鱼刺并不能扎爆垃圾车,并且垃圾车也不会留下垃圾</t>
  </si>
  <si>
    <t>耗能100|冷却7s|体力50</t>
  </si>
  <si>
    <t>耗能125+|冷却50s|体力3600</t>
  </si>
  <si>
    <t>啃食类</t>
  </si>
  <si>
    <t>咀嚼时间</t>
  </si>
  <si>
    <t>汉堡包</t>
  </si>
  <si>
    <t>贪食蛙</t>
  </si>
  <si>
    <r>
      <rPr>
        <sz val="16"/>
        <rFont val="等线"/>
        <charset val="134"/>
      </rPr>
      <t>汉堡包:耗能150,冷却7s|贪食蛙:耗能155,冷却7s|两卡啃咬后无论有没有咬到老鼠都会进入咀嚼状态,对咬不死的造成</t>
    </r>
    <r>
      <rPr>
        <b/>
        <sz val="16"/>
        <color rgb="FFFF0000"/>
        <rFont val="等线"/>
        <charset val="134"/>
      </rPr>
      <t>200物理</t>
    </r>
    <r>
      <rPr>
        <sz val="16"/>
        <rFont val="等线"/>
        <charset val="134"/>
      </rPr>
      <t>伤害</t>
    </r>
  </si>
  <si>
    <r>
      <rPr>
        <sz val="16"/>
        <rFont val="等线"/>
        <charset val="134"/>
      </rPr>
      <t>贪食蛙被咬死后对单格造成</t>
    </r>
    <r>
      <rPr>
        <b/>
        <sz val="16"/>
        <color rgb="FFFF0000"/>
        <rFont val="等线"/>
        <charset val="134"/>
      </rPr>
      <t>900灰烬</t>
    </r>
    <r>
      <rPr>
        <sz val="16"/>
        <rFont val="等线"/>
        <charset val="134"/>
      </rPr>
      <t>伤害|两卡对海底的、跨服的部分小体型老鼠要咬2次才能吃掉|两卡在</t>
    </r>
    <r>
      <rPr>
        <b/>
        <sz val="16"/>
        <color rgb="FFFF0000"/>
        <rFont val="等线"/>
        <charset val="134"/>
      </rPr>
      <t>开局20s内不攻击</t>
    </r>
  </si>
  <si>
    <r>
      <rPr>
        <sz val="40"/>
        <color theme="1"/>
        <rFont val="方正粗圆简体"/>
        <charset val="134"/>
      </rPr>
      <t>笼包,喷壶喷锅,单线AOE,直线对地</t>
    </r>
    <r>
      <rPr>
        <sz val="35"/>
        <color theme="1"/>
        <rFont val="方正粗圆简体"/>
        <charset val="134"/>
      </rPr>
      <t xml:space="preserve">
</t>
    </r>
    <r>
      <rPr>
        <sz val="18"/>
        <color theme="1"/>
        <rFont val="方正粗圆简体"/>
        <charset val="134"/>
      </rPr>
      <t>Bun &amp; Cup,Spray Pot &amp; SIngle AOE &amp; Straight Shooter</t>
    </r>
  </si>
  <si>
    <t>更新日期:2022.8.2</t>
  </si>
  <si>
    <t>小笼包家族</t>
  </si>
  <si>
    <t>内容&amp;格式参考：老LM|可过火</t>
  </si>
  <si>
    <t>普通包子</t>
  </si>
  <si>
    <t>国王包子</t>
  </si>
  <si>
    <t>通用①：小笼包、双层小笼包、三向小笼包、
冰冻小笼包、双层冰冻小笼包、三向冰冻小笼包</t>
  </si>
  <si>
    <t>通用①</t>
  </si>
  <si>
    <t>通用②</t>
  </si>
  <si>
    <t>通用①②为上述"普通包子"|通用③为"国王包子"</t>
  </si>
  <si>
    <r>
      <rPr>
        <b/>
        <sz val="16"/>
        <color theme="1"/>
        <rFont val="等线"/>
        <charset val="134"/>
      </rPr>
      <t>通用②:</t>
    </r>
    <r>
      <rPr>
        <b/>
        <sz val="16"/>
        <rFont val="等线"/>
        <charset val="134"/>
      </rPr>
      <t>贵族小笼包、机枪小笼包、机枪冰冻小笼包</t>
    </r>
  </si>
  <si>
    <t>通用③</t>
  </si>
  <si>
    <r>
      <rPr>
        <b/>
        <sz val="16"/>
        <color theme="0"/>
        <rFont val="等线"/>
        <charset val="134"/>
      </rPr>
      <t>通用③</t>
    </r>
    <r>
      <rPr>
        <b/>
        <sz val="16"/>
        <rFont val="等线"/>
        <charset val="134"/>
      </rPr>
      <t>：国王小笼包、三向国王小笼包</t>
    </r>
  </si>
  <si>
    <t>机枪冷却时间</t>
  </si>
  <si>
    <t>其余冷却均为7s|所有小笼包家族卡体力均为50</t>
  </si>
  <si>
    <t>(三向)国王小笼包冷却14s|(单方向)最多子弹数3/4/6|单发攻击力=自身攻击力+所有填装入内(三向)小笼包里的最大攻击力</t>
  </si>
  <si>
    <r>
      <rPr>
        <sz val="16"/>
        <rFont val="等线"/>
        <charset val="134"/>
      </rPr>
      <t>二转机枪、(三向)国王小笼包：实际效果是变成</t>
    </r>
    <r>
      <rPr>
        <b/>
        <sz val="16"/>
        <color rgb="FFC00000"/>
        <rFont val="等线"/>
        <charset val="134"/>
      </rPr>
      <t>单发</t>
    </r>
    <r>
      <rPr>
        <sz val="16"/>
        <rFont val="等线"/>
        <charset val="134"/>
      </rPr>
      <t>，攻击间隔变成攻击动画时间|叠加小笼包数量过多导致攻击间隔过短时</t>
    </r>
  </si>
  <si>
    <t>可能会连续无间隔播放攻击动画，每播放一次每路打出一发子弹</t>
  </si>
  <si>
    <t>单体喷射、单(多)向喷壶穿透</t>
  </si>
  <si>
    <t>不可过火</t>
  </si>
  <si>
    <r>
      <rPr>
        <b/>
        <sz val="16"/>
        <color rgb="FFC00000"/>
        <rFont val="等线"/>
        <charset val="134"/>
      </rPr>
      <t>通用包含：</t>
    </r>
    <r>
      <rPr>
        <sz val="16"/>
        <color theme="8" tint="-0.25"/>
        <rFont val="方正粗圆简体"/>
        <charset val="134"/>
      </rPr>
      <t>小喷菇(?</t>
    </r>
    <r>
      <rPr>
        <b/>
        <sz val="16"/>
        <color theme="2" tint="-0.5"/>
        <rFont val="方正粗圆简体"/>
        <charset val="134"/>
      </rPr>
      <t>、</t>
    </r>
    <r>
      <rPr>
        <b/>
        <sz val="16"/>
        <rFont val="等线"/>
        <charset val="134"/>
      </rPr>
      <t>咖啡杯、水上茶杯、
咖啡喷壶、关东煮喷锅|关东煮自身所在格3倍伤害</t>
    </r>
  </si>
  <si>
    <t>反正前两项没人用，详细常规数据就不列举了</t>
  </si>
  <si>
    <t>单线非穿透型</t>
  </si>
  <si>
    <t>可以过火</t>
  </si>
  <si>
    <t>玉蜀黍</t>
  </si>
  <si>
    <r>
      <rPr>
        <b/>
        <sz val="14"/>
        <color rgb="FF0070C0"/>
        <rFont val="等线"/>
        <charset val="134"/>
      </rPr>
      <t>二转</t>
    </r>
    <r>
      <rPr>
        <sz val="14"/>
        <color theme="1"/>
        <rFont val="等线"/>
        <charset val="134"/>
      </rPr>
      <t>玉蜀黍</t>
    </r>
  </si>
  <si>
    <t>具有存子弹机制,一轮未打完的子弹会在下一轮发射,上限9发</t>
  </si>
  <si>
    <r>
      <rPr>
        <sz val="16"/>
        <color theme="1"/>
        <rFont val="等线"/>
        <charset val="134"/>
      </rPr>
      <t>耗能250+/250/250|冷却7s|子弹数3/6/6|</t>
    </r>
    <r>
      <rPr>
        <b/>
        <sz val="16"/>
        <color rgb="FFFF0000"/>
        <rFont val="等线"/>
        <charset val="134"/>
      </rPr>
      <t>一转恒定1.3s</t>
    </r>
  </si>
  <si>
    <t>单线穿透型</t>
  </si>
  <si>
    <t>①可以过火</t>
  </si>
  <si>
    <t>喷壶类</t>
  </si>
  <si>
    <t>焦油喷壶</t>
  </si>
  <si>
    <r>
      <rPr>
        <b/>
        <sz val="14"/>
        <color rgb="FF0070C0"/>
        <rFont val="等线"/>
        <charset val="134"/>
      </rPr>
      <t>二转</t>
    </r>
    <r>
      <rPr>
        <sz val="14"/>
        <color theme="1"/>
        <rFont val="等线"/>
        <charset val="134"/>
      </rPr>
      <t>焦油喷壶</t>
    </r>
  </si>
  <si>
    <t>喷壶汪</t>
  </si>
  <si>
    <r>
      <rPr>
        <b/>
        <sz val="14"/>
        <color rgb="FF0070C0"/>
        <rFont val="等线"/>
        <charset val="134"/>
      </rPr>
      <t>二转</t>
    </r>
    <r>
      <rPr>
        <sz val="14"/>
        <color theme="1"/>
        <rFont val="等线"/>
        <charset val="134"/>
      </rPr>
      <t>喷壶汪</t>
    </r>
  </si>
  <si>
    <t>喷壶汪关卡内描述属实让人迷惑</t>
  </si>
  <si>
    <t>耗能150|冷却7s|攻击范围4格|6格|6格</t>
  </si>
  <si>
    <t>耗能225|冷却8s|油滴团数1/1/2</t>
  </si>
  <si>
    <t>机枪类</t>
  </si>
  <si>
    <t>派派鸡</t>
  </si>
  <si>
    <r>
      <rPr>
        <b/>
        <sz val="14"/>
        <color rgb="FF0070C0"/>
        <rFont val="等线"/>
        <charset val="134"/>
      </rPr>
      <t>二转</t>
    </r>
    <r>
      <rPr>
        <sz val="14"/>
        <color theme="1"/>
        <rFont val="等线"/>
        <charset val="134"/>
      </rPr>
      <t>派派鸡</t>
    </r>
  </si>
  <si>
    <t>小猪米花机</t>
  </si>
  <si>
    <r>
      <rPr>
        <b/>
        <sz val="14"/>
        <color rgb="FF0070C0"/>
        <rFont val="等线"/>
        <charset val="134"/>
      </rPr>
      <t>一转</t>
    </r>
    <r>
      <rPr>
        <sz val="14"/>
        <color theme="1"/>
        <rFont val="等线"/>
        <charset val="134"/>
      </rPr>
      <t>米花机</t>
    </r>
  </si>
  <si>
    <t>喷气牛</t>
  </si>
  <si>
    <t>卖萌喵</t>
  </si>
  <si>
    <r>
      <rPr>
        <b/>
        <sz val="14"/>
        <color rgb="FF0070C0"/>
        <rFont val="微软雅黑"/>
        <charset val="134"/>
      </rPr>
      <t>一转</t>
    </r>
    <r>
      <rPr>
        <b/>
        <sz val="14"/>
        <color rgb="FFC00000"/>
        <rFont val="微软雅黑"/>
        <charset val="134"/>
      </rPr>
      <t>卖萌喵</t>
    </r>
  </si>
  <si>
    <t>奥丁神使</t>
  </si>
  <si>
    <r>
      <rPr>
        <b/>
        <sz val="14"/>
        <color rgb="FF0070C0"/>
        <rFont val="微软雅黑"/>
        <charset val="134"/>
      </rPr>
      <t>三转</t>
    </r>
    <r>
      <rPr>
        <b/>
        <sz val="14"/>
        <color rgb="FFC00000"/>
        <rFont val="微软雅黑"/>
        <charset val="134"/>
      </rPr>
      <t>奥丁</t>
    </r>
  </si>
  <si>
    <t>卖萌增伤修复但仍然很强</t>
  </si>
  <si>
    <t>耗能145(旧版275)|冷却7s|子弹数3/4/5</t>
  </si>
  <si>
    <t>耗能325|冷却10s|子弹数3/3/6|一转增伤2次|需套在玉蜀黍上</t>
  </si>
  <si>
    <t>耗能245|冷却7s|子弹数1/1/2|定身疑似丢失|一转后可过火</t>
  </si>
  <si>
    <t>耗能225|冷却7s|子弹数1/1/2|转职额外增伤bug已被修复</t>
  </si>
  <si>
    <r>
      <rPr>
        <sz val="14"/>
        <color theme="1"/>
        <rFont val="等线"/>
        <charset val="134"/>
      </rPr>
      <t>耗能230|冷却7s|子弹数2/2/3|</t>
    </r>
    <r>
      <rPr>
        <b/>
        <sz val="14"/>
        <color rgb="FFC00000"/>
        <rFont val="等线"/>
        <charset val="134"/>
      </rPr>
      <t>临近正式开放迎来史诗级增强</t>
    </r>
  </si>
  <si>
    <t>以下为真爱结晶加成拉满后的数值</t>
  </si>
  <si>
    <r>
      <rPr>
        <b/>
        <sz val="14"/>
        <color rgb="FFC00000"/>
        <rFont val="微软雅黑"/>
        <charset val="134"/>
      </rPr>
      <t>满配</t>
    </r>
    <r>
      <rPr>
        <b/>
        <sz val="14"/>
        <color rgb="FFFF0000"/>
        <rFont val="微软雅黑"/>
        <charset val="134"/>
      </rPr>
      <t>卖萌喵</t>
    </r>
  </si>
  <si>
    <r>
      <rPr>
        <b/>
        <sz val="14"/>
        <color rgb="FFC00000"/>
        <rFont val="微软雅黑"/>
        <charset val="134"/>
      </rPr>
      <t>满配</t>
    </r>
    <r>
      <rPr>
        <b/>
        <sz val="14"/>
        <color rgb="FF0070C0"/>
        <rFont val="微软雅黑"/>
        <charset val="134"/>
      </rPr>
      <t>一转</t>
    </r>
    <r>
      <rPr>
        <b/>
        <sz val="14"/>
        <color rgb="FFFF0000"/>
        <rFont val="微软雅黑"/>
        <charset val="134"/>
      </rPr>
      <t>卖萌</t>
    </r>
  </si>
  <si>
    <t>②不可过火</t>
  </si>
  <si>
    <t>单向子弹类</t>
  </si>
  <si>
    <t>天蝎座</t>
  </si>
  <si>
    <t>工程猪</t>
  </si>
  <si>
    <t>天蝎座一转盲区类似煮蛋</t>
  </si>
  <si>
    <t>耗能200+/200|冷却7s|一行连续4格造成100%伤害,4格后未知</t>
  </si>
  <si>
    <t>耗能225|冷却7s|子弹数1/1/2|一转后20%概率定身1s</t>
  </si>
  <si>
    <t>回旋子弹类</t>
  </si>
  <si>
    <t>回旋虎</t>
  </si>
  <si>
    <t>子弹不可过火，不可反弹，穿老鼠&amp;障碍，不穿岩浆</t>
  </si>
  <si>
    <t>耗能200+|冷却7s|子弹数2/3/3|背击伤害倍数2/2/3</t>
  </si>
  <si>
    <t>陆空兼备,直线对地</t>
  </si>
  <si>
    <t>攻击力对地对空不一样，对空数据见表7</t>
  </si>
  <si>
    <t>耗能255|冷却7s|子弹数1/1/2</t>
  </si>
  <si>
    <t>单体成长型</t>
  </si>
  <si>
    <t>子弹单体且不过火</t>
  </si>
  <si>
    <t>激光汪</t>
  </si>
  <si>
    <t>一形态攻击力</t>
  </si>
  <si>
    <t>二形态攻击力</t>
  </si>
  <si>
    <t>三型态攻击力</t>
  </si>
  <si>
    <t>这张卡在刚出来的时候被吹成游戏最强卡</t>
  </si>
  <si>
    <t>第一形态</t>
  </si>
  <si>
    <t>满配攻击比四转爱战火还高|但最终被打入冷宫的最深处</t>
  </si>
  <si>
    <t>第二/三形态</t>
  </si>
  <si>
    <r>
      <rPr>
        <sz val="14"/>
        <color theme="1"/>
        <rFont val="等线"/>
        <charset val="134"/>
      </rPr>
      <t>耗能275|冷却15s|子弹数如下图所示|</t>
    </r>
    <r>
      <rPr>
        <sz val="14"/>
        <rFont val="等线"/>
        <charset val="134"/>
      </rPr>
      <t>30s成长一次</t>
    </r>
  </si>
  <si>
    <t>此处不受转职影响</t>
  </si>
  <si>
    <t>第二形态</t>
  </si>
  <si>
    <t>第三形态</t>
  </si>
  <si>
    <t>不转</t>
  </si>
  <si>
    <t>一转</t>
  </si>
  <si>
    <t>二转</t>
  </si>
  <si>
    <t>上侧路</t>
  </si>
  <si>
    <t>本路</t>
  </si>
  <si>
    <t>下侧路</t>
  </si>
  <si>
    <r>
      <rPr>
        <sz val="46"/>
        <color theme="1"/>
        <rFont val="方正粗圆简体"/>
        <charset val="134"/>
      </rPr>
      <t xml:space="preserve">常驻灰烬,灰烬炸弹,冰冻炸弹
</t>
    </r>
    <r>
      <rPr>
        <sz val="18"/>
        <color theme="1"/>
        <rFont val="方正粗圆简体"/>
        <charset val="134"/>
      </rPr>
      <t>Ash Bomb &amp; Frozen</t>
    </r>
  </si>
  <si>
    <t>马桶金卡不配有颜色</t>
  </si>
  <si>
    <r>
      <rPr>
        <b/>
        <sz val="15"/>
        <color theme="0"/>
        <rFont val="微软雅黑"/>
        <charset val="134"/>
      </rPr>
      <t>巧克力大炮二转后攻击间隔发生变化                              马桶新增食谱 — 怀石料理：攻击间隔-2s &amp; 冷却-2s &amp;</t>
    </r>
    <r>
      <rPr>
        <b/>
        <sz val="15"/>
        <color theme="2" tint="-0.75"/>
        <rFont val="微软雅黑"/>
        <charset val="134"/>
      </rPr>
      <t xml:space="preserve"> 攻击力+10%</t>
    </r>
  </si>
  <si>
    <t>雷电长棍面包</t>
  </si>
  <si>
    <t>盖亚神使</t>
  </si>
  <si>
    <r>
      <rPr>
        <b/>
        <sz val="14"/>
        <color rgb="FF0070C0"/>
        <rFont val="等线"/>
        <charset val="134"/>
      </rPr>
      <t>转职</t>
    </r>
    <r>
      <rPr>
        <sz val="14"/>
        <color theme="1"/>
        <rFont val="等线"/>
        <charset val="134"/>
      </rPr>
      <t>盖亚</t>
    </r>
  </si>
  <si>
    <t>以下为计算食神谱后的数据</t>
  </si>
  <si>
    <t>负离子面包</t>
  </si>
  <si>
    <r>
      <rPr>
        <b/>
        <u/>
        <sz val="14"/>
        <color rgb="FFC00000"/>
        <rFont val="等线"/>
        <charset val="134"/>
      </rPr>
      <t>二转</t>
    </r>
    <r>
      <rPr>
        <b/>
        <sz val="14"/>
        <color rgb="FFC00000"/>
        <rFont val="等线"/>
        <charset val="134"/>
      </rPr>
      <t>电棍</t>
    </r>
    <r>
      <rPr>
        <sz val="14"/>
        <color theme="1"/>
        <rFont val="等线"/>
        <charset val="134"/>
      </rPr>
      <t>由于公式计算问题导致15,16星吃不到食谱加成</t>
    </r>
  </si>
  <si>
    <r>
      <rPr>
        <sz val="14"/>
        <color theme="1"/>
        <rFont val="等线"/>
        <charset val="134"/>
      </rPr>
      <t>但凡在“</t>
    </r>
    <r>
      <rPr>
        <b/>
        <sz val="14"/>
        <color rgb="FFC00000"/>
        <rFont val="等线"/>
        <charset val="134"/>
      </rPr>
      <t>return</t>
    </r>
    <r>
      <rPr>
        <sz val="14"/>
        <color theme="1"/>
        <rFont val="等线"/>
        <charset val="134"/>
      </rPr>
      <t>”后面加一个</t>
    </r>
    <r>
      <rPr>
        <b/>
        <sz val="14"/>
        <color rgb="FFC00000"/>
        <rFont val="等线"/>
        <charset val="134"/>
      </rPr>
      <t>*10</t>
    </r>
    <r>
      <rPr>
        <sz val="14"/>
        <color theme="1"/>
        <rFont val="等线"/>
        <charset val="134"/>
      </rPr>
      <t>也不至于变成这样</t>
    </r>
  </si>
  <si>
    <t>电棍理想数值</t>
  </si>
  <si>
    <r>
      <rPr>
        <sz val="14"/>
        <color theme="1"/>
        <rFont val="等线"/>
        <charset val="134"/>
      </rPr>
      <t>耗能225/175/175|体力350|</t>
    </r>
    <r>
      <rPr>
        <b/>
        <sz val="14"/>
        <color rgb="FFC00000"/>
        <rFont val="等线"/>
        <charset val="134"/>
      </rPr>
      <t>食谱减攻击间隔1.5s而不是2s</t>
    </r>
  </si>
  <si>
    <t>大地女神·盖亚</t>
  </si>
  <si>
    <r>
      <rPr>
        <sz val="14"/>
        <color theme="1"/>
        <rFont val="等线"/>
        <charset val="134"/>
      </rPr>
      <t>耗能350|子弹数2/2/3|三转眩晕2s|</t>
    </r>
    <r>
      <rPr>
        <b/>
        <sz val="14"/>
        <color rgb="FFC00000"/>
        <rFont val="等线"/>
        <charset val="134"/>
      </rPr>
      <t>单行索敌,单行追踪</t>
    </r>
  </si>
  <si>
    <t>食谱盖亚</t>
  </si>
  <si>
    <t>8技能食谱直接变身普通卡冷却？</t>
  </si>
  <si>
    <r>
      <rPr>
        <b/>
        <sz val="16"/>
        <color rgb="FF002060"/>
        <rFont val="等线"/>
        <charset val="134"/>
      </rPr>
      <t>大弟钕神：</t>
    </r>
    <r>
      <rPr>
        <sz val="15"/>
        <rFont val="等线"/>
        <charset val="134"/>
      </rPr>
      <t>攻击间隔并非固定，判定视野仅为一行，上下行无法响应，攻击为单行追踪，范围3*3，只有在判定范围内有老鼠</t>
    </r>
    <r>
      <rPr>
        <b/>
        <sz val="16"/>
        <color rgb="FF002060"/>
        <rFont val="等线"/>
        <charset val="134"/>
      </rPr>
      <t>且</t>
    </r>
    <r>
      <rPr>
        <sz val="15"/>
        <rFont val="等线"/>
        <charset val="134"/>
      </rPr>
      <t>攻击间隔到了才会发动攻击，无老鼠则会一直处于待机状态|发射后大约3秒炸到老鼠，</t>
    </r>
    <r>
      <rPr>
        <b/>
        <sz val="15"/>
        <color theme="8" tint="-0.25"/>
        <rFont val="等线"/>
        <charset val="134"/>
      </rPr>
      <t>13星以上的强化</t>
    </r>
    <r>
      <rPr>
        <sz val="15"/>
        <rFont val="等线"/>
        <charset val="134"/>
      </rPr>
      <t>&amp;</t>
    </r>
    <r>
      <rPr>
        <b/>
        <sz val="15"/>
        <color theme="8" tint="-0.25"/>
        <rFont val="等线"/>
        <charset val="134"/>
      </rPr>
      <t>三转</t>
    </r>
    <r>
      <rPr>
        <sz val="15"/>
        <rFont val="等线"/>
        <charset val="134"/>
      </rPr>
      <t>&amp;</t>
    </r>
    <r>
      <rPr>
        <b/>
        <sz val="15"/>
        <color theme="8" tint="-0.25"/>
        <rFont val="等线"/>
        <charset val="134"/>
      </rPr>
      <t>食神谱</t>
    </r>
    <r>
      <rPr>
        <sz val="15"/>
        <rFont val="等线"/>
        <charset val="134"/>
      </rPr>
      <t>增伤</t>
    </r>
    <r>
      <rPr>
        <b/>
        <sz val="16"/>
        <color rgb="FFC00000"/>
        <rFont val="等线"/>
        <charset val="134"/>
      </rPr>
      <t>均无效果</t>
    </r>
    <r>
      <rPr>
        <sz val="16"/>
        <color rgb="FFC00000"/>
        <rFont val="等线"/>
        <charset val="134"/>
      </rPr>
      <t>，</t>
    </r>
    <r>
      <rPr>
        <sz val="15"/>
        <rFont val="等线"/>
        <charset val="134"/>
      </rPr>
      <t>无论何种状态都</t>
    </r>
    <r>
      <rPr>
        <b/>
        <sz val="16"/>
        <color rgb="FFC00000"/>
        <rFont val="等线"/>
        <charset val="134"/>
      </rPr>
      <t>固定900灰烬伤害且不受香料虎加成</t>
    </r>
    <r>
      <rPr>
        <sz val="14"/>
        <rFont val="等线"/>
        <charset val="134"/>
      </rPr>
      <t>|</t>
    </r>
    <r>
      <rPr>
        <sz val="15"/>
        <rFont val="等线"/>
        <charset val="134"/>
      </rPr>
      <t>四转凭证和技能书一套兑换需要</t>
    </r>
    <r>
      <rPr>
        <b/>
        <sz val="16"/>
        <color rgb="FFC00000"/>
        <rFont val="等线"/>
        <charset val="134"/>
      </rPr>
      <t>570</t>
    </r>
    <r>
      <rPr>
        <sz val="15"/>
        <rFont val="等线"/>
        <charset val="134"/>
      </rPr>
      <t>个神谕之石，相比其他诸神处可兑换的金卡贵了2倍都不止，但是实用性远远不如巧克力大炮，盖亚直接刷新</t>
    </r>
    <r>
      <rPr>
        <b/>
        <sz val="16"/>
        <color rgb="FFC00000"/>
        <rFont val="等线"/>
        <charset val="134"/>
      </rPr>
      <t>性价比最低金卡</t>
    </r>
    <r>
      <rPr>
        <sz val="15"/>
        <rFont val="等线"/>
        <charset val="134"/>
      </rPr>
      <t>记录，荣获”马桶金卡“称号，成为目前性价比最低也最废的金卡。</t>
    </r>
  </si>
  <si>
    <t>常规标准灰烬炸弹</t>
  </si>
  <si>
    <t>放下后立即生效，对一定范围内老鼠造成灰烬伤害</t>
  </si>
  <si>
    <t>炸弹A</t>
  </si>
  <si>
    <t>炸弹B</t>
  </si>
  <si>
    <t>蓝皮日本烟花</t>
  </si>
  <si>
    <t>水瓶座</t>
  </si>
  <si>
    <t>雷暴猪</t>
  </si>
  <si>
    <t>炸弹A：可乐炸弹、酒瓶炸弹、开水壶炸弹、威士忌炸弹、深水炸弹、潘多拉           炸弹B：爆竹、日本烟花普通版</t>
  </si>
  <si>
    <t>可乐炸弹、酒瓶炸弹、开水壶炸弹伤害900|一转+25火,伤害1170|二转+50火|深水炸弹基础伤害1170(子母酒瓶弹换皮)</t>
  </si>
  <si>
    <t>可乐炸弹:耗能150/175/225|二转3次100物理伤害,间隔1s|范围3×4</t>
  </si>
  <si>
    <t>酒瓶炸弹:耗能125/150/200|二转1行+1列|十字中心无2倍伤</t>
  </si>
  <si>
    <t>开水壶炸弹:耗能275/300/350|炸地鼠时范围5×6</t>
  </si>
  <si>
    <t>威士忌炸弹：耗能200|体力非常低</t>
  </si>
  <si>
    <t>深水炸弹：耗能155|效果同二转酒瓶炸弹,十字中心无2倍伤</t>
  </si>
  <si>
    <t>爆竹：耗能125|范围3*4|不能与可乐炸弹同时携带</t>
  </si>
  <si>
    <t>日本烟花普通版：耗能150|日本烟花华丽版：耗能200|冷却离谱</t>
  </si>
  <si>
    <t>日本烟花华丽版：耗能200|冷却慢到离谱|16星48秒什么概念</t>
  </si>
  <si>
    <t>水瓶座精灵:耗能150/200/250|二转横向5格+1列|十字中心2倍伤</t>
  </si>
  <si>
    <t>雷暴猪:伤害2000/2600/2600每道雷电|雷电数量2/2/3</t>
  </si>
  <si>
    <t>潘多拉:耗能255|爆炸灰烬伤害900|后3次900物理伤害,第1次与爆炸基本一致,2s后第2次,3s后第3次|四转十字中心毒气无二倍伤</t>
  </si>
  <si>
    <t>冰冻炸弹</t>
  </si>
  <si>
    <t>为什么不能是5*5爆炸？</t>
  </si>
  <si>
    <t>放下后立即生效，冻住全屏的老鼠并造成一段时间的减速</t>
  </si>
  <si>
    <t>冰桶炸弹</t>
  </si>
  <si>
    <t>冰弹喵</t>
  </si>
  <si>
    <t>冰桶炸弹:耗能75|冰冻4s,解除冰冻后减速20s            冰弹喵:耗能225|冰冻5s,解除冰冻后减速30s,血量5000,转职后附加灰烬爆炸</t>
  </si>
  <si>
    <t>没人用的具体耗能不列出</t>
  </si>
  <si>
    <t>准备型&amp;触发型灰烬炸弹</t>
  </si>
  <si>
    <t>①放下准备完毕后老鼠触碰后立即爆炸</t>
  </si>
  <si>
    <t>准备时间</t>
  </si>
  <si>
    <t>老鼠夹子</t>
  </si>
  <si>
    <r>
      <rPr>
        <b/>
        <sz val="14"/>
        <color rgb="FF0070C0"/>
        <rFont val="等线"/>
        <charset val="134"/>
      </rPr>
      <t>转职</t>
    </r>
    <r>
      <rPr>
        <sz val="14"/>
        <color theme="1"/>
        <rFont val="等线"/>
        <charset val="134"/>
      </rPr>
      <t>老鼠夹子</t>
    </r>
  </si>
  <si>
    <t>∞</t>
  </si>
  <si>
    <t>麻辣串炸弹</t>
  </si>
  <si>
    <t>老鼠夹子和麻辣串炸弹冷却时间均为30s</t>
  </si>
  <si>
    <t>②放下准备完毕后立即爆炸</t>
  </si>
  <si>
    <t>玉兔灯笼</t>
  </si>
  <si>
    <t>耗能225|放下3s后爆炸，造成8000灰烬伤害+1000灼烧伤害</t>
  </si>
  <si>
    <t>③放下准备无需准备老鼠触碰后立即爆炸</t>
  </si>
  <si>
    <t>竹筒粽子</t>
  </si>
  <si>
    <t>物理灰烬，爆破伤害300，为常规炸弹的1/3</t>
  </si>
  <si>
    <t>时效型追踪灰烬炸弹</t>
  </si>
  <si>
    <t>这2张卡也被归类为表9\灰烬追踪</t>
  </si>
  <si>
    <t>鼠鼠蛋糕空投器：耗能235|攻击波数3/4|单波子弹数1|对3*3范围造成900灰烬伤害|漏怪现象严重|子弹机制迷惑</t>
  </si>
  <si>
    <t>风力空投猪：耗能275|攻击波数3/3/4|单波子弹数2/3/3|对3*3范围造成900灰烬伤害|漏怪现象严重|子弹机制迷惑</t>
  </si>
  <si>
    <t>产能型灰烬炸弹</t>
  </si>
  <si>
    <t>下面月蟾兔的火苗单值，为爆炸产生的火苗单值；关于月蟾兔产火数据，已放在图5中</t>
  </si>
  <si>
    <t>①放下后无需准备，老鼠触碰后小范围内立即爆炸，产能与炸死的老鼠的数量无关</t>
  </si>
  <si>
    <t>辣椒粉</t>
  </si>
  <si>
    <t>爆炸汪</t>
  </si>
  <si>
    <r>
      <rPr>
        <b/>
        <sz val="14"/>
        <color rgb="FF002060"/>
        <rFont val="等线"/>
        <charset val="134"/>
      </rPr>
      <t>二转</t>
    </r>
    <r>
      <rPr>
        <sz val="14"/>
        <color theme="1"/>
        <rFont val="等线"/>
        <charset val="134"/>
      </rPr>
      <t>爆炸汪</t>
    </r>
  </si>
  <si>
    <t>肉松清明粿</t>
  </si>
  <si>
    <t>三卡体力1000|月蟾兔冷却30s|月蟾兔单格|其余十字范围</t>
  </si>
  <si>
    <r>
      <rPr>
        <sz val="14"/>
        <color theme="1"/>
        <rFont val="等线"/>
        <charset val="134"/>
      </rPr>
      <t>在击杀老鼠时掉落2朵火苗|</t>
    </r>
    <r>
      <rPr>
        <b/>
        <sz val="14"/>
        <color rgb="FFC00000"/>
        <rFont val="等线"/>
        <charset val="134"/>
      </rPr>
      <t>某些鼹鼠死亡不算作击杀目标</t>
    </r>
  </si>
  <si>
    <t>爆炸汪不转3*3十字伤害|一转后5*5十字|十字中心双倍伤害</t>
  </si>
  <si>
    <t>耗能30|爆炸产生2朵火苗|爆炸范围3*3十字</t>
  </si>
  <si>
    <t>②放下后立即爆炸，对一定范围内老鼠造成900灰烬伤害，并且根据炸死老鼠的数量决定产生的火苗数量</t>
  </si>
  <si>
    <t>10周年烟花</t>
  </si>
  <si>
    <t>芥末牛</t>
  </si>
  <si>
    <t>10周年烟花:耗能180|火苗单值恒为50|芥末牛:耗能205</t>
  </si>
  <si>
    <r>
      <rPr>
        <sz val="15"/>
        <color theme="1"/>
        <rFont val="等线"/>
        <charset val="134"/>
      </rPr>
      <t>10周年烟花和芥末牛每炸死一个老鼠，掉落一个火苗</t>
    </r>
    <r>
      <rPr>
        <b/>
        <sz val="15"/>
        <color theme="1"/>
        <rFont val="等线"/>
        <charset val="134"/>
      </rPr>
      <t>，</t>
    </r>
    <r>
      <rPr>
        <b/>
        <sz val="15"/>
        <color rgb="FFC00000"/>
        <rFont val="等线"/>
        <charset val="134"/>
      </rPr>
      <t>某些鼹鼠被炸死时不算作击杀目标</t>
    </r>
  </si>
  <si>
    <t>魅惑型&amp;内鬼灰烬</t>
  </si>
  <si>
    <t>放下无需准备，老鼠吃掉后被魅惑|放下后可能炸掉老鼠也可能清除美食</t>
  </si>
  <si>
    <t>娇娇虎</t>
  </si>
  <si>
    <t>爆辣河豚</t>
  </si>
  <si>
    <t>娇娇虎:耗能75|不转被啃食后造成单格爆炸|一转自爆后留下一格毒气,毒气效果未知,二转自爆范围增大到3*3|被啃食的老鼠会反方向行走，遇到第一只老鼠后消失，并对该只老鼠造成自身血量的伤害</t>
  </si>
  <si>
    <t>爆辣河豚：耗能325|体力200|当放置河豚的次数为3的倍数次时对全屏老鼠造成900灰烬伤害,其余情况清除场上任意10格防御卡(算损卡)|一转清除5格卡片|二转在双数次炸老鼠,单数次炸美食。卡片套上瓜皮类卡算作1格，棉花糖等卡无法清除
爆辣河豚放下后有持续一小段时间的动画,因此可以在非炸老鼠次数时铲掉河豚来避免炸掉卡片从而手动控制达到预期效果</t>
  </si>
  <si>
    <t>12'</t>
  </si>
  <si>
    <r>
      <rPr>
        <sz val="46"/>
        <color theme="1"/>
        <rFont val="方正粗圆简体"/>
        <charset val="134"/>
      </rPr>
      <t>非灰烬,时效型,特殊效果炸弹</t>
    </r>
    <r>
      <rPr>
        <sz val="48"/>
        <color theme="1"/>
        <rFont val="方正粗圆简体"/>
        <charset val="134"/>
      </rPr>
      <t xml:space="preserve">
</t>
    </r>
    <r>
      <rPr>
        <sz val="18"/>
        <color theme="1"/>
        <rFont val="方正粗圆简体"/>
        <charset val="134"/>
      </rPr>
      <t>Ashless Bomb &amp; Special Effect Bomb</t>
    </r>
  </si>
  <si>
    <t>非灰烬&amp;冲撞型</t>
  </si>
  <si>
    <t>非炸弹卡，可对多数老鼠造成秒杀，对boss造成900伤害</t>
  </si>
  <si>
    <t>面粉&amp;椰子果</t>
  </si>
  <si>
    <t>白羊座</t>
  </si>
  <si>
    <t>酋长汪</t>
  </si>
  <si>
    <t>逗喵棒</t>
  </si>
  <si>
    <t>金牛烟花</t>
  </si>
  <si>
    <t>萌虎高压锅</t>
  </si>
  <si>
    <t>面粉袋:耗能50/75/100|一转面粉袋体力20000|可以抵挡高伤技能</t>
  </si>
  <si>
    <t>椰子果|耗能75|体力高|可以对老鼠造成眩晕效果</t>
  </si>
  <si>
    <t>白羊座精灵:耗能300(以前为300+)|以前体力较低,碰到海水等就死</t>
  </si>
  <si>
    <t>酋长汪:耗能300|不转不可对空|二转留下一行毒气(效果未知)</t>
  </si>
  <si>
    <t>逗喵棒:耗能300|行数1/1/3|召唤慢|体力低|海底为召唤就被淹死</t>
  </si>
  <si>
    <r>
      <rPr>
        <sz val="15"/>
        <rFont val="等线"/>
        <charset val="134"/>
      </rPr>
      <t>金牛烟花:耗能325|</t>
    </r>
    <r>
      <rPr>
        <b/>
        <sz val="15"/>
        <color rgb="FFC00000"/>
        <rFont val="等线"/>
        <charset val="134"/>
      </rPr>
      <t>最强冲撞类卡</t>
    </r>
    <r>
      <rPr>
        <sz val="15"/>
        <rFont val="等线"/>
        <charset val="134"/>
      </rPr>
      <t>|召唤快,范围3行,体力高</t>
    </r>
  </si>
  <si>
    <t>萌虎高压锅:全屏眩晕2s并全屏召唤萌虎，对除地下的老鼠造成2000物理伤害</t>
  </si>
  <si>
    <t>时效型非灰烬炸弹</t>
  </si>
  <si>
    <t>①放下后一定时间内造成持续攻击，攻击间隔1s</t>
  </si>
  <si>
    <t>榴莲</t>
  </si>
  <si>
    <t>美味电鳗</t>
  </si>
  <si>
    <t>镭射喵</t>
  </si>
  <si>
    <t>持续时间</t>
  </si>
  <si>
    <t>榴莲:耗能375|体力1820,冷却90s</t>
  </si>
  <si>
    <t>三卡通用</t>
  </si>
  <si>
    <r>
      <rPr>
        <sz val="15"/>
        <color theme="1"/>
        <rFont val="等线"/>
        <charset val="134"/>
      </rPr>
      <t>镭射喵:耗能325|体力2000,冷却55s,一转15%概率</t>
    </r>
    <r>
      <rPr>
        <b/>
        <sz val="15"/>
        <color rgb="FFC00000"/>
        <rFont val="等线"/>
        <charset val="134"/>
      </rPr>
      <t>定身3s</t>
    </r>
  </si>
  <si>
    <t>美味电鳗:耗能325|体力2000,冷却60s|每次攻击附加稳定2s定身（对暴躁杰克有效）</t>
  </si>
  <si>
    <t>②放下后一定时间内造成持续攻击，攻击间隔4s</t>
  </si>
  <si>
    <t>火龙果</t>
  </si>
  <si>
    <r>
      <rPr>
        <b/>
        <sz val="14"/>
        <color rgb="FF0070C0"/>
        <rFont val="等线"/>
        <charset val="134"/>
      </rPr>
      <t>转职</t>
    </r>
    <r>
      <rPr>
        <sz val="14"/>
        <color theme="1"/>
        <rFont val="等线"/>
        <charset val="134"/>
      </rPr>
      <t>火龙果</t>
    </r>
  </si>
  <si>
    <t>摩羯座</t>
  </si>
  <si>
    <t>火龙果:耗能375|体力1820|站场12s|无灰烬效果</t>
  </si>
  <si>
    <t>摩羯是一条鱼？</t>
  </si>
  <si>
    <t>摩羯座精灵:耗能300|体力2730|冷却60s|站场19s|攻击5次|但是开局2s放置只能攻击4次</t>
  </si>
  <si>
    <t>绝对秒杀型</t>
  </si>
  <si>
    <t>对特定的老鼠造成秒杀</t>
  </si>
  <si>
    <t>钢丝球</t>
  </si>
  <si>
    <t>炸地鼠爆竹</t>
  </si>
  <si>
    <r>
      <rPr>
        <sz val="15"/>
        <color theme="1"/>
        <rFont val="等线"/>
        <charset val="134"/>
      </rPr>
      <t>钢丝球:耗能25|秒杀一切陆地非boss老鼠|炸地鼠爆竹:耗能175秒杀一切处在地下的鼹鼠，</t>
    </r>
    <r>
      <rPr>
        <b/>
        <sz val="15"/>
        <color rgb="FFC00000"/>
        <rFont val="等线"/>
        <charset val="134"/>
      </rPr>
      <t>对钻出地面后的鼹鼠无效</t>
    </r>
  </si>
  <si>
    <t>传送&amp;聚怪型非灰烬炸弹</t>
  </si>
  <si>
    <t>放下无需准备立即爆炸，聚集一定范围内的敌人|放下无需准备立即爆炸，将一定范围内的敌人传送至屏幕最右边</t>
  </si>
  <si>
    <t>逆转牛</t>
  </si>
  <si>
    <t>鼠乐宝味觉糖</t>
  </si>
  <si>
    <t>大福虎</t>
  </si>
  <si>
    <t>大福虎攻击间隔</t>
  </si>
  <si>
    <r>
      <rPr>
        <sz val="15"/>
        <color theme="1"/>
        <rFont val="等线"/>
        <charset val="134"/>
      </rPr>
      <t>逆转牛:耗能150|爆炸将范围内老鼠传送到老鼠自身所在行最右边|一转后附加1000物理伤害(</t>
    </r>
    <r>
      <rPr>
        <b/>
        <sz val="15"/>
        <color rgb="FFC00000"/>
        <rFont val="等线"/>
        <charset val="134"/>
      </rPr>
      <t>仅对被传送的老鼠有效,对boss,鼹鼠无效</t>
    </r>
    <r>
      <rPr>
        <sz val="15"/>
        <color theme="1"/>
        <rFont val="等线"/>
        <charset val="134"/>
      </rPr>
      <t>)</t>
    </r>
  </si>
  <si>
    <r>
      <rPr>
        <sz val="15"/>
        <color theme="1"/>
        <rFont val="等线"/>
        <charset val="134"/>
      </rPr>
      <t>鼠乐宝味觉糖：耗能95|一转后毒气为</t>
    </r>
    <r>
      <rPr>
        <b/>
        <sz val="15"/>
        <color rgb="FFC00000"/>
        <rFont val="等线"/>
        <charset val="134"/>
      </rPr>
      <t>物理伤害</t>
    </r>
    <r>
      <rPr>
        <sz val="15"/>
        <color theme="1"/>
        <rFont val="等线"/>
        <charset val="134"/>
      </rPr>
      <t>，</t>
    </r>
    <r>
      <rPr>
        <b/>
        <sz val="15"/>
        <color rgb="FFC00000"/>
        <rFont val="等线"/>
        <charset val="134"/>
      </rPr>
      <t>单次伤害350，共5次，总伤害1750，间隔1s</t>
    </r>
    <r>
      <rPr>
        <sz val="15"/>
        <color theme="1"/>
        <rFont val="等线"/>
        <charset val="134"/>
      </rPr>
      <t>|对所有老鼠均能造成伤害</t>
    </r>
  </si>
  <si>
    <t>大福虎:耗能120|体力150|作用范围5*5|定时释放香味吸引范围内老鼠位移到本行,一转被吃掉后产生伤害,二转伤害范围扩大到3*3</t>
  </si>
  <si>
    <t>大福虎放下后立即生效一次</t>
  </si>
  <si>
    <t>早期逆转牛也具有鼠乐宝一样聚怪的功能，正式开放后被删除</t>
  </si>
  <si>
    <r>
      <rPr>
        <sz val="48"/>
        <color theme="1"/>
        <rFont val="方正粗圆简体"/>
        <charset val="134"/>
      </rPr>
      <t xml:space="preserve">“强力”辅助类
</t>
    </r>
    <r>
      <rPr>
        <sz val="18"/>
        <color theme="1"/>
        <rFont val="方正粗圆简体"/>
        <charset val="134"/>
      </rPr>
      <t>CoolDown &amp; DriveFog &amp; ClearObstacleBomb &amp; Special Effect</t>
    </r>
  </si>
  <si>
    <t>冷却辅助</t>
  </si>
  <si>
    <t>冰激凌</t>
  </si>
  <si>
    <t>幻幻鸡</t>
  </si>
  <si>
    <t>圣诞包裹</t>
  </si>
  <si>
    <t>天使猪</t>
  </si>
  <si>
    <t>极寒冰沙</t>
  </si>
  <si>
    <t>幻幻鸡:耗能325/275/275|二转附带5*5的900伤害灰烬爆炸|包裹:耗能150/75/75|二转3*3十字灰烬爆炸|天使猪:耗能225/125/125|二转3*3爆炸</t>
  </si>
  <si>
    <t>防风驱雾&amp;照明</t>
  </si>
  <si>
    <t>油灯</t>
  </si>
  <si>
    <t>南瓜灯</t>
  </si>
  <si>
    <t>防萤草灯笼</t>
  </si>
  <si>
    <t>技能提升</t>
  </si>
  <si>
    <t>让全屏幽灵鼠显形，并将啃咬自己的老鼠变成火苗</t>
  </si>
  <si>
    <t>清明粿冷却</t>
  </si>
  <si>
    <t>防萤草攻击力</t>
  </si>
  <si>
    <t>耗能35|体力150|具体效果待测试</t>
  </si>
  <si>
    <t>驱雾时间</t>
  </si>
  <si>
    <t>换气扇</t>
  </si>
  <si>
    <t>9周年幸运草扇</t>
  </si>
  <si>
    <t>清障型</t>
  </si>
  <si>
    <t>爆炸后清除关卡事件造成的障碍</t>
  </si>
  <si>
    <t>爆爆鸡</t>
  </si>
  <si>
    <t>清障猪</t>
  </si>
  <si>
    <r>
      <rPr>
        <b/>
        <sz val="14"/>
        <color rgb="FF0070C0"/>
        <rFont val="等线"/>
        <charset val="134"/>
      </rPr>
      <t>一转</t>
    </r>
    <r>
      <rPr>
        <sz val="14"/>
        <color theme="1"/>
        <rFont val="等线"/>
        <charset val="134"/>
      </rPr>
      <t>旋风牛</t>
    </r>
  </si>
  <si>
    <t>酸柠檬爆弹</t>
  </si>
  <si>
    <t>爆爆鸡无伤害|清障猪一转后附带900灰烬伤害|旋风牛一转后可清除关卡内事件造成的障碍物|酸柠檬范围5*5|随机炸3个|20%定身1.5s</t>
  </si>
  <si>
    <t>除冰型</t>
  </si>
  <si>
    <t>海盐粉</t>
  </si>
  <si>
    <t>碎冰喵</t>
  </si>
  <si>
    <t>美杜莎鼠技能变成的雕像可以用海盐粉＆碎冰喵解除</t>
  </si>
  <si>
    <t>番外副本专属辅助</t>
  </si>
  <si>
    <t>棕榈吹风机</t>
  </si>
  <si>
    <t>防风草沙拉</t>
  </si>
  <si>
    <t>金箔甜筒</t>
  </si>
  <si>
    <t>炸炸菇</t>
  </si>
  <si>
    <t>防风技能间隔</t>
  </si>
  <si>
    <t>防风草一转治疗量20|棕榈吹风机体力30</t>
  </si>
  <si>
    <t>甜筒在场时间</t>
  </si>
  <si>
    <t>一转可灭火，治疗量10</t>
  </si>
  <si>
    <t>炸炸菇火苗</t>
  </si>
  <si>
    <t>耗能75|体力20000|范围3*3|一转爆炸为1000物理伤害</t>
  </si>
  <si>
    <t>防风草7技能即可做到无间隔防风|防风草也可以用来防雷城的车|棕榈吹风机铲掉即可生效</t>
  </si>
  <si>
    <t>回血治疗</t>
  </si>
  <si>
    <t>治愈喵</t>
  </si>
  <si>
    <t>首张也是目前唯一纯回血类卡|耗能75|治愈喵5*5爆炸时，回复50血，一转后的buff额外回复30血|二转范围扩大至全屏</t>
  </si>
  <si>
    <t>惊吓变道</t>
  </si>
  <si>
    <t>猫猫盒</t>
  </si>
  <si>
    <t>猫猫箱</t>
  </si>
  <si>
    <t>小丑盒子</t>
  </si>
  <si>
    <t>猫猫箱技能</t>
  </si>
  <si>
    <t>猫猫盒冷却恒定7s|小丑盒子冷却恒定30s</t>
  </si>
  <si>
    <t>拖延控制</t>
  </si>
  <si>
    <t>放下经过一段时间的准备后，定住接近的老鼠</t>
  </si>
  <si>
    <t>泡泡糖</t>
  </si>
  <si>
    <r>
      <rPr>
        <sz val="15"/>
        <color theme="1"/>
        <rFont val="等线"/>
        <charset val="134"/>
      </rPr>
      <t>耗能155|作用时间15s/25s/</t>
    </r>
    <r>
      <rPr>
        <b/>
        <sz val="15"/>
        <color rgb="FFFF0000"/>
        <rFont val="等线"/>
        <charset val="134"/>
      </rPr>
      <t>15s</t>
    </r>
    <r>
      <rPr>
        <sz val="15"/>
        <rFont val="等线"/>
        <charset val="134"/>
      </rPr>
      <t>|二转爆炸效果未知</t>
    </r>
  </si>
  <si>
    <t>堵洞&amp;唤醒</t>
  </si>
  <si>
    <t>空气</t>
  </si>
  <si>
    <t>木塞子</t>
  </si>
  <si>
    <t>?</t>
  </si>
  <si>
    <t>咖啡粉</t>
  </si>
  <si>
    <r>
      <rPr>
        <sz val="48"/>
        <color theme="1"/>
        <rFont val="方正粗圆简体"/>
        <charset val="134"/>
      </rPr>
      <t xml:space="preserve">防御类
</t>
    </r>
    <r>
      <rPr>
        <sz val="16"/>
        <color theme="1"/>
        <rFont val="方正粗圆简体"/>
        <charset val="134"/>
      </rPr>
      <t>BreadCommon &amp; BreadMiddle &amp; GuardProtector</t>
    </r>
  </si>
  <si>
    <t>小型防御</t>
  </si>
  <si>
    <t>土司面包</t>
  </si>
  <si>
    <t>食谱土司</t>
  </si>
  <si>
    <t>月饼</t>
  </si>
  <si>
    <t>冰皮月饼</t>
  </si>
  <si>
    <t>吐司面包冷却</t>
  </si>
  <si>
    <t>均50火|两种月饼冷却为30s</t>
  </si>
  <si>
    <t>大型防御</t>
  </si>
  <si>
    <t>巧克力面包</t>
  </si>
  <si>
    <t>食谱巧克力包</t>
  </si>
  <si>
    <t>爆炸菠萝面包</t>
  </si>
  <si>
    <t>食谱菠萝面包</t>
  </si>
  <si>
    <t>老虎蟹面包</t>
  </si>
  <si>
    <t>老虎蟹面包耗能155|冷却28s|可直接在海底生存|一转上陆</t>
  </si>
  <si>
    <t>耗能125+/125</t>
  </si>
  <si>
    <t>耗能150+/150+/150|体力一转后锁定1000，带谱后1200</t>
  </si>
  <si>
    <t>反伤护罩</t>
  </si>
  <si>
    <t>瓜皮护罩</t>
  </si>
  <si>
    <t>处女座</t>
  </si>
  <si>
    <t>赫拉神使</t>
  </si>
  <si>
    <t>以下为计算转职增幅后的数据|瓜皮为带上食神谱“冰镇西瓜”后的数据</t>
  </si>
  <si>
    <t>食谱瓜皮护罩</t>
  </si>
  <si>
    <r>
      <rPr>
        <b/>
        <sz val="14"/>
        <color rgb="FF0070C0"/>
        <rFont val="等线"/>
        <charset val="134"/>
      </rPr>
      <t>一转</t>
    </r>
    <r>
      <rPr>
        <sz val="14"/>
        <color theme="1"/>
        <rFont val="等线"/>
        <charset val="134"/>
      </rPr>
      <t>处女爆破</t>
    </r>
  </si>
  <si>
    <t>赫拉圣神</t>
  </si>
  <si>
    <r>
      <rPr>
        <sz val="14"/>
        <color theme="1"/>
        <rFont val="等线"/>
        <charset val="134"/>
      </rPr>
      <t>上表一转处女为死亡时</t>
    </r>
    <r>
      <rPr>
        <b/>
        <sz val="14"/>
        <color rgb="FFC00000"/>
        <rFont val="等线"/>
        <charset val="134"/>
      </rPr>
      <t>反弹的伤害</t>
    </r>
    <r>
      <rPr>
        <sz val="14"/>
        <rFont val="等线"/>
        <charset val="134"/>
      </rPr>
      <t>|赫拉爆炸伤害900</t>
    </r>
  </si>
  <si>
    <t>耗能125|一转瓜皮+铲子=物理炸弹</t>
  </si>
  <si>
    <t>耗能175/200/250|一转后,每份反弹的伤害+30%(向下取整)</t>
  </si>
  <si>
    <t>耗能125|先3*3反伤后5*5爆炸</t>
  </si>
  <si>
    <t>天后·赫拉</t>
  </si>
  <si>
    <r>
      <rPr>
        <b/>
        <sz val="14"/>
        <color rgb="FFC00000"/>
        <rFont val="等线"/>
        <charset val="134"/>
      </rPr>
      <t>第一次受伤时</t>
    </r>
    <r>
      <rPr>
        <sz val="14"/>
        <rFont val="等线"/>
        <charset val="134"/>
      </rPr>
      <t>，为被保护的卡增加1000体力，可突破上限如果保护卡片A的四转赫拉损坏消失,给A再套一个四转赫拉,这个新的赫拉第一次受伤时,还能给A增加1000体力（万血面包警告）</t>
    </r>
  </si>
  <si>
    <t>产能护罩</t>
  </si>
  <si>
    <t>产火数据见表⑤表兼职产火</t>
  </si>
  <si>
    <r>
      <rPr>
        <sz val="15"/>
        <rFont val="等线"/>
        <charset val="0"/>
      </rPr>
      <t>耗能150/125/125|体力恒定1200|冷却25s|产火相关数据见</t>
    </r>
    <r>
      <rPr>
        <b/>
        <sz val="15"/>
        <color rgb="FF002060"/>
        <rFont val="等线"/>
        <charset val="0"/>
      </rPr>
      <t>⑤表\持续产火类\兼职产火</t>
    </r>
  </si>
  <si>
    <r>
      <rPr>
        <sz val="15"/>
        <rFont val="等线"/>
        <charset val="134"/>
      </rPr>
      <t>耗能155|体力恒定1000|冷却25s|产火相关数据见</t>
    </r>
    <r>
      <rPr>
        <b/>
        <sz val="15"/>
        <color rgb="FF002060"/>
        <rFont val="等线"/>
        <charset val="134"/>
      </rPr>
      <t>⑤表\持续产火类\兼职产火</t>
    </r>
  </si>
  <si>
    <r>
      <rPr>
        <b/>
        <sz val="14"/>
        <color rgb="FF0070C0"/>
        <rFont val="等线"/>
        <charset val="134"/>
      </rPr>
      <t>转职</t>
    </r>
    <r>
      <rPr>
        <sz val="14"/>
        <color theme="1"/>
        <rFont val="等线"/>
        <charset val="134"/>
      </rPr>
      <t>喵喵炉</t>
    </r>
  </si>
  <si>
    <r>
      <rPr>
        <sz val="15"/>
        <rFont val="等线"/>
        <charset val="134"/>
      </rPr>
      <t>耗能125|冷却15s|非专职体力恒定200|一转后体力可强化(如上表)|产火相关数据见</t>
    </r>
    <r>
      <rPr>
        <b/>
        <sz val="15"/>
        <color rgb="FF002060"/>
        <rFont val="等线"/>
        <charset val="134"/>
      </rPr>
      <t>⑤表\持续产火类\兼职产火</t>
    </r>
  </si>
  <si>
    <t>无反伤的护罩类卡是没有灵魂的,只能当个玩具玩玩</t>
  </si>
  <si>
    <r>
      <rPr>
        <sz val="15"/>
        <rFont val="等线"/>
        <charset val="134"/>
      </rPr>
      <t>耗能130|冷却25s|火苗朵数1|一转3*3范围50%伤害反伤|二转对3*3范围造成900标准灰烬|</t>
    </r>
    <r>
      <rPr>
        <b/>
        <sz val="15"/>
        <color rgb="FFFF0000"/>
        <rFont val="等线"/>
        <charset val="134"/>
      </rPr>
      <t>不可铲掉生效</t>
    </r>
  </si>
  <si>
    <t>巨人鼠之父</t>
  </si>
  <si>
    <t>星级强化属性</t>
  </si>
  <si>
    <t>桂花酒体力</t>
  </si>
  <si>
    <t>桂花酒冷却</t>
  </si>
  <si>
    <t>榴莲饼体力固定1300</t>
  </si>
  <si>
    <t>榴莲饼冷却</t>
  </si>
  <si>
    <t>罐罐牛冷却</t>
  </si>
  <si>
    <r>
      <rPr>
        <sz val="16"/>
        <color theme="1"/>
        <rFont val="等线"/>
        <charset val="134"/>
      </rPr>
      <t>罐罐牛储能数据见</t>
    </r>
    <r>
      <rPr>
        <b/>
        <sz val="16"/>
        <color rgb="FF002060"/>
        <rFont val="等线"/>
        <charset val="134"/>
      </rPr>
      <t>⑤表\持续产火类\储能产火</t>
    </r>
  </si>
  <si>
    <t>娇娇虎冷却</t>
  </si>
  <si>
    <t>处女座蘸酱√&amp;处女座星宿</t>
  </si>
  <si>
    <t>处女座精灵</t>
  </si>
  <si>
    <r>
      <rPr>
        <b/>
        <sz val="14"/>
        <color rgb="FF0070C0"/>
        <rFont val="等线"/>
        <charset val="134"/>
      </rPr>
      <t>转职</t>
    </r>
    <r>
      <rPr>
        <sz val="14"/>
        <rFont val="等线"/>
        <charset val="134"/>
      </rPr>
      <t>处女</t>
    </r>
    <r>
      <rPr>
        <b/>
        <sz val="14"/>
        <color rgb="FFC00000"/>
        <rFont val="等线"/>
        <charset val="134"/>
      </rPr>
      <t>爆破</t>
    </r>
  </si>
</sst>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0.0%"/>
  </numFmts>
  <fonts count="214">
    <font>
      <sz val="11"/>
      <color theme="1"/>
      <name val="宋体"/>
      <charset val="134"/>
      <scheme val="minor"/>
    </font>
    <font>
      <sz val="48"/>
      <color theme="1"/>
      <name val="方正粗圆简体"/>
      <charset val="134"/>
    </font>
    <font>
      <sz val="14"/>
      <color theme="1"/>
      <name val="微软雅黑"/>
      <charset val="134"/>
    </font>
    <font>
      <sz val="14"/>
      <color theme="1"/>
      <name val="宋体"/>
      <charset val="134"/>
    </font>
    <font>
      <sz val="36"/>
      <color theme="2" tint="-0.9"/>
      <name val="方正爽趣体 简繁"/>
      <charset val="134"/>
    </font>
    <font>
      <b/>
      <sz val="15"/>
      <color theme="0"/>
      <name val="微软雅黑"/>
      <charset val="134"/>
    </font>
    <font>
      <b/>
      <sz val="16"/>
      <color theme="0"/>
      <name val="微软雅黑"/>
      <charset val="134"/>
    </font>
    <font>
      <b/>
      <sz val="24"/>
      <color theme="0"/>
      <name val="微软雅黑"/>
      <charset val="134"/>
    </font>
    <font>
      <b/>
      <sz val="15"/>
      <color theme="0"/>
      <name val="等线"/>
      <charset val="134"/>
    </font>
    <font>
      <b/>
      <sz val="14"/>
      <color theme="0"/>
      <name val="宋体"/>
      <charset val="134"/>
    </font>
    <font>
      <sz val="14"/>
      <color theme="0"/>
      <name val="宋体"/>
      <charset val="134"/>
    </font>
    <font>
      <sz val="14"/>
      <color theme="1"/>
      <name val="等线"/>
      <charset val="134"/>
    </font>
    <font>
      <sz val="14"/>
      <color theme="6" tint="-0.5"/>
      <name val="微软雅黑 Light"/>
      <charset val="134"/>
    </font>
    <font>
      <sz val="14"/>
      <name val="等线"/>
      <charset val="134"/>
    </font>
    <font>
      <sz val="16"/>
      <color theme="1"/>
      <name val="方正粗黑宋简体"/>
      <charset val="134"/>
    </font>
    <font>
      <sz val="16"/>
      <color theme="1" tint="0.15"/>
      <name val="宋体"/>
      <charset val="134"/>
    </font>
    <font>
      <sz val="16"/>
      <color rgb="FF7030A0"/>
      <name val="方正粗黑宋简体"/>
      <charset val="134"/>
    </font>
    <font>
      <sz val="16"/>
      <color theme="9" tint="-0.5"/>
      <name val="方正粗黑宋简体"/>
      <charset val="134"/>
    </font>
    <font>
      <b/>
      <sz val="15"/>
      <color theme="0"/>
      <name val="宋体"/>
      <charset val="134"/>
    </font>
    <font>
      <b/>
      <sz val="16"/>
      <name val="微软雅黑"/>
      <charset val="134"/>
    </font>
    <font>
      <b/>
      <sz val="24"/>
      <color theme="7" tint="-0.25"/>
      <name val="微软雅黑"/>
      <charset val="134"/>
    </font>
    <font>
      <sz val="13.5"/>
      <color theme="1"/>
      <name val="等线"/>
      <charset val="134"/>
    </font>
    <font>
      <b/>
      <sz val="16"/>
      <color theme="0"/>
      <name val="方正粗黑宋简体"/>
      <charset val="134"/>
    </font>
    <font>
      <b/>
      <sz val="16"/>
      <color rgb="FF7030A0"/>
      <name val="方正粗黑宋简体"/>
      <charset val="134"/>
    </font>
    <font>
      <b/>
      <sz val="16"/>
      <color theme="9" tint="-0.5"/>
      <name val="方正粗黑宋简体"/>
      <charset val="134"/>
    </font>
    <font>
      <b/>
      <sz val="16"/>
      <color theme="0" tint="-0.5"/>
      <name val="方正粗黑宋简体"/>
      <charset val="134"/>
    </font>
    <font>
      <b/>
      <sz val="14"/>
      <color rgb="FFC00000"/>
      <name val="微软雅黑"/>
      <charset val="134"/>
    </font>
    <font>
      <b/>
      <sz val="14"/>
      <color rgb="FF0070C0"/>
      <name val="等线"/>
      <charset val="134"/>
    </font>
    <font>
      <b/>
      <sz val="14"/>
      <color rgb="FFC00000"/>
      <name val="等线"/>
      <charset val="134"/>
    </font>
    <font>
      <b/>
      <sz val="24"/>
      <color theme="8" tint="-0.25"/>
      <name val="微软雅黑"/>
      <charset val="134"/>
    </font>
    <font>
      <sz val="15"/>
      <name val="等线"/>
      <charset val="0"/>
    </font>
    <font>
      <b/>
      <sz val="15"/>
      <color rgb="FF800080"/>
      <name val="等线"/>
      <charset val="0"/>
    </font>
    <font>
      <sz val="15"/>
      <name val="等线"/>
      <charset val="134"/>
    </font>
    <font>
      <sz val="15"/>
      <color rgb="FF0070C0"/>
      <name val="等线"/>
      <charset val="134"/>
    </font>
    <font>
      <b/>
      <sz val="14"/>
      <color theme="0"/>
      <name val="Microsoft YaHei UI"/>
      <charset val="134"/>
    </font>
    <font>
      <b/>
      <sz val="14"/>
      <color theme="0"/>
      <name val="Microsoft Sans Serif"/>
      <charset val="134"/>
    </font>
    <font>
      <b/>
      <sz val="16"/>
      <color rgb="FFFF0000"/>
      <name val="方正粗黑宋简体"/>
      <charset val="134"/>
    </font>
    <font>
      <sz val="16"/>
      <color theme="1"/>
      <name val="Arial"/>
      <charset val="134"/>
    </font>
    <font>
      <sz val="16"/>
      <color theme="7" tint="-0.25"/>
      <name val="方正粗黑宋简体"/>
      <charset val="134"/>
    </font>
    <font>
      <sz val="16"/>
      <color rgb="FFC00000"/>
      <name val="方正粗黑宋简体"/>
      <charset val="134"/>
    </font>
    <font>
      <sz val="16"/>
      <color theme="1"/>
      <name val="等线"/>
      <charset val="134"/>
    </font>
    <font>
      <b/>
      <sz val="14"/>
      <name val="微软雅黑"/>
      <charset val="134"/>
    </font>
    <font>
      <b/>
      <sz val="16"/>
      <color theme="7" tint="-0.25"/>
      <name val="方正粗黑宋简体"/>
      <charset val="134"/>
    </font>
    <font>
      <b/>
      <sz val="16"/>
      <color rgb="FFC00000"/>
      <name val="方正粗黑宋简体"/>
      <charset val="134"/>
    </font>
    <font>
      <sz val="46"/>
      <color theme="1"/>
      <name val="汉仪雅酷黑简"/>
      <charset val="134"/>
    </font>
    <font>
      <b/>
      <sz val="16"/>
      <color theme="8"/>
      <name val="方正粗黑宋简体"/>
      <charset val="134"/>
    </font>
    <font>
      <sz val="15"/>
      <name val="方正爽趣体 简繁"/>
      <charset val="134"/>
    </font>
    <font>
      <b/>
      <sz val="14"/>
      <color theme="0"/>
      <name val="微软雅黑"/>
      <charset val="134"/>
    </font>
    <font>
      <b/>
      <sz val="14"/>
      <color theme="2" tint="-0.5"/>
      <name val="等线"/>
      <charset val="134"/>
    </font>
    <font>
      <sz val="14"/>
      <color theme="2" tint="-0.5"/>
      <name val="微软雅黑 Light"/>
      <charset val="134"/>
    </font>
    <font>
      <sz val="15"/>
      <color theme="1"/>
      <name val="等线"/>
      <charset val="134"/>
    </font>
    <font>
      <b/>
      <sz val="24"/>
      <color rgb="FF002060"/>
      <name val="微软雅黑"/>
      <charset val="134"/>
    </font>
    <font>
      <b/>
      <sz val="24"/>
      <color theme="5" tint="-0.25"/>
      <name val="微软雅黑"/>
      <charset val="134"/>
    </font>
    <font>
      <sz val="14"/>
      <color theme="2" tint="-0.5"/>
      <name val="微软雅黑"/>
      <charset val="134"/>
    </font>
    <font>
      <b/>
      <sz val="16"/>
      <color theme="2" tint="-0.5"/>
      <name val="方正粗黑宋简体"/>
      <charset val="134"/>
    </font>
    <font>
      <sz val="16"/>
      <color theme="2" tint="-0.5"/>
      <name val="Arial"/>
      <charset val="134"/>
    </font>
    <font>
      <sz val="20"/>
      <color theme="1"/>
      <name val="微软雅黑"/>
      <charset val="134"/>
    </font>
    <font>
      <b/>
      <sz val="24"/>
      <color rgb="FFC00000"/>
      <name val="方正粗黑宋简体"/>
      <charset val="134"/>
    </font>
    <font>
      <b/>
      <sz val="16"/>
      <color theme="0"/>
      <name val="等线"/>
      <charset val="134"/>
    </font>
    <font>
      <b/>
      <sz val="24"/>
      <color rgb="FFFF0000"/>
      <name val="微软雅黑"/>
      <charset val="134"/>
    </font>
    <font>
      <sz val="46"/>
      <color theme="1"/>
      <name val="方正粗圆简体"/>
      <charset val="134"/>
    </font>
    <font>
      <b/>
      <sz val="14"/>
      <color theme="1" tint="0.25"/>
      <name val="微软雅黑 Light"/>
      <charset val="134"/>
    </font>
    <font>
      <b/>
      <sz val="24"/>
      <color theme="7" tint="-0.5"/>
      <name val="微软雅黑"/>
      <charset val="134"/>
    </font>
    <font>
      <sz val="15"/>
      <color theme="2" tint="-0.5"/>
      <name val="等线"/>
      <charset val="134"/>
    </font>
    <font>
      <b/>
      <sz val="11"/>
      <color theme="1"/>
      <name val="宋体"/>
      <charset val="134"/>
      <scheme val="minor"/>
    </font>
    <font>
      <b/>
      <sz val="14"/>
      <color rgb="FFFF0000"/>
      <name val="微软雅黑"/>
      <charset val="134"/>
    </font>
    <font>
      <sz val="14"/>
      <color rgb="FFFF0000"/>
      <name val="微软雅黑"/>
      <charset val="134"/>
    </font>
    <font>
      <sz val="14"/>
      <color theme="0" tint="-0.35"/>
      <name val="微软雅黑 Light"/>
      <charset val="134"/>
    </font>
    <font>
      <b/>
      <sz val="14"/>
      <color theme="0" tint="-0.5"/>
      <name val="等线"/>
      <charset val="134"/>
    </font>
    <font>
      <sz val="16"/>
      <name val="方正粗黑宋简体"/>
      <charset val="134"/>
    </font>
    <font>
      <b/>
      <sz val="16"/>
      <color theme="0" tint="-0.5"/>
      <name val="宋体"/>
      <charset val="134"/>
    </font>
    <font>
      <b/>
      <sz val="16"/>
      <color rgb="FF002060"/>
      <name val="等线"/>
      <charset val="134"/>
    </font>
    <font>
      <b/>
      <sz val="15"/>
      <name val="等线"/>
      <charset val="134"/>
    </font>
    <font>
      <b/>
      <sz val="24"/>
      <color rgb="FF00B0F0"/>
      <name val="微软雅黑"/>
      <charset val="134"/>
    </font>
    <font>
      <sz val="16"/>
      <color rgb="FFFF0000"/>
      <name val="方正粗黑宋简体"/>
      <charset val="134"/>
    </font>
    <font>
      <b/>
      <u/>
      <sz val="14"/>
      <color rgb="FFC00000"/>
      <name val="等线"/>
      <charset val="134"/>
    </font>
    <font>
      <sz val="16"/>
      <color theme="0" tint="-0.5"/>
      <name val="Arial"/>
      <charset val="134"/>
    </font>
    <font>
      <sz val="14"/>
      <color theme="0" tint="-0.5"/>
      <name val="微软雅黑"/>
      <charset val="134"/>
    </font>
    <font>
      <sz val="16"/>
      <color theme="8"/>
      <name val="方正粗黑宋简体"/>
      <charset val="134"/>
    </font>
    <font>
      <sz val="15"/>
      <color theme="1"/>
      <name val="微软雅黑"/>
      <charset val="134"/>
    </font>
    <font>
      <b/>
      <sz val="14"/>
      <color rgb="FF002060"/>
      <name val="等线"/>
      <charset val="134"/>
    </font>
    <font>
      <b/>
      <sz val="24"/>
      <color theme="1" tint="0.15"/>
      <name val="微软雅黑"/>
      <charset val="134"/>
    </font>
    <font>
      <b/>
      <sz val="14"/>
      <name val="微软雅黑"/>
      <charset val="0"/>
    </font>
    <font>
      <b/>
      <sz val="14"/>
      <color rgb="FF800080"/>
      <name val="微软雅黑"/>
      <charset val="0"/>
    </font>
    <font>
      <sz val="40"/>
      <color theme="1"/>
      <name val="方正粗圆简体"/>
      <charset val="134"/>
    </font>
    <font>
      <sz val="35"/>
      <color theme="1"/>
      <name val="方正粗圆简体"/>
      <charset val="134"/>
    </font>
    <font>
      <sz val="16"/>
      <name val="等线"/>
      <charset val="134"/>
    </font>
    <font>
      <sz val="18"/>
      <color theme="0"/>
      <name val="方正准圆简体"/>
      <charset val="134"/>
    </font>
    <font>
      <b/>
      <sz val="14"/>
      <color rgb="FF0070C0"/>
      <name val="微软雅黑"/>
      <charset val="134"/>
    </font>
    <font>
      <sz val="14"/>
      <color rgb="FFC00000"/>
      <name val="等线"/>
      <charset val="134"/>
    </font>
    <font>
      <b/>
      <sz val="14"/>
      <color theme="0"/>
      <name val="等线"/>
      <charset val="134"/>
    </font>
    <font>
      <b/>
      <sz val="16"/>
      <color theme="1"/>
      <name val="等线"/>
      <charset val="134"/>
    </font>
    <font>
      <b/>
      <sz val="16"/>
      <color rgb="FFC00000"/>
      <name val="等线"/>
      <charset val="134"/>
    </font>
    <font>
      <b/>
      <sz val="14"/>
      <color rgb="FFFF0000"/>
      <name val="等线"/>
      <charset val="134"/>
    </font>
    <font>
      <b/>
      <sz val="24"/>
      <color theme="9" tint="-0.25"/>
      <name val="微软雅黑"/>
      <charset val="134"/>
    </font>
    <font>
      <sz val="11"/>
      <name val="宋体"/>
      <charset val="134"/>
      <scheme val="minor"/>
    </font>
    <font>
      <b/>
      <sz val="16"/>
      <name val="等线"/>
      <charset val="134"/>
    </font>
    <font>
      <sz val="11"/>
      <color theme="1"/>
      <name val="微软雅黑"/>
      <charset val="134"/>
    </font>
    <font>
      <b/>
      <sz val="14"/>
      <name val="等线"/>
      <charset val="134"/>
    </font>
    <font>
      <sz val="14"/>
      <color theme="0"/>
      <name val="微软雅黑"/>
      <charset val="134"/>
    </font>
    <font>
      <b/>
      <sz val="16"/>
      <color theme="0" tint="-0.5"/>
      <name val="Arial"/>
      <charset val="134"/>
    </font>
    <font>
      <sz val="34.5"/>
      <color theme="1"/>
      <name val="方正粗圆简体"/>
      <charset val="134"/>
    </font>
    <font>
      <sz val="36"/>
      <color theme="1"/>
      <name val="方正粗圆简体"/>
      <charset val="134"/>
    </font>
    <font>
      <b/>
      <sz val="15"/>
      <color theme="1"/>
      <name val="等线"/>
      <charset val="134"/>
    </font>
    <font>
      <sz val="15"/>
      <color rgb="FFC00000"/>
      <name val="方正粗黑宋简体"/>
      <charset val="134"/>
    </font>
    <font>
      <sz val="15"/>
      <color theme="0"/>
      <name val="方正粗黑宋简体"/>
      <charset val="134"/>
    </font>
    <font>
      <sz val="16"/>
      <color theme="0"/>
      <name val="方正粗黑宋简体"/>
      <charset val="134"/>
    </font>
    <font>
      <sz val="15"/>
      <color theme="1"/>
      <name val="方正粗黑宋简体"/>
      <charset val="134"/>
    </font>
    <font>
      <sz val="15"/>
      <color theme="1"/>
      <name val="宋体"/>
      <charset val="134"/>
    </font>
    <font>
      <b/>
      <sz val="15"/>
      <color rgb="FF7030A0"/>
      <name val="方正粗黑宋简体"/>
      <charset val="134"/>
    </font>
    <font>
      <b/>
      <sz val="15"/>
      <color theme="9" tint="-0.5"/>
      <name val="方正粗黑宋简体"/>
      <charset val="134"/>
    </font>
    <font>
      <b/>
      <sz val="24"/>
      <color rgb="FF00B050"/>
      <name val="微软雅黑"/>
      <charset val="134"/>
    </font>
    <font>
      <b/>
      <sz val="14"/>
      <color theme="1"/>
      <name val="等线"/>
      <charset val="134"/>
    </font>
    <font>
      <b/>
      <sz val="15"/>
      <color theme="7" tint="-0.25"/>
      <name val="方正粗黑宋简体"/>
      <charset val="134"/>
    </font>
    <font>
      <b/>
      <sz val="15"/>
      <color rgb="FFC00000"/>
      <name val="方正粗黑宋简体"/>
      <charset val="134"/>
    </font>
    <font>
      <sz val="14"/>
      <color theme="6" tint="-0.5"/>
      <name val="方正粗圆简体"/>
      <charset val="134"/>
    </font>
    <font>
      <sz val="16"/>
      <color theme="1"/>
      <name val="方正粗圆简体"/>
      <charset val="134"/>
    </font>
    <font>
      <b/>
      <sz val="16"/>
      <color theme="0"/>
      <name val="Microsoft YaHei UI"/>
      <charset val="134"/>
    </font>
    <font>
      <b/>
      <sz val="15"/>
      <color theme="0" tint="-0.5"/>
      <name val="微软雅黑"/>
      <charset val="134"/>
    </font>
    <font>
      <b/>
      <sz val="14"/>
      <color rgb="FF002060"/>
      <name val="微软雅黑"/>
      <charset val="134"/>
    </font>
    <font>
      <sz val="14"/>
      <color theme="2" tint="-0.5"/>
      <name val="等线"/>
      <charset val="134"/>
    </font>
    <font>
      <b/>
      <sz val="15"/>
      <color rgb="FFC00000"/>
      <name val="等线"/>
      <charset val="134"/>
    </font>
    <font>
      <b/>
      <sz val="15"/>
      <name val="微软雅黑"/>
      <charset val="134"/>
    </font>
    <font>
      <b/>
      <sz val="16"/>
      <color theme="4"/>
      <name val="方正粗黑宋简体"/>
      <charset val="134"/>
    </font>
    <font>
      <b/>
      <sz val="16"/>
      <color theme="5" tint="-0.25"/>
      <name val="方正粗黑宋简体"/>
      <charset val="134"/>
    </font>
    <font>
      <b/>
      <sz val="16"/>
      <color rgb="FFFFFF00"/>
      <name val="等线"/>
      <charset val="134"/>
    </font>
    <font>
      <sz val="15"/>
      <color theme="0" tint="-0.5"/>
      <name val="方正粗黑宋简体"/>
      <charset val="134"/>
    </font>
    <font>
      <sz val="15"/>
      <color theme="0" tint="-0.5"/>
      <name val="宋体"/>
      <charset val="134"/>
    </font>
    <font>
      <b/>
      <sz val="15"/>
      <color theme="0" tint="-0.5"/>
      <name val="方正粗黑宋简体"/>
      <charset val="134"/>
    </font>
    <font>
      <b/>
      <sz val="15"/>
      <color theme="8" tint="-0.25"/>
      <name val="等线"/>
      <charset val="134"/>
    </font>
    <font>
      <b/>
      <sz val="15"/>
      <color theme="7" tint="-0.25"/>
      <name val="宋体"/>
      <charset val="134"/>
    </font>
    <font>
      <b/>
      <sz val="15"/>
      <color theme="0"/>
      <name val="方正粗黑宋简体"/>
      <charset val="134"/>
    </font>
    <font>
      <b/>
      <sz val="16"/>
      <color theme="1" tint="0.15"/>
      <name val="方正粗黑宋简体"/>
      <charset val="134"/>
    </font>
    <font>
      <b/>
      <sz val="14"/>
      <color theme="8" tint="-0.5"/>
      <name val="宋体"/>
      <charset val="134"/>
    </font>
    <font>
      <b/>
      <sz val="16"/>
      <color theme="8" tint="-0.5"/>
      <name val="方正粗黑宋简体"/>
      <charset val="134"/>
    </font>
    <font>
      <b/>
      <sz val="14"/>
      <color theme="4" tint="-0.5"/>
      <name val="微软雅黑"/>
      <charset val="134"/>
    </font>
    <font>
      <b/>
      <sz val="14"/>
      <color theme="8" tint="-0.5"/>
      <name val="等线"/>
      <charset val="134"/>
    </font>
    <font>
      <b/>
      <sz val="16"/>
      <color theme="1" tint="0.15"/>
      <name val="宋体"/>
      <charset val="134"/>
    </font>
    <font>
      <b/>
      <sz val="15"/>
      <color theme="1"/>
      <name val="宋体"/>
      <charset val="134"/>
    </font>
    <font>
      <b/>
      <sz val="10"/>
      <color theme="1"/>
      <name val="微软雅黑"/>
      <charset val="134"/>
    </font>
    <font>
      <b/>
      <sz val="8.5"/>
      <color theme="1"/>
      <name val="微软雅黑"/>
      <charset val="134"/>
    </font>
    <font>
      <b/>
      <sz val="15"/>
      <color theme="1"/>
      <name val="方正爽趣体 简繁"/>
      <charset val="134"/>
    </font>
    <font>
      <b/>
      <sz val="9"/>
      <color theme="1"/>
      <name val="微软雅黑"/>
      <charset val="134"/>
    </font>
    <font>
      <sz val="14"/>
      <color theme="1"/>
      <name val="微软雅黑 Light"/>
      <charset val="134"/>
    </font>
    <font>
      <sz val="14"/>
      <name val="微软雅黑 Light"/>
      <charset val="134"/>
    </font>
    <font>
      <b/>
      <sz val="15"/>
      <color theme="2" tint="-0.5"/>
      <name val="等线"/>
      <charset val="134"/>
    </font>
    <font>
      <b/>
      <sz val="15"/>
      <color rgb="FFFFFF00"/>
      <name val="等线"/>
      <charset val="134"/>
    </font>
    <font>
      <sz val="13"/>
      <color theme="1"/>
      <name val="等线"/>
      <charset val="134"/>
    </font>
    <font>
      <b/>
      <sz val="15"/>
      <color theme="8"/>
      <name val="微软雅黑"/>
      <charset val="134"/>
    </font>
    <font>
      <b/>
      <sz val="14"/>
      <color theme="0" tint="-0.25"/>
      <name val="等线"/>
      <charset val="134"/>
    </font>
    <font>
      <b/>
      <sz val="24"/>
      <color rgb="FF0070C0"/>
      <name val="微软雅黑"/>
      <charset val="134"/>
    </font>
    <font>
      <sz val="14"/>
      <color theme="0"/>
      <name val="等线"/>
      <charset val="134"/>
    </font>
    <font>
      <b/>
      <sz val="14"/>
      <color rgb="FF7030A0"/>
      <name val="等线"/>
      <charset val="134"/>
    </font>
    <font>
      <sz val="14"/>
      <color theme="0" tint="-0.5"/>
      <name val="等线"/>
      <charset val="134"/>
    </font>
    <font>
      <sz val="16"/>
      <color theme="0" tint="-0.5"/>
      <name val="方正粗黑宋简体"/>
      <charset val="134"/>
    </font>
    <font>
      <sz val="16"/>
      <color theme="0" tint="-0.5"/>
      <name val="宋体"/>
      <charset val="134"/>
    </font>
    <font>
      <b/>
      <sz val="15"/>
      <color rgb="FF002060"/>
      <name val="等线"/>
      <charset val="134"/>
    </font>
    <font>
      <sz val="15"/>
      <color rgb="FF002060"/>
      <name val="等线"/>
      <charset val="134"/>
    </font>
    <font>
      <sz val="14"/>
      <color theme="2" tint="-0.75"/>
      <name val="等线"/>
      <charset val="134"/>
    </font>
    <font>
      <sz val="14"/>
      <color theme="3" tint="0.4"/>
      <name val="等线"/>
      <charset val="134"/>
    </font>
    <font>
      <sz val="16"/>
      <color theme="2" tint="-0.5"/>
      <name val="方正粗黑宋简体"/>
      <charset val="134"/>
    </font>
    <font>
      <sz val="16"/>
      <color theme="2" tint="-0.5"/>
      <name val="宋体"/>
      <charset val="134"/>
    </font>
    <font>
      <b/>
      <sz val="14"/>
      <color theme="1"/>
      <name val="微软雅黑"/>
      <charset val="134"/>
    </font>
    <font>
      <b/>
      <sz val="14"/>
      <name val="微软雅黑 Light"/>
      <charset val="134"/>
    </font>
    <font>
      <b/>
      <sz val="16"/>
      <color theme="1"/>
      <name val="Arial"/>
      <charset val="134"/>
    </font>
    <font>
      <sz val="15"/>
      <color rgb="FF7030A0"/>
      <name val="方正粗黑宋简体"/>
      <charset val="134"/>
    </font>
    <font>
      <sz val="15"/>
      <color theme="9" tint="-0.5"/>
      <name val="方正粗黑宋简体"/>
      <charset val="134"/>
    </font>
    <font>
      <b/>
      <sz val="15"/>
      <color theme="1"/>
      <name val="方正粗黑宋简体"/>
      <charset val="134"/>
    </font>
    <font>
      <b/>
      <sz val="14"/>
      <color theme="8" tint="-0.5"/>
      <name val="微软雅黑"/>
      <charset val="134"/>
    </font>
    <font>
      <sz val="11"/>
      <color theme="8" tint="-0.5"/>
      <name val="微软雅黑"/>
      <charset val="134"/>
    </font>
    <font>
      <sz val="15"/>
      <color theme="7" tint="-0.25"/>
      <name val="方正粗黑宋简体"/>
      <charset val="134"/>
    </font>
    <font>
      <sz val="16"/>
      <color rgb="FF002060"/>
      <name val="方正粗黑宋简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5"/>
      <color rgb="FF002060"/>
      <name val="等线"/>
      <charset val="0"/>
    </font>
    <font>
      <b/>
      <sz val="15"/>
      <color rgb="FFFF0000"/>
      <name val="等线"/>
      <charset val="134"/>
    </font>
    <font>
      <sz val="18"/>
      <color theme="1"/>
      <name val="方正粗圆简体"/>
      <charset val="134"/>
    </font>
    <font>
      <b/>
      <sz val="15"/>
      <color theme="2" tint="-0.75"/>
      <name val="微软雅黑"/>
      <charset val="134"/>
    </font>
    <font>
      <sz val="16"/>
      <color rgb="FFC00000"/>
      <name val="等线"/>
      <charset val="134"/>
    </font>
    <font>
      <sz val="16"/>
      <color theme="8" tint="-0.25"/>
      <name val="方正粗圆简体"/>
      <charset val="134"/>
    </font>
    <font>
      <b/>
      <sz val="16"/>
      <color theme="2" tint="-0.5"/>
      <name val="方正粗圆简体"/>
      <charset val="134"/>
    </font>
    <font>
      <b/>
      <sz val="16"/>
      <color rgb="FFFF0000"/>
      <name val="等线"/>
      <charset val="134"/>
    </font>
    <font>
      <b/>
      <sz val="14"/>
      <color theme="7" tint="-0.25"/>
      <name val="微软雅黑"/>
      <charset val="134"/>
    </font>
    <font>
      <sz val="14"/>
      <name val="微软雅黑"/>
      <charset val="134"/>
    </font>
    <font>
      <b/>
      <sz val="14"/>
      <color theme="4" tint="-0.5"/>
      <name val="等线"/>
      <charset val="134"/>
    </font>
    <font>
      <b/>
      <sz val="18"/>
      <color theme="1"/>
      <name val="微软雅黑"/>
      <charset val="134"/>
    </font>
    <font>
      <sz val="13.5"/>
      <color theme="1"/>
      <name val="宋体"/>
      <charset val="134"/>
    </font>
    <font>
      <b/>
      <sz val="14"/>
      <color rgb="FFC00000"/>
      <name val="方正粗黑宋简体"/>
      <charset val="134"/>
    </font>
    <font>
      <b/>
      <sz val="15"/>
      <color rgb="FFFFC000"/>
      <name val="等线"/>
      <charset val="134"/>
    </font>
    <font>
      <sz val="15"/>
      <color theme="0" tint="-0.5"/>
      <name val="等线"/>
      <charset val="134"/>
    </font>
    <font>
      <b/>
      <sz val="15"/>
      <color rgb="FFC00000"/>
      <name val="方正爽趣体 简繁"/>
      <charset val="134"/>
    </font>
    <font>
      <b/>
      <sz val="18"/>
      <color rgb="FF002060"/>
      <name val="方正爽趣体 简繁"/>
      <charset val="134"/>
    </font>
    <font>
      <b/>
      <sz val="18"/>
      <color theme="2" tint="-0.5"/>
      <name val="方正爽趣体 简繁"/>
      <charset val="134"/>
    </font>
    <font>
      <b/>
      <sz val="15"/>
      <name val="方正爽趣体 简繁"/>
      <charset val="134"/>
    </font>
    <font>
      <b/>
      <sz val="18"/>
      <color theme="7" tint="-0.25"/>
      <name val="方正爽趣体 简繁"/>
      <charset val="134"/>
    </font>
    <font>
      <b/>
      <sz val="16"/>
      <color rgb="FF002060"/>
      <name val="方正粗黑宋简体"/>
      <charset val="134"/>
    </font>
    <font>
      <b/>
      <sz val="16"/>
      <color theme="0"/>
      <name val="宋体"/>
      <charset val="134"/>
    </font>
  </fonts>
  <fills count="72">
    <fill>
      <patternFill patternType="none"/>
    </fill>
    <fill>
      <patternFill patternType="gray125"/>
    </fill>
    <fill>
      <patternFill patternType="solid">
        <fgColor theme="3" tint="0.8"/>
        <bgColor indexed="64"/>
      </patternFill>
    </fill>
    <fill>
      <patternFill patternType="solid">
        <fgColor theme="1" tint="0.05"/>
        <bgColor indexed="64"/>
      </patternFill>
    </fill>
    <fill>
      <patternFill patternType="solid">
        <fgColor theme="6" tint="-0.25"/>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4" tint="0.4"/>
        <bgColor indexed="64"/>
      </patternFill>
    </fill>
    <fill>
      <patternFill patternType="solid">
        <fgColor theme="7" tint="0.8"/>
        <bgColor indexed="64"/>
      </patternFill>
    </fill>
    <fill>
      <patternFill patternType="solid">
        <fgColor theme="9" tint="0.4"/>
        <bgColor indexed="64"/>
      </patternFill>
    </fill>
    <fill>
      <patternFill patternType="solid">
        <fgColor theme="8" tint="0.8"/>
        <bgColor indexed="64"/>
      </patternFill>
    </fill>
    <fill>
      <patternFill patternType="solid">
        <fgColor rgb="FFFFFF00"/>
        <bgColor indexed="64"/>
      </patternFill>
    </fill>
    <fill>
      <patternFill patternType="solid">
        <fgColor rgb="FFC00000"/>
        <bgColor indexed="64"/>
      </patternFill>
    </fill>
    <fill>
      <patternFill patternType="solid">
        <fgColor theme="8" tint="-0.5"/>
        <bgColor indexed="64"/>
      </patternFill>
    </fill>
    <fill>
      <patternFill patternType="solid">
        <fgColor rgb="FFFF0000"/>
        <bgColor indexed="64"/>
      </patternFill>
    </fill>
    <fill>
      <patternFill patternType="solid">
        <fgColor rgb="FF7030A0"/>
        <bgColor indexed="64"/>
      </patternFill>
    </fill>
    <fill>
      <patternFill patternType="solid">
        <fgColor theme="1"/>
        <bgColor indexed="64"/>
      </patternFill>
    </fill>
    <fill>
      <patternFill patternType="solid">
        <fgColor theme="7" tint="-0.25"/>
        <bgColor indexed="64"/>
      </patternFill>
    </fill>
    <fill>
      <patternFill patternType="solid">
        <fgColor rgb="FF00B050"/>
        <bgColor indexed="64"/>
      </patternFill>
    </fill>
    <fill>
      <patternFill patternType="solid">
        <fgColor theme="8" tint="0.4"/>
        <bgColor indexed="64"/>
      </patternFill>
    </fill>
    <fill>
      <patternFill patternType="solid">
        <fgColor theme="3" tint="0.6"/>
        <bgColor indexed="64"/>
      </patternFill>
    </fill>
    <fill>
      <patternFill patternType="solid">
        <fgColor rgb="FF0070C0"/>
        <bgColor indexed="64"/>
      </patternFill>
    </fill>
    <fill>
      <patternFill patternType="solid">
        <fgColor theme="4" tint="-0.25"/>
        <bgColor indexed="64"/>
      </patternFill>
    </fill>
    <fill>
      <patternFill patternType="solid">
        <fgColor theme="7" tint="0.4"/>
        <bgColor indexed="64"/>
      </patternFill>
    </fill>
    <fill>
      <patternFill patternType="solid">
        <fgColor theme="3" tint="0.4"/>
        <bgColor indexed="64"/>
      </patternFill>
    </fill>
    <fill>
      <patternFill patternType="solid">
        <fgColor theme="0" tint="-0.35"/>
        <bgColor indexed="64"/>
      </patternFill>
    </fill>
    <fill>
      <patternFill patternType="solid">
        <fgColor theme="9"/>
        <bgColor indexed="64"/>
      </patternFill>
    </fill>
    <fill>
      <patternFill patternType="solid">
        <fgColor rgb="FF00B0F0"/>
        <bgColor indexed="64"/>
      </patternFill>
    </fill>
    <fill>
      <patternFill patternType="solid">
        <fgColor theme="3" tint="-0.25"/>
        <bgColor indexed="64"/>
      </patternFill>
    </fill>
    <fill>
      <patternFill patternType="solid">
        <fgColor theme="7" tint="0.6"/>
        <bgColor indexed="64"/>
      </patternFill>
    </fill>
    <fill>
      <patternFill patternType="solid">
        <fgColor theme="8" tint="0.6"/>
        <bgColor indexed="64"/>
      </patternFill>
    </fill>
    <fill>
      <patternFill patternType="solid">
        <fgColor theme="0" tint="-0.25"/>
        <bgColor indexed="64"/>
      </patternFill>
    </fill>
    <fill>
      <patternFill patternType="solid">
        <fgColor theme="0" tint="-0.05"/>
        <bgColor indexed="64"/>
      </patternFill>
    </fill>
    <fill>
      <patternFill patternType="solid">
        <fgColor theme="9" tint="0.8"/>
        <bgColor indexed="64"/>
      </patternFill>
    </fill>
    <fill>
      <patternFill patternType="solid">
        <fgColor theme="5" tint="-0.25"/>
        <bgColor indexed="64"/>
      </patternFill>
    </fill>
    <fill>
      <patternFill patternType="solid">
        <fgColor theme="6"/>
        <bgColor indexed="64"/>
      </patternFill>
    </fill>
    <fill>
      <patternFill patternType="solid">
        <fgColor theme="9" tint="-0.25"/>
        <bgColor indexed="64"/>
      </patternFill>
    </fill>
    <fill>
      <patternFill patternType="solid">
        <fgColor theme="5" tint="0.4"/>
        <bgColor indexed="64"/>
      </patternFill>
    </fill>
    <fill>
      <patternFill patternType="solid">
        <fgColor theme="8" tint="-0.25"/>
        <bgColor indexed="64"/>
      </patternFill>
    </fill>
    <fill>
      <patternFill patternType="solid">
        <fgColor theme="6"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7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thin">
        <color auto="1"/>
      </left>
      <right style="dotted">
        <color auto="1"/>
      </right>
      <top style="thin">
        <color auto="1"/>
      </top>
      <bottom/>
      <diagonal/>
    </border>
    <border>
      <left style="dotted">
        <color auto="1"/>
      </left>
      <right style="dotted">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dotted">
        <color auto="1"/>
      </right>
      <top/>
      <bottom style="thin">
        <color auto="1"/>
      </bottom>
      <diagonal/>
    </border>
    <border>
      <left style="dotted">
        <color auto="1"/>
      </left>
      <right style="dotted">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dotted">
        <color auto="1"/>
      </right>
      <top/>
      <bottom/>
      <diagonal/>
    </border>
    <border>
      <left style="dotted">
        <color auto="1"/>
      </left>
      <right style="dotted">
        <color auto="1"/>
      </right>
      <top/>
      <bottom/>
      <diagonal/>
    </border>
    <border>
      <left style="thin">
        <color auto="1"/>
      </left>
      <right style="thin">
        <color auto="1"/>
      </right>
      <top/>
      <bottom style="thin">
        <color auto="1"/>
      </bottom>
      <diagonal/>
    </border>
    <border>
      <left style="dotted">
        <color auto="1"/>
      </left>
      <right/>
      <top style="thin">
        <color auto="1"/>
      </top>
      <bottom style="thin">
        <color auto="1"/>
      </bottom>
      <diagonal/>
    </border>
    <border>
      <left style="dotted">
        <color auto="1"/>
      </left>
      <right style="thin">
        <color auto="1"/>
      </right>
      <top style="thin">
        <color auto="1"/>
      </top>
      <bottom style="thin">
        <color auto="1"/>
      </bottom>
      <diagonal/>
    </border>
    <border>
      <left style="dotted">
        <color auto="1"/>
      </left>
      <right style="thin">
        <color auto="1"/>
      </right>
      <top style="thin">
        <color auto="1"/>
      </top>
      <bottom/>
      <diagonal/>
    </border>
    <border>
      <left style="thin">
        <color auto="1"/>
      </left>
      <right/>
      <top style="thin">
        <color rgb="FFFF0000"/>
      </top>
      <bottom/>
      <diagonal/>
    </border>
    <border>
      <left style="thin">
        <color rgb="FFFF0000"/>
      </left>
      <right style="thin">
        <color rgb="FFFF0000"/>
      </right>
      <top style="thin">
        <color rgb="FFFF0000"/>
      </top>
      <bottom style="thin">
        <color auto="1"/>
      </bottom>
      <diagonal/>
    </border>
    <border>
      <left/>
      <right/>
      <top style="thin">
        <color rgb="FFFF0000"/>
      </top>
      <bottom/>
      <diagonal/>
    </border>
    <border>
      <left style="hair">
        <color auto="1"/>
      </left>
      <right style="thin">
        <color auto="1"/>
      </right>
      <top style="thin">
        <color auto="1"/>
      </top>
      <bottom style="thin">
        <color auto="1"/>
      </bottom>
      <diagonal/>
    </border>
    <border>
      <left/>
      <right style="dotted">
        <color auto="1"/>
      </right>
      <top style="thin">
        <color auto="1"/>
      </top>
      <bottom style="thin">
        <color auto="1"/>
      </bottom>
      <diagonal/>
    </border>
    <border>
      <left style="dotted">
        <color auto="1"/>
      </left>
      <right style="thin">
        <color auto="1"/>
      </right>
      <top/>
      <bottom style="thin">
        <color auto="1"/>
      </bottom>
      <diagonal/>
    </border>
    <border>
      <left style="thin">
        <color rgb="FFFF0000"/>
      </left>
      <right style="thin">
        <color rgb="FFFF0000"/>
      </right>
      <top style="thin">
        <color auto="1"/>
      </top>
      <bottom style="thin">
        <color auto="1"/>
      </bottom>
      <diagonal/>
    </border>
    <border>
      <left style="thin">
        <color rgb="FFFF0000"/>
      </left>
      <right style="thin">
        <color rgb="FFFF0000"/>
      </right>
      <top style="thin">
        <color rgb="FFFF0000"/>
      </top>
      <bottom/>
      <diagonal/>
    </border>
    <border>
      <left style="dotted">
        <color auto="1"/>
      </left>
      <right style="thin">
        <color auto="1"/>
      </right>
      <top/>
      <bottom/>
      <diagonal/>
    </border>
    <border>
      <left style="thin">
        <color rgb="FFFF0000"/>
      </left>
      <right style="thin">
        <color rgb="FFFF0000"/>
      </right>
      <top/>
      <bottom/>
      <diagonal/>
    </border>
    <border>
      <left style="thin">
        <color rgb="FFFF0000"/>
      </left>
      <right style="thin">
        <color rgb="FFFF0000"/>
      </right>
      <top/>
      <bottom style="thin">
        <color auto="1"/>
      </bottom>
      <diagonal/>
    </border>
    <border>
      <left/>
      <right style="thin">
        <color auto="1"/>
      </right>
      <top/>
      <bottom/>
      <diagonal/>
    </border>
    <border>
      <left style="thin">
        <color rgb="FF7030A0"/>
      </left>
      <right style="thin">
        <color rgb="FF7030A0"/>
      </right>
      <top style="thin">
        <color auto="1"/>
      </top>
      <bottom style="thin">
        <color auto="1"/>
      </bottom>
      <diagonal/>
    </border>
    <border>
      <left/>
      <right style="thin">
        <color auto="1"/>
      </right>
      <top style="thin">
        <color rgb="FFFF0000"/>
      </top>
      <bottom/>
      <diagonal/>
    </border>
    <border>
      <left style="thin">
        <color rgb="FF7030A0"/>
      </left>
      <right style="thin">
        <color rgb="FF7030A0"/>
      </right>
      <top style="thin">
        <color auto="1"/>
      </top>
      <bottom/>
      <diagonal/>
    </border>
    <border>
      <left style="thin">
        <color rgb="FF7030A0"/>
      </left>
      <right style="thin">
        <color rgb="FF7030A0"/>
      </right>
      <top/>
      <bottom/>
      <diagonal/>
    </border>
    <border>
      <left style="thin">
        <color auto="1"/>
      </left>
      <right style="thin">
        <color auto="1"/>
      </right>
      <top/>
      <bottom/>
      <diagonal/>
    </border>
    <border>
      <left style="thin">
        <color rgb="FF7030A0"/>
      </left>
      <right style="thin">
        <color rgb="FF7030A0"/>
      </right>
      <top/>
      <bottom style="thin">
        <color auto="1"/>
      </bottom>
      <diagonal/>
    </border>
    <border>
      <left style="thin">
        <color rgb="FFFF0000"/>
      </left>
      <right style="thin">
        <color rgb="FFFF0000"/>
      </right>
      <top style="thin">
        <color auto="1"/>
      </top>
      <bottom/>
      <diagonal/>
    </border>
    <border>
      <left style="dotted">
        <color auto="1"/>
      </left>
      <right/>
      <top/>
      <bottom style="thin">
        <color auto="1"/>
      </bottom>
      <diagonal/>
    </border>
    <border>
      <left style="thin">
        <color rgb="FFFF0000"/>
      </left>
      <right style="thin">
        <color rgb="FFFF0000"/>
      </right>
      <top style="thin">
        <color auto="1"/>
      </top>
      <bottom style="thin">
        <color rgb="FFFF0000"/>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right style="dotted">
        <color auto="1"/>
      </right>
      <top style="thin">
        <color auto="1"/>
      </top>
      <bottom/>
      <diagonal/>
    </border>
    <border>
      <left/>
      <right/>
      <top style="thin">
        <color rgb="FFFF0000"/>
      </top>
      <bottom style="thin">
        <color auto="1"/>
      </bottom>
      <diagonal/>
    </border>
    <border>
      <left/>
      <right style="thin">
        <color auto="1"/>
      </right>
      <top style="thin">
        <color rgb="FFFF0000"/>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ashed">
        <color auto="1"/>
      </right>
      <top style="thin">
        <color auto="1"/>
      </top>
      <bottom style="thin">
        <color auto="1"/>
      </bottom>
      <diagonal/>
    </border>
    <border>
      <left style="thin">
        <color auto="1"/>
      </left>
      <right style="thin">
        <color theme="8" tint="-0.5"/>
      </right>
      <top style="thin">
        <color auto="1"/>
      </top>
      <bottom style="thin">
        <color auto="1"/>
      </bottom>
      <diagonal/>
    </border>
    <border>
      <left style="thin">
        <color theme="8" tint="-0.5"/>
      </left>
      <right style="thin">
        <color theme="8" tint="-0.5"/>
      </right>
      <top style="thin">
        <color auto="1"/>
      </top>
      <bottom style="thin">
        <color auto="1"/>
      </bottom>
      <diagonal/>
    </border>
    <border>
      <left style="thin">
        <color theme="8" tint="-0.5"/>
      </left>
      <right/>
      <top style="thin">
        <color auto="1"/>
      </top>
      <bottom style="thin">
        <color auto="1"/>
      </bottom>
      <diagonal/>
    </border>
    <border>
      <left/>
      <right style="thin">
        <color theme="8" tint="-0.5"/>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72" fillId="41" borderId="0" applyNumberFormat="0" applyBorder="0" applyAlignment="0" applyProtection="0">
      <alignment vertical="center"/>
    </xf>
    <xf numFmtId="0" fontId="173" fillId="42" borderId="6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2" fillId="43" borderId="0" applyNumberFormat="0" applyBorder="0" applyAlignment="0" applyProtection="0">
      <alignment vertical="center"/>
    </xf>
    <xf numFmtId="0" fontId="174" fillId="44" borderId="0" applyNumberFormat="0" applyBorder="0" applyAlignment="0" applyProtection="0">
      <alignment vertical="center"/>
    </xf>
    <xf numFmtId="43" fontId="0" fillId="0" borderId="0" applyFont="0" applyFill="0" applyBorder="0" applyAlignment="0" applyProtection="0">
      <alignment vertical="center"/>
    </xf>
    <xf numFmtId="0" fontId="175" fillId="45" borderId="0" applyNumberFormat="0" applyBorder="0" applyAlignment="0" applyProtection="0">
      <alignment vertical="center"/>
    </xf>
    <xf numFmtId="0" fontId="17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7" fillId="0" borderId="0" applyNumberFormat="0" applyFill="0" applyBorder="0" applyAlignment="0" applyProtection="0">
      <alignment vertical="center"/>
    </xf>
    <xf numFmtId="0" fontId="0" fillId="46" borderId="63" applyNumberFormat="0" applyFont="0" applyAlignment="0" applyProtection="0">
      <alignment vertical="center"/>
    </xf>
    <xf numFmtId="0" fontId="175" fillId="47" borderId="0" applyNumberFormat="0" applyBorder="0" applyAlignment="0" applyProtection="0">
      <alignment vertical="center"/>
    </xf>
    <xf numFmtId="0" fontId="178" fillId="0" borderId="0" applyNumberFormat="0" applyFill="0" applyBorder="0" applyAlignment="0" applyProtection="0">
      <alignment vertical="center"/>
    </xf>
    <xf numFmtId="0" fontId="179" fillId="0" borderId="0" applyNumberFormat="0" applyFill="0" applyBorder="0" applyAlignment="0" applyProtection="0">
      <alignment vertical="center"/>
    </xf>
    <xf numFmtId="0" fontId="180" fillId="0" borderId="0" applyNumberFormat="0" applyFill="0" applyBorder="0" applyAlignment="0" applyProtection="0">
      <alignment vertical="center"/>
    </xf>
    <xf numFmtId="0" fontId="181" fillId="0" borderId="0" applyNumberFormat="0" applyFill="0" applyBorder="0" applyAlignment="0" applyProtection="0">
      <alignment vertical="center"/>
    </xf>
    <xf numFmtId="0" fontId="182" fillId="0" borderId="64" applyNumberFormat="0" applyFill="0" applyAlignment="0" applyProtection="0">
      <alignment vertical="center"/>
    </xf>
    <xf numFmtId="0" fontId="183" fillId="0" borderId="64" applyNumberFormat="0" applyFill="0" applyAlignment="0" applyProtection="0">
      <alignment vertical="center"/>
    </xf>
    <xf numFmtId="0" fontId="175" fillId="48" borderId="0" applyNumberFormat="0" applyBorder="0" applyAlignment="0" applyProtection="0">
      <alignment vertical="center"/>
    </xf>
    <xf numFmtId="0" fontId="178" fillId="0" borderId="65" applyNumberFormat="0" applyFill="0" applyAlignment="0" applyProtection="0">
      <alignment vertical="center"/>
    </xf>
    <xf numFmtId="0" fontId="175" fillId="49" borderId="0" applyNumberFormat="0" applyBorder="0" applyAlignment="0" applyProtection="0">
      <alignment vertical="center"/>
    </xf>
    <xf numFmtId="0" fontId="184" fillId="50" borderId="66" applyNumberFormat="0" applyAlignment="0" applyProtection="0">
      <alignment vertical="center"/>
    </xf>
    <xf numFmtId="0" fontId="185" fillId="50" borderId="62" applyNumberFormat="0" applyAlignment="0" applyProtection="0">
      <alignment vertical="center"/>
    </xf>
    <xf numFmtId="0" fontId="186" fillId="51" borderId="67" applyNumberFormat="0" applyAlignment="0" applyProtection="0">
      <alignment vertical="center"/>
    </xf>
    <xf numFmtId="0" fontId="172" fillId="52" borderId="0" applyNumberFormat="0" applyBorder="0" applyAlignment="0" applyProtection="0">
      <alignment vertical="center"/>
    </xf>
    <xf numFmtId="0" fontId="175" fillId="53" borderId="0" applyNumberFormat="0" applyBorder="0" applyAlignment="0" applyProtection="0">
      <alignment vertical="center"/>
    </xf>
    <xf numFmtId="0" fontId="187" fillId="0" borderId="68" applyNumberFormat="0" applyFill="0" applyAlignment="0" applyProtection="0">
      <alignment vertical="center"/>
    </xf>
    <xf numFmtId="0" fontId="188" fillId="0" borderId="69" applyNumberFormat="0" applyFill="0" applyAlignment="0" applyProtection="0">
      <alignment vertical="center"/>
    </xf>
    <xf numFmtId="0" fontId="189" fillId="54" borderId="0" applyNumberFormat="0" applyBorder="0" applyAlignment="0" applyProtection="0">
      <alignment vertical="center"/>
    </xf>
    <xf numFmtId="0" fontId="190" fillId="55" borderId="0" applyNumberFormat="0" applyBorder="0" applyAlignment="0" applyProtection="0">
      <alignment vertical="center"/>
    </xf>
    <xf numFmtId="0" fontId="172" fillId="56" borderId="0" applyNumberFormat="0" applyBorder="0" applyAlignment="0" applyProtection="0">
      <alignment vertical="center"/>
    </xf>
    <xf numFmtId="0" fontId="175" fillId="57" borderId="0" applyNumberFormat="0" applyBorder="0" applyAlignment="0" applyProtection="0">
      <alignment vertical="center"/>
    </xf>
    <xf numFmtId="0" fontId="172" fillId="58" borderId="0" applyNumberFormat="0" applyBorder="0" applyAlignment="0" applyProtection="0">
      <alignment vertical="center"/>
    </xf>
    <xf numFmtId="0" fontId="172" fillId="59" borderId="0" applyNumberFormat="0" applyBorder="0" applyAlignment="0" applyProtection="0">
      <alignment vertical="center"/>
    </xf>
    <xf numFmtId="0" fontId="172" fillId="60" borderId="0" applyNumberFormat="0" applyBorder="0" applyAlignment="0" applyProtection="0">
      <alignment vertical="center"/>
    </xf>
    <xf numFmtId="0" fontId="172" fillId="61" borderId="0" applyNumberFormat="0" applyBorder="0" applyAlignment="0" applyProtection="0">
      <alignment vertical="center"/>
    </xf>
    <xf numFmtId="0" fontId="175" fillId="62" borderId="0" applyNumberFormat="0" applyBorder="0" applyAlignment="0" applyProtection="0">
      <alignment vertical="center"/>
    </xf>
    <xf numFmtId="0" fontId="175" fillId="63" borderId="0" applyNumberFormat="0" applyBorder="0" applyAlignment="0" applyProtection="0">
      <alignment vertical="center"/>
    </xf>
    <xf numFmtId="0" fontId="172" fillId="64" borderId="0" applyNumberFormat="0" applyBorder="0" applyAlignment="0" applyProtection="0">
      <alignment vertical="center"/>
    </xf>
    <xf numFmtId="0" fontId="172" fillId="65" borderId="0" applyNumberFormat="0" applyBorder="0" applyAlignment="0" applyProtection="0">
      <alignment vertical="center"/>
    </xf>
    <xf numFmtId="0" fontId="175" fillId="66" borderId="0" applyNumberFormat="0" applyBorder="0" applyAlignment="0" applyProtection="0">
      <alignment vertical="center"/>
    </xf>
    <xf numFmtId="0" fontId="172" fillId="67" borderId="0" applyNumberFormat="0" applyBorder="0" applyAlignment="0" applyProtection="0">
      <alignment vertical="center"/>
    </xf>
    <xf numFmtId="0" fontId="175" fillId="68" borderId="0" applyNumberFormat="0" applyBorder="0" applyAlignment="0" applyProtection="0">
      <alignment vertical="center"/>
    </xf>
    <xf numFmtId="0" fontId="175" fillId="69" borderId="0" applyNumberFormat="0" applyBorder="0" applyAlignment="0" applyProtection="0">
      <alignment vertical="center"/>
    </xf>
    <xf numFmtId="0" fontId="172" fillId="70" borderId="0" applyNumberFormat="0" applyBorder="0" applyAlignment="0" applyProtection="0">
      <alignment vertical="center"/>
    </xf>
    <xf numFmtId="0" fontId="175" fillId="71" borderId="0" applyNumberFormat="0" applyBorder="0" applyAlignment="0" applyProtection="0">
      <alignment vertical="center"/>
    </xf>
  </cellStyleXfs>
  <cellXfs count="1666">
    <xf numFmtId="0" fontId="0" fillId="0" borderId="0" xfId="0">
      <alignment vertical="center"/>
    </xf>
    <xf numFmtId="0" fontId="0" fillId="0" borderId="0" xfId="0" applyFill="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2" borderId="1" xfId="0" applyFont="1" applyFill="1" applyBorder="1" applyAlignment="1">
      <alignment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2" fillId="2" borderId="6" xfId="0" applyFont="1" applyFill="1" applyBorder="1" applyAlignment="1">
      <alignment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6" fillId="5" borderId="6" xfId="0" applyFont="1" applyFill="1" applyBorder="1" applyAlignment="1">
      <alignment vertical="center"/>
    </xf>
    <xf numFmtId="0" fontId="6" fillId="5" borderId="7" xfId="0" applyFont="1" applyFill="1" applyBorder="1" applyAlignment="1">
      <alignment vertical="center"/>
    </xf>
    <xf numFmtId="0" fontId="6" fillId="5" borderId="8" xfId="0" applyFont="1" applyFill="1" applyBorder="1" applyAlignment="1">
      <alignment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0" xfId="0" applyFont="1" applyFill="1" applyAlignment="1">
      <alignment horizontal="center" vertical="center"/>
    </xf>
    <xf numFmtId="0" fontId="9" fillId="7" borderId="1" xfId="0" applyFont="1" applyFill="1" applyBorder="1" applyAlignment="1">
      <alignment horizontal="center" vertical="center"/>
    </xf>
    <xf numFmtId="0" fontId="9" fillId="7" borderId="6" xfId="0" applyFont="1" applyFill="1" applyBorder="1" applyAlignment="1">
      <alignment horizontal="center"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1" fillId="5" borderId="1" xfId="0" applyFont="1" applyFill="1" applyBorder="1" applyAlignment="1">
      <alignment horizontal="center" vertical="center"/>
    </xf>
    <xf numFmtId="0" fontId="11" fillId="5" borderId="6" xfId="0" applyFont="1" applyFill="1" applyBorder="1" applyAlignment="1">
      <alignment horizontal="center" vertical="center"/>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11" fillId="8" borderId="1" xfId="0" applyFont="1" applyFill="1" applyBorder="1" applyAlignment="1">
      <alignment horizontal="center" vertical="center"/>
    </xf>
    <xf numFmtId="0" fontId="11" fillId="8" borderId="6" xfId="0" applyFont="1" applyFill="1" applyBorder="1" applyAlignment="1">
      <alignment horizontal="center" vertical="center"/>
    </xf>
    <xf numFmtId="0" fontId="12" fillId="8" borderId="14" xfId="0" applyFont="1" applyFill="1" applyBorder="1" applyAlignment="1">
      <alignment horizontal="center" vertical="center"/>
    </xf>
    <xf numFmtId="0" fontId="12" fillId="8" borderId="15"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6" xfId="0" applyFont="1" applyFill="1" applyBorder="1" applyAlignment="1">
      <alignment horizontal="center" vertical="center"/>
    </xf>
    <xf numFmtId="0" fontId="12" fillId="5" borderId="16" xfId="0" applyFont="1" applyFill="1" applyBorder="1" applyAlignment="1">
      <alignment horizontal="center" vertical="center"/>
    </xf>
    <xf numFmtId="0" fontId="12" fillId="5" borderId="17" xfId="0" applyFont="1" applyFill="1" applyBorder="1" applyAlignment="1">
      <alignment horizontal="center" vertical="center"/>
    </xf>
    <xf numFmtId="0" fontId="11" fillId="9" borderId="2" xfId="0" applyFont="1" applyFill="1" applyBorder="1" applyAlignment="1">
      <alignment horizontal="center" vertical="center"/>
    </xf>
    <xf numFmtId="0" fontId="11" fillId="9" borderId="3" xfId="0" applyFont="1" applyFill="1" applyBorder="1" applyAlignment="1">
      <alignment horizontal="center" vertical="center"/>
    </xf>
    <xf numFmtId="0" fontId="12" fillId="9" borderId="14" xfId="0" applyFont="1" applyFill="1" applyBorder="1" applyAlignment="1">
      <alignment horizontal="center" vertical="center"/>
    </xf>
    <xf numFmtId="0" fontId="12" fillId="9" borderId="15" xfId="0" applyFont="1" applyFill="1" applyBorder="1" applyAlignment="1">
      <alignment horizontal="center" vertical="center"/>
    </xf>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18" fillId="4" borderId="3" xfId="0" applyFont="1" applyFill="1" applyBorder="1" applyAlignment="1">
      <alignment horizontal="center" vertical="center"/>
    </xf>
    <xf numFmtId="0" fontId="18" fillId="4" borderId="4" xfId="0" applyFont="1" applyFill="1" applyBorder="1" applyAlignment="1">
      <alignment horizontal="center" vertical="center"/>
    </xf>
    <xf numFmtId="0" fontId="19" fillId="5" borderId="6" xfId="0" applyFont="1" applyFill="1" applyBorder="1" applyAlignment="1">
      <alignment vertical="center"/>
    </xf>
    <xf numFmtId="0" fontId="19" fillId="5" borderId="7" xfId="0" applyFont="1" applyFill="1" applyBorder="1" applyAlignment="1">
      <alignment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7" xfId="0" applyFont="1" applyFill="1" applyBorder="1" applyAlignment="1">
      <alignment horizontal="center" vertical="center"/>
    </xf>
    <xf numFmtId="0" fontId="12" fillId="8" borderId="12" xfId="0" applyFont="1" applyFill="1" applyBorder="1" applyAlignment="1">
      <alignment horizontal="center" vertical="center"/>
    </xf>
    <xf numFmtId="0" fontId="12" fillId="8" borderId="13" xfId="0" applyFont="1" applyFill="1" applyBorder="1" applyAlignment="1">
      <alignment horizontal="center" vertical="center"/>
    </xf>
    <xf numFmtId="0" fontId="11" fillId="8" borderId="2" xfId="0" applyFont="1" applyFill="1" applyBorder="1" applyAlignment="1">
      <alignment horizontal="center" vertical="center"/>
    </xf>
    <xf numFmtId="0" fontId="11" fillId="8" borderId="3" xfId="0" applyFont="1" applyFill="1" applyBorder="1" applyAlignment="1">
      <alignment horizontal="center" vertical="center"/>
    </xf>
    <xf numFmtId="0" fontId="21" fillId="5" borderId="1" xfId="0" applyFont="1" applyFill="1" applyBorder="1" applyAlignment="1">
      <alignment horizontal="center" vertical="center"/>
    </xf>
    <xf numFmtId="0" fontId="21" fillId="5" borderId="6"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8" xfId="0" applyFont="1" applyFill="1" applyBorder="1" applyAlignment="1">
      <alignment horizontal="center" vertical="center"/>
    </xf>
    <xf numFmtId="0" fontId="22" fillId="10" borderId="1" xfId="0" applyFont="1" applyFill="1" applyBorder="1" applyAlignment="1">
      <alignment horizontal="center" vertical="center"/>
    </xf>
    <xf numFmtId="0" fontId="9" fillId="10" borderId="1" xfId="0" applyFont="1" applyFill="1" applyBorder="1" applyAlignment="1">
      <alignment horizontal="center" vertical="center"/>
    </xf>
    <xf numFmtId="0" fontId="23" fillId="10" borderId="1" xfId="0" applyFont="1" applyFill="1" applyBorder="1" applyAlignment="1">
      <alignment horizontal="center" vertical="center"/>
    </xf>
    <xf numFmtId="0" fontId="24"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4" fillId="11" borderId="1" xfId="0" applyFont="1" applyFill="1" applyBorder="1" applyAlignment="1">
      <alignment horizontal="center" vertical="center"/>
    </xf>
    <xf numFmtId="0" fontId="15" fillId="11" borderId="1" xfId="0" applyFont="1" applyFill="1" applyBorder="1" applyAlignment="1">
      <alignment horizontal="center" vertical="center"/>
    </xf>
    <xf numFmtId="0" fontId="25" fillId="11" borderId="1" xfId="0" applyFont="1" applyFill="1" applyBorder="1" applyAlignment="1">
      <alignment horizontal="center" vertical="center"/>
    </xf>
    <xf numFmtId="0" fontId="17" fillId="11" borderId="1" xfId="0" applyFont="1" applyFill="1" applyBorder="1" applyAlignment="1">
      <alignment horizontal="center" vertical="center"/>
    </xf>
    <xf numFmtId="0" fontId="19" fillId="5" borderId="8" xfId="0" applyFont="1" applyFill="1" applyBorder="1" applyAlignment="1">
      <alignment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6"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26" fillId="12" borderId="1" xfId="0" applyFont="1" applyFill="1" applyBorder="1" applyAlignment="1">
      <alignment horizontal="center" vertical="center"/>
    </xf>
    <xf numFmtId="0" fontId="26" fillId="12" borderId="6"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27"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14"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7" fillId="5" borderId="1" xfId="0" applyFont="1" applyFill="1" applyBorder="1" applyAlignment="1">
      <alignment horizontal="center" vertical="center"/>
    </xf>
    <xf numFmtId="0" fontId="16" fillId="11" borderId="1" xfId="0" applyFont="1" applyFill="1" applyBorder="1" applyAlignment="1">
      <alignment horizontal="center" vertical="center"/>
    </xf>
    <xf numFmtId="0" fontId="11" fillId="5" borderId="2" xfId="0" applyFont="1" applyFill="1" applyBorder="1" applyAlignment="1">
      <alignment horizontal="center" vertical="center"/>
    </xf>
    <xf numFmtId="0" fontId="14" fillId="5" borderId="2" xfId="0" applyFont="1" applyFill="1" applyBorder="1" applyAlignment="1">
      <alignment horizontal="center" vertical="center"/>
    </xf>
    <xf numFmtId="0" fontId="15" fillId="5" borderId="2" xfId="0" applyFont="1" applyFill="1" applyBorder="1" applyAlignment="1">
      <alignment horizontal="center" vertical="center"/>
    </xf>
    <xf numFmtId="0" fontId="16" fillId="5" borderId="2" xfId="0" applyFont="1" applyFill="1" applyBorder="1" applyAlignment="1">
      <alignment horizontal="center" vertical="center"/>
    </xf>
    <xf numFmtId="0" fontId="17" fillId="5" borderId="2"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5" xfId="0" applyFont="1" applyFill="1" applyBorder="1" applyAlignment="1">
      <alignment horizontal="center" vertical="center"/>
    </xf>
    <xf numFmtId="0" fontId="28" fillId="2" borderId="4" xfId="0" applyFont="1" applyFill="1" applyBorder="1" applyAlignment="1">
      <alignment horizontal="center" vertical="center" wrapText="1"/>
    </xf>
    <xf numFmtId="0" fontId="26" fillId="12" borderId="18" xfId="0" applyFont="1" applyFill="1" applyBorder="1" applyAlignment="1">
      <alignment horizontal="center" vertical="center"/>
    </xf>
    <xf numFmtId="0" fontId="26" fillId="12" borderId="19" xfId="0" applyFont="1" applyFill="1" applyBorder="1" applyAlignment="1">
      <alignment horizontal="center" vertical="center"/>
    </xf>
    <xf numFmtId="0" fontId="28" fillId="2" borderId="20" xfId="0" applyFont="1" applyFill="1" applyBorder="1" applyAlignment="1">
      <alignment horizontal="center" vertical="center" wrapText="1"/>
    </xf>
    <xf numFmtId="0" fontId="18" fillId="4" borderId="9" xfId="0" applyFont="1" applyFill="1" applyBorder="1" applyAlignment="1">
      <alignment horizontal="center" vertical="center"/>
    </xf>
    <xf numFmtId="0" fontId="18" fillId="4" borderId="0" xfId="0" applyFont="1" applyFill="1" applyBorder="1" applyAlignment="1">
      <alignment horizontal="center" vertical="center"/>
    </xf>
    <xf numFmtId="0" fontId="29" fillId="0" borderId="6" xfId="0" applyFont="1" applyFill="1" applyBorder="1" applyAlignment="1">
      <alignment horizontal="center" vertical="center"/>
    </xf>
    <xf numFmtId="0" fontId="29" fillId="0" borderId="7" xfId="0" applyFont="1" applyFill="1" applyBorder="1" applyAlignment="1">
      <alignment horizontal="center" vertical="center"/>
    </xf>
    <xf numFmtId="0" fontId="5" fillId="4" borderId="7" xfId="0" applyFont="1" applyFill="1" applyBorder="1" applyAlignment="1">
      <alignment horizontal="center" vertical="center"/>
    </xf>
    <xf numFmtId="0" fontId="12" fillId="9" borderId="16" xfId="0" applyFont="1" applyFill="1" applyBorder="1" applyAlignment="1">
      <alignment horizontal="center" vertical="center"/>
    </xf>
    <xf numFmtId="0" fontId="30" fillId="9" borderId="4" xfId="10" applyFont="1" applyFill="1" applyBorder="1" applyAlignment="1">
      <alignment horizontal="center" vertical="center"/>
    </xf>
    <xf numFmtId="0" fontId="31" fillId="9" borderId="4" xfId="10" applyFont="1" applyFill="1" applyBorder="1" applyAlignment="1">
      <alignment horizontal="center" vertical="center"/>
    </xf>
    <xf numFmtId="0" fontId="12" fillId="5" borderId="10" xfId="0" applyFont="1" applyFill="1" applyBorder="1" applyAlignment="1">
      <alignment horizontal="center" vertical="center"/>
    </xf>
    <xf numFmtId="0" fontId="32" fillId="5" borderId="7" xfId="0" applyFont="1" applyFill="1" applyBorder="1" applyAlignment="1">
      <alignment horizontal="center" vertical="center"/>
    </xf>
    <xf numFmtId="0" fontId="27" fillId="9" borderId="2"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22" xfId="0" applyFont="1" applyFill="1" applyBorder="1" applyAlignment="1">
      <alignment horizontal="center" vertical="center"/>
    </xf>
    <xf numFmtId="0" fontId="32" fillId="5" borderId="6" xfId="0" applyFont="1" applyFill="1" applyBorder="1" applyAlignment="1">
      <alignment horizontal="center" vertical="center"/>
    </xf>
    <xf numFmtId="0" fontId="33" fillId="5" borderId="7" xfId="0" applyFont="1" applyFill="1" applyBorder="1" applyAlignment="1">
      <alignment horizontal="center" vertical="center"/>
    </xf>
    <xf numFmtId="0" fontId="32" fillId="5" borderId="9" xfId="0" applyFont="1" applyFill="1" applyBorder="1" applyAlignment="1">
      <alignment horizontal="center" vertical="center"/>
    </xf>
    <xf numFmtId="0" fontId="32" fillId="5" borderId="0" xfId="0" applyFont="1" applyFill="1" applyAlignment="1">
      <alignment horizontal="center" vertical="center"/>
    </xf>
    <xf numFmtId="0" fontId="11" fillId="0" borderId="1" xfId="0" applyFont="1" applyFill="1" applyBorder="1" applyAlignment="1">
      <alignment horizontal="center" vertical="center"/>
    </xf>
    <xf numFmtId="0" fontId="11" fillId="0" borderId="6" xfId="0" applyFont="1" applyFill="1" applyBorder="1" applyAlignment="1">
      <alignment horizontal="center" vertical="center"/>
    </xf>
    <xf numFmtId="0" fontId="18" fillId="4" borderId="6" xfId="0" applyFont="1" applyFill="1" applyBorder="1" applyAlignment="1">
      <alignment horizontal="center" vertical="center"/>
    </xf>
    <xf numFmtId="0" fontId="18" fillId="4" borderId="7" xfId="0" applyFont="1" applyFill="1" applyBorder="1" applyAlignment="1">
      <alignment horizontal="center" vertical="center"/>
    </xf>
    <xf numFmtId="0" fontId="7" fillId="14" borderId="6" xfId="0" applyFont="1" applyFill="1" applyBorder="1" applyAlignment="1">
      <alignment horizontal="center" vertical="center"/>
    </xf>
    <xf numFmtId="0" fontId="7" fillId="14" borderId="7"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18" xfId="0" applyFont="1" applyFill="1" applyBorder="1" applyAlignment="1">
      <alignment horizontal="center" vertical="center"/>
    </xf>
    <xf numFmtId="0" fontId="12" fillId="9" borderId="1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7" fillId="6" borderId="8" xfId="0" applyFont="1" applyFill="1" applyBorder="1" applyAlignment="1">
      <alignment horizontal="center" vertical="center"/>
    </xf>
    <xf numFmtId="0" fontId="6" fillId="5" borderId="6" xfId="0" applyFont="1" applyFill="1" applyBorder="1" applyAlignment="1">
      <alignment horizontal="center" vertical="center"/>
    </xf>
    <xf numFmtId="0" fontId="10" fillId="7" borderId="24" xfId="0" applyFont="1" applyFill="1" applyBorder="1" applyAlignment="1">
      <alignment horizontal="center" vertical="center"/>
    </xf>
    <xf numFmtId="0" fontId="34" fillId="15" borderId="6" xfId="0" applyFont="1" applyFill="1" applyBorder="1" applyAlignment="1">
      <alignment horizontal="center" vertical="center"/>
    </xf>
    <xf numFmtId="0" fontId="34" fillId="15" borderId="7" xfId="0" applyFont="1" applyFill="1" applyBorder="1" applyAlignment="1">
      <alignment horizontal="center" vertical="center"/>
    </xf>
    <xf numFmtId="0" fontId="34" fillId="15" borderId="8" xfId="0" applyFont="1" applyFill="1" applyBorder="1" applyAlignment="1">
      <alignment horizontal="center" vertical="center"/>
    </xf>
    <xf numFmtId="0" fontId="35" fillId="7" borderId="10" xfId="0" applyFont="1" applyFill="1" applyBorder="1" applyAlignment="1">
      <alignment horizontal="center" vertical="center"/>
    </xf>
    <xf numFmtId="0" fontId="35" fillId="7" borderId="25" xfId="0" applyFont="1" applyFill="1" applyBorder="1" applyAlignment="1">
      <alignment horizontal="center" vertical="center"/>
    </xf>
    <xf numFmtId="0" fontId="1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36" fillId="5" borderId="28" xfId="0" applyFont="1" applyFill="1" applyBorder="1" applyAlignment="1">
      <alignment horizontal="center" vertical="center"/>
    </xf>
    <xf numFmtId="0" fontId="2" fillId="5" borderId="29" xfId="0" applyFont="1" applyFill="1" applyBorder="1" applyAlignment="1">
      <alignment horizontal="center" vertical="center"/>
    </xf>
    <xf numFmtId="0" fontId="37" fillId="5" borderId="10" xfId="0" applyFont="1" applyFill="1" applyBorder="1" applyAlignment="1">
      <alignment horizontal="center" vertical="center"/>
    </xf>
    <xf numFmtId="0" fontId="37" fillId="5" borderId="25" xfId="0" applyFont="1" applyFill="1" applyBorder="1" applyAlignment="1">
      <alignment horizontal="center" vertical="center"/>
    </xf>
    <xf numFmtId="0" fontId="12" fillId="8" borderId="30" xfId="0" applyFont="1" applyFill="1" applyBorder="1" applyAlignment="1">
      <alignment horizontal="center" vertical="center"/>
    </xf>
    <xf numFmtId="0" fontId="12" fillId="8" borderId="31" xfId="0" applyFont="1" applyFill="1" applyBorder="1" applyAlignment="1">
      <alignment horizontal="center" vertical="center"/>
    </xf>
    <xf numFmtId="0" fontId="36" fillId="8" borderId="28" xfId="0" applyFont="1" applyFill="1" applyBorder="1" applyAlignment="1">
      <alignment horizontal="center" vertical="center"/>
    </xf>
    <xf numFmtId="0" fontId="2" fillId="8" borderId="29" xfId="0" applyFont="1" applyFill="1" applyBorder="1" applyAlignment="1">
      <alignment horizontal="center" vertical="center"/>
    </xf>
    <xf numFmtId="0" fontId="37" fillId="8" borderId="10" xfId="0" applyFont="1" applyFill="1" applyBorder="1" applyAlignment="1">
      <alignment horizontal="center" vertical="center"/>
    </xf>
    <xf numFmtId="0" fontId="37" fillId="8" borderId="25" xfId="0" applyFont="1" applyFill="1" applyBorder="1" applyAlignment="1">
      <alignment horizontal="center" vertical="center"/>
    </xf>
    <xf numFmtId="0" fontId="12" fillId="5" borderId="32" xfId="0" applyFont="1" applyFill="1" applyBorder="1" applyAlignment="1">
      <alignment horizontal="center" vertical="center"/>
    </xf>
    <xf numFmtId="0" fontId="2" fillId="5" borderId="9" xfId="0" applyFont="1" applyFill="1" applyBorder="1" applyAlignment="1">
      <alignment horizontal="center" vertical="center"/>
    </xf>
    <xf numFmtId="0" fontId="36" fillId="5" borderId="33" xfId="0" applyFont="1" applyFill="1" applyBorder="1" applyAlignment="1">
      <alignment horizontal="center" vertical="center"/>
    </xf>
    <xf numFmtId="0" fontId="2" fillId="5" borderId="0" xfId="0" applyFont="1" applyFill="1" applyBorder="1" applyAlignment="1">
      <alignment horizontal="center" vertical="center"/>
    </xf>
    <xf numFmtId="0" fontId="12" fillId="9" borderId="30" xfId="0" applyFont="1" applyFill="1" applyBorder="1" applyAlignment="1">
      <alignment horizontal="center" vertical="center"/>
    </xf>
    <xf numFmtId="0" fontId="12" fillId="9" borderId="31" xfId="0" applyFont="1" applyFill="1" applyBorder="1" applyAlignment="1">
      <alignment horizontal="center" vertical="center"/>
    </xf>
    <xf numFmtId="0" fontId="36" fillId="9" borderId="28" xfId="0" applyFont="1" applyFill="1" applyBorder="1" applyAlignment="1">
      <alignment horizontal="center" vertical="center"/>
    </xf>
    <xf numFmtId="0" fontId="2" fillId="9" borderId="29" xfId="0" applyFont="1" applyFill="1" applyBorder="1" applyAlignment="1">
      <alignment horizontal="center" vertical="center"/>
    </xf>
    <xf numFmtId="0" fontId="37" fillId="9" borderId="10" xfId="0" applyFont="1" applyFill="1" applyBorder="1" applyAlignment="1">
      <alignment horizontal="center" vertical="center"/>
    </xf>
    <xf numFmtId="0" fontId="37" fillId="9" borderId="25" xfId="0" applyFont="1" applyFill="1" applyBorder="1" applyAlignment="1">
      <alignment horizontal="center" vertical="center"/>
    </xf>
    <xf numFmtId="0" fontId="38"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40" fillId="0" borderId="3" xfId="0" applyFont="1" applyFill="1" applyBorder="1" applyAlignment="1">
      <alignment horizontal="center" vertical="center"/>
    </xf>
    <xf numFmtId="0" fontId="40" fillId="0" borderId="4" xfId="0" applyFont="1" applyFill="1" applyBorder="1" applyAlignment="1">
      <alignment horizontal="center" vertical="center"/>
    </xf>
    <xf numFmtId="0" fontId="20" fillId="0" borderId="8" xfId="0" applyFont="1" applyFill="1" applyBorder="1" applyAlignment="1">
      <alignment horizontal="center" vertical="center"/>
    </xf>
    <xf numFmtId="0" fontId="41" fillId="0" borderId="6" xfId="0" applyFont="1" applyFill="1" applyBorder="1" applyAlignment="1">
      <alignment horizontal="center" vertical="center" wrapText="1"/>
    </xf>
    <xf numFmtId="0" fontId="12" fillId="8" borderId="26" xfId="0" applyFont="1" applyFill="1" applyBorder="1" applyAlignment="1">
      <alignment horizontal="center" vertical="center"/>
    </xf>
    <xf numFmtId="0" fontId="2" fillId="8" borderId="27" xfId="0" applyFont="1" applyFill="1" applyBorder="1" applyAlignment="1">
      <alignment horizontal="center" vertical="center"/>
    </xf>
    <xf numFmtId="0" fontId="37" fillId="8" borderId="12" xfId="0" applyFont="1" applyFill="1" applyBorder="1" applyAlignment="1">
      <alignment horizontal="center" vertical="center"/>
    </xf>
    <xf numFmtId="0" fontId="37" fillId="8" borderId="26" xfId="0" applyFont="1" applyFill="1" applyBorder="1" applyAlignment="1">
      <alignment horizontal="center" vertical="center"/>
    </xf>
    <xf numFmtId="0" fontId="36" fillId="8" borderId="34" xfId="0" applyFont="1" applyFill="1" applyBorder="1" applyAlignment="1">
      <alignment horizontal="center" vertical="center"/>
    </xf>
    <xf numFmtId="0" fontId="42" fillId="10" borderId="1" xfId="0" applyFont="1" applyFill="1" applyBorder="1" applyAlignment="1">
      <alignment horizontal="center" vertical="center"/>
    </xf>
    <xf numFmtId="0" fontId="43" fillId="10" borderId="1"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38" fillId="11" borderId="1" xfId="0" applyFont="1" applyFill="1" applyBorder="1" applyAlignment="1">
      <alignment horizontal="center" vertical="center"/>
    </xf>
    <xf numFmtId="0" fontId="39" fillId="11" borderId="6" xfId="0" applyFont="1" applyFill="1" applyBorder="1" applyAlignment="1">
      <alignment horizontal="center" vertical="center"/>
    </xf>
    <xf numFmtId="0" fontId="7" fillId="7" borderId="8" xfId="0" applyFont="1" applyFill="1" applyBorder="1" applyAlignment="1">
      <alignment horizontal="center" vertical="center"/>
    </xf>
    <xf numFmtId="0" fontId="41" fillId="5" borderId="6" xfId="0" applyFont="1" applyFill="1" applyBorder="1" applyAlignment="1">
      <alignment horizontal="center" vertical="center" wrapText="1"/>
    </xf>
    <xf numFmtId="0" fontId="12" fillId="9" borderId="25" xfId="0" applyFont="1" applyFill="1" applyBorder="1" applyAlignment="1">
      <alignment horizontal="center" vertical="center"/>
    </xf>
    <xf numFmtId="0" fontId="2" fillId="9" borderId="27" xfId="0" applyFont="1" applyFill="1" applyBorder="1" applyAlignment="1">
      <alignment vertical="center"/>
    </xf>
    <xf numFmtId="0" fontId="2" fillId="9" borderId="29" xfId="0" applyFont="1" applyFill="1" applyBorder="1" applyAlignment="1">
      <alignment vertical="center"/>
    </xf>
    <xf numFmtId="0" fontId="2" fillId="5" borderId="27" xfId="0" applyFont="1" applyFill="1" applyBorder="1" applyAlignment="1">
      <alignment vertical="center"/>
    </xf>
    <xf numFmtId="0" fontId="36" fillId="5" borderId="34" xfId="0" applyFont="1" applyFill="1" applyBorder="1" applyAlignment="1">
      <alignment horizontal="center" vertical="center"/>
    </xf>
    <xf numFmtId="0" fontId="2" fillId="5" borderId="29" xfId="0" applyFont="1" applyFill="1" applyBorder="1" applyAlignment="1">
      <alignment vertical="center"/>
    </xf>
    <xf numFmtId="0" fontId="37" fillId="5" borderId="12" xfId="0" applyFont="1" applyFill="1" applyBorder="1" applyAlignment="1">
      <alignment horizontal="center" vertical="center"/>
    </xf>
    <xf numFmtId="0" fontId="37" fillId="5" borderId="26" xfId="0" applyFont="1" applyFill="1" applyBorder="1" applyAlignment="1">
      <alignment horizontal="center" vertical="center"/>
    </xf>
    <xf numFmtId="0" fontId="12" fillId="12" borderId="25" xfId="0" applyFont="1" applyFill="1" applyBorder="1" applyAlignment="1">
      <alignment horizontal="center" vertical="center"/>
    </xf>
    <xf numFmtId="0" fontId="2" fillId="12" borderId="9" xfId="0" applyFont="1" applyFill="1" applyBorder="1" applyAlignment="1">
      <alignment horizontal="center" vertical="center"/>
    </xf>
    <xf numFmtId="0" fontId="36" fillId="12" borderId="33" xfId="0" applyFont="1" applyFill="1" applyBorder="1" applyAlignment="1">
      <alignment horizontal="center" vertical="center"/>
    </xf>
    <xf numFmtId="0" fontId="2" fillId="12" borderId="0" xfId="0" applyFont="1" applyFill="1" applyBorder="1" applyAlignment="1">
      <alignment horizontal="center" vertical="center"/>
    </xf>
    <xf numFmtId="0" fontId="37" fillId="12" borderId="10" xfId="0" applyFont="1" applyFill="1" applyBorder="1" applyAlignment="1">
      <alignment horizontal="center" vertical="center"/>
    </xf>
    <xf numFmtId="0" fontId="37" fillId="12" borderId="25" xfId="0" applyFont="1" applyFill="1" applyBorder="1" applyAlignment="1">
      <alignment horizontal="center" vertical="center"/>
    </xf>
    <xf numFmtId="0" fontId="2" fillId="9" borderId="9" xfId="0" applyFont="1" applyFill="1" applyBorder="1" applyAlignment="1">
      <alignment horizontal="center" vertical="center"/>
    </xf>
    <xf numFmtId="0" fontId="36" fillId="9" borderId="33" xfId="0" applyFont="1" applyFill="1" applyBorder="1" applyAlignment="1">
      <alignment horizontal="center" vertical="center"/>
    </xf>
    <xf numFmtId="0" fontId="2" fillId="9" borderId="0" xfId="0" applyFont="1" applyFill="1" applyBorder="1" applyAlignment="1">
      <alignment horizontal="center" vertical="center"/>
    </xf>
    <xf numFmtId="0" fontId="12" fillId="0" borderId="25" xfId="0" applyFont="1" applyFill="1" applyBorder="1" applyAlignment="1">
      <alignment horizontal="center" vertical="center"/>
    </xf>
    <xf numFmtId="0" fontId="2" fillId="0" borderId="9" xfId="0" applyFont="1" applyFill="1" applyBorder="1" applyAlignment="1">
      <alignment horizontal="center" vertical="center"/>
    </xf>
    <xf numFmtId="0" fontId="36" fillId="0" borderId="33" xfId="0" applyFont="1" applyFill="1" applyBorder="1" applyAlignment="1">
      <alignment horizontal="center" vertical="center"/>
    </xf>
    <xf numFmtId="0" fontId="2" fillId="0" borderId="0" xfId="0" applyFont="1" applyFill="1" applyBorder="1" applyAlignment="1">
      <alignment horizontal="center" vertical="center"/>
    </xf>
    <xf numFmtId="0" fontId="37" fillId="0" borderId="10" xfId="0" applyFont="1" applyFill="1" applyBorder="1" applyAlignment="1">
      <alignment horizontal="center" vertical="center"/>
    </xf>
    <xf numFmtId="0" fontId="37" fillId="0" borderId="25" xfId="0" applyFont="1" applyFill="1" applyBorder="1" applyAlignment="1">
      <alignment horizontal="center" vertical="center"/>
    </xf>
    <xf numFmtId="0" fontId="11" fillId="5" borderId="4" xfId="0" applyFont="1" applyFill="1" applyBorder="1" applyAlignment="1">
      <alignment horizontal="center" vertical="center"/>
    </xf>
    <xf numFmtId="0" fontId="38" fillId="5" borderId="1" xfId="0" applyFont="1" applyFill="1" applyBorder="1" applyAlignment="1">
      <alignment horizontal="center" vertical="center"/>
    </xf>
    <xf numFmtId="0" fontId="39" fillId="5" borderId="1" xfId="0" applyFont="1" applyFill="1" applyBorder="1" applyAlignment="1">
      <alignment horizontal="center" vertical="center"/>
    </xf>
    <xf numFmtId="0" fontId="38" fillId="5" borderId="2" xfId="0" applyFont="1" applyFill="1" applyBorder="1" applyAlignment="1">
      <alignment horizontal="center" vertical="center"/>
    </xf>
    <xf numFmtId="0" fontId="39" fillId="5" borderId="2" xfId="0" applyFont="1" applyFill="1" applyBorder="1" applyAlignment="1">
      <alignment horizontal="center" vertical="center"/>
    </xf>
    <xf numFmtId="0" fontId="29" fillId="0" borderId="8" xfId="0" applyFont="1" applyFill="1" applyBorder="1" applyAlignment="1">
      <alignment horizontal="center" vertical="center"/>
    </xf>
    <xf numFmtId="0" fontId="12" fillId="9" borderId="35" xfId="0" applyFont="1" applyFill="1" applyBorder="1" applyAlignment="1">
      <alignment horizontal="center" vertical="center"/>
    </xf>
    <xf numFmtId="0" fontId="2" fillId="9" borderId="9" xfId="0" applyFont="1" applyFill="1" applyBorder="1" applyAlignment="1">
      <alignment vertical="center"/>
    </xf>
    <xf numFmtId="0" fontId="36" fillId="9" borderId="36" xfId="0" applyFont="1" applyFill="1" applyBorder="1" applyAlignment="1">
      <alignment horizontal="center" vertical="center"/>
    </xf>
    <xf numFmtId="0" fontId="2" fillId="9" borderId="0" xfId="0" applyFont="1" applyFill="1" applyBorder="1" applyAlignment="1">
      <alignment vertical="center"/>
    </xf>
    <xf numFmtId="0" fontId="37" fillId="9" borderId="21" xfId="0" applyFont="1" applyFill="1" applyBorder="1" applyAlignment="1">
      <alignment horizontal="center" vertical="center"/>
    </xf>
    <xf numFmtId="0" fontId="37" fillId="9" borderId="35" xfId="0" applyFont="1" applyFill="1" applyBorder="1" applyAlignment="1">
      <alignment horizontal="center" vertical="center"/>
    </xf>
    <xf numFmtId="0" fontId="2" fillId="0" borderId="27" xfId="0" applyFont="1" applyFill="1" applyBorder="1" applyAlignment="1">
      <alignment vertical="center"/>
    </xf>
    <xf numFmtId="0" fontId="36" fillId="0" borderId="28" xfId="0" applyFont="1" applyFill="1" applyBorder="1" applyAlignment="1">
      <alignment horizontal="center" vertical="center"/>
    </xf>
    <xf numFmtId="0" fontId="2" fillId="0" borderId="29" xfId="0" applyFont="1" applyFill="1" applyBorder="1" applyAlignment="1">
      <alignment vertical="center"/>
    </xf>
    <xf numFmtId="0" fontId="7" fillId="14" borderId="8" xfId="0" applyFont="1" applyFill="1" applyBorder="1" applyAlignment="1">
      <alignment horizontal="center" vertical="center"/>
    </xf>
    <xf numFmtId="0" fontId="12" fillId="9" borderId="32" xfId="0" applyFont="1" applyFill="1" applyBorder="1" applyAlignment="1">
      <alignment horizontal="center" vertical="center"/>
    </xf>
    <xf numFmtId="0" fontId="36" fillId="9" borderId="37" xfId="0" applyFont="1" applyFill="1" applyBorder="1" applyAlignment="1">
      <alignment horizontal="center" vertical="center"/>
    </xf>
    <xf numFmtId="0" fontId="37" fillId="9" borderId="16" xfId="0" applyFont="1" applyFill="1" applyBorder="1" applyAlignment="1">
      <alignment horizontal="center" vertical="center"/>
    </xf>
    <xf numFmtId="0" fontId="37" fillId="9" borderId="32" xfId="0" applyFont="1" applyFill="1" applyBorder="1" applyAlignment="1">
      <alignment horizontal="center" vertical="center"/>
    </xf>
    <xf numFmtId="0" fontId="40" fillId="0" borderId="6" xfId="0" applyFont="1" applyFill="1" applyBorder="1" applyAlignment="1">
      <alignment horizontal="center" vertical="center"/>
    </xf>
    <xf numFmtId="0" fontId="40" fillId="0" borderId="7" xfId="0" applyFont="1" applyFill="1" applyBorder="1" applyAlignment="1">
      <alignment horizontal="center" vertical="center"/>
    </xf>
    <xf numFmtId="0" fontId="40" fillId="5" borderId="6" xfId="0" applyFont="1" applyFill="1" applyBorder="1" applyAlignment="1">
      <alignment horizontal="center" vertical="center"/>
    </xf>
    <xf numFmtId="0" fontId="40" fillId="5" borderId="7" xfId="0" applyFont="1" applyFill="1" applyBorder="1" applyAlignment="1">
      <alignment horizontal="center" vertical="center"/>
    </xf>
    <xf numFmtId="0" fontId="3" fillId="0" borderId="8" xfId="0" applyFont="1" applyFill="1" applyBorder="1" applyAlignment="1">
      <alignment horizontal="center" vertical="center"/>
    </xf>
    <xf numFmtId="0" fontId="4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5" fillId="4" borderId="5"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8" fillId="4" borderId="38" xfId="0" applyFont="1" applyFill="1" applyBorder="1" applyAlignment="1">
      <alignment horizontal="center" vertical="center"/>
    </xf>
    <xf numFmtId="0" fontId="34" fillId="16" borderId="7" xfId="0" applyFont="1" applyFill="1" applyBorder="1" applyAlignment="1">
      <alignment horizontal="center" vertical="center"/>
    </xf>
    <xf numFmtId="0" fontId="35" fillId="7" borderId="11" xfId="0" applyFont="1" applyFill="1" applyBorder="1" applyAlignment="1">
      <alignment horizontal="center" vertical="center"/>
    </xf>
    <xf numFmtId="0" fontId="45" fillId="5" borderId="39" xfId="0" applyFont="1" applyFill="1" applyBorder="1" applyAlignment="1">
      <alignment horizontal="center" vertical="center"/>
    </xf>
    <xf numFmtId="0" fontId="37" fillId="5" borderId="11" xfId="0" applyFont="1" applyFill="1" applyBorder="1" applyAlignment="1">
      <alignment horizontal="center" vertical="center"/>
    </xf>
    <xf numFmtId="0" fontId="2" fillId="5" borderId="40" xfId="0" applyFont="1" applyFill="1" applyBorder="1" applyAlignment="1">
      <alignment horizontal="center" vertical="center"/>
    </xf>
    <xf numFmtId="0" fontId="43" fillId="5" borderId="1" xfId="0" applyFont="1" applyFill="1" applyBorder="1" applyAlignment="1">
      <alignment horizontal="center" vertical="center"/>
    </xf>
    <xf numFmtId="0" fontId="45" fillId="8" borderId="39" xfId="0" applyFont="1" applyFill="1" applyBorder="1" applyAlignment="1">
      <alignment horizontal="center" vertical="center"/>
    </xf>
    <xf numFmtId="0" fontId="37" fillId="8" borderId="11" xfId="0" applyFont="1" applyFill="1" applyBorder="1" applyAlignment="1">
      <alignment horizontal="center" vertical="center"/>
    </xf>
    <xf numFmtId="0" fontId="2" fillId="8" borderId="40" xfId="0" applyFont="1" applyFill="1" applyBorder="1" applyAlignment="1">
      <alignment horizontal="center" vertical="center"/>
    </xf>
    <xf numFmtId="0" fontId="43" fillId="8" borderId="1" xfId="0" applyFont="1" applyFill="1" applyBorder="1" applyAlignment="1">
      <alignment horizontal="center" vertical="center"/>
    </xf>
    <xf numFmtId="0" fontId="2" fillId="5" borderId="38" xfId="0" applyFont="1" applyFill="1" applyBorder="1" applyAlignment="1">
      <alignment horizontal="center" vertical="center"/>
    </xf>
    <xf numFmtId="0" fontId="45" fillId="9" borderId="39" xfId="0" applyFont="1" applyFill="1" applyBorder="1" applyAlignment="1">
      <alignment horizontal="center" vertical="center"/>
    </xf>
    <xf numFmtId="0" fontId="37" fillId="9" borderId="11" xfId="0" applyFont="1" applyFill="1" applyBorder="1" applyAlignment="1">
      <alignment horizontal="center" vertical="center"/>
    </xf>
    <xf numFmtId="0" fontId="2" fillId="9" borderId="40" xfId="0" applyFont="1" applyFill="1" applyBorder="1" applyAlignment="1">
      <alignment horizontal="center" vertical="center"/>
    </xf>
    <xf numFmtId="0" fontId="43" fillId="9" borderId="1" xfId="0" applyFont="1" applyFill="1" applyBorder="1" applyAlignment="1">
      <alignment horizontal="center" vertical="center"/>
    </xf>
    <xf numFmtId="0" fontId="40" fillId="0" borderId="5" xfId="0" applyFont="1" applyFill="1" applyBorder="1" applyAlignment="1">
      <alignment horizontal="center" vertical="center"/>
    </xf>
    <xf numFmtId="0" fontId="18" fillId="4" borderId="5" xfId="0" applyFont="1" applyFill="1" applyBorder="1" applyAlignment="1">
      <alignment horizontal="center" vertical="center"/>
    </xf>
    <xf numFmtId="0" fontId="41" fillId="0" borderId="7" xfId="0" applyFont="1" applyFill="1" applyBorder="1" applyAlignment="1">
      <alignment horizontal="center" vertical="center" wrapText="1"/>
    </xf>
    <xf numFmtId="0" fontId="41" fillId="0" borderId="8" xfId="0" applyFont="1" applyFill="1" applyBorder="1" applyAlignment="1">
      <alignment horizontal="center" vertical="center" wrapText="1"/>
    </xf>
    <xf numFmtId="0" fontId="45" fillId="8" borderId="41" xfId="0" applyFont="1" applyFill="1" applyBorder="1" applyAlignment="1">
      <alignment horizontal="center" vertical="center"/>
    </xf>
    <xf numFmtId="0" fontId="37" fillId="8" borderId="13" xfId="0" applyFont="1" applyFill="1" applyBorder="1" applyAlignment="1">
      <alignment horizontal="center" vertical="center"/>
    </xf>
    <xf numFmtId="0" fontId="43" fillId="8" borderId="2" xfId="0" applyFont="1" applyFill="1" applyBorder="1" applyAlignment="1">
      <alignment horizontal="center" vertical="center"/>
    </xf>
    <xf numFmtId="0" fontId="11" fillId="0" borderId="5" xfId="0" applyFont="1" applyFill="1" applyBorder="1" applyAlignment="1">
      <alignment horizontal="center" vertical="center"/>
    </xf>
    <xf numFmtId="0" fontId="41" fillId="5" borderId="7" xfId="0" applyFont="1" applyFill="1" applyBorder="1" applyAlignment="1">
      <alignment horizontal="center" vertical="center" wrapText="1"/>
    </xf>
    <xf numFmtId="0" fontId="41" fillId="5" borderId="8" xfId="0" applyFont="1" applyFill="1" applyBorder="1" applyAlignment="1">
      <alignment horizontal="center" vertical="center" wrapText="1"/>
    </xf>
    <xf numFmtId="0" fontId="2" fillId="9" borderId="40" xfId="0" applyFont="1" applyFill="1" applyBorder="1" applyAlignment="1">
      <alignment vertical="center"/>
    </xf>
    <xf numFmtId="0" fontId="45" fillId="5" borderId="41" xfId="0" applyFont="1" applyFill="1" applyBorder="1" applyAlignment="1">
      <alignment horizontal="center" vertical="center"/>
    </xf>
    <xf numFmtId="0" fontId="37" fillId="5" borderId="13" xfId="0" applyFont="1" applyFill="1" applyBorder="1" applyAlignment="1">
      <alignment horizontal="center" vertical="center"/>
    </xf>
    <xf numFmtId="0" fontId="2" fillId="5" borderId="40" xfId="0" applyFont="1" applyFill="1" applyBorder="1" applyAlignment="1">
      <alignment vertical="center"/>
    </xf>
    <xf numFmtId="0" fontId="43" fillId="5" borderId="2" xfId="0" applyFont="1" applyFill="1" applyBorder="1" applyAlignment="1">
      <alignment horizontal="center" vertical="center"/>
    </xf>
    <xf numFmtId="0" fontId="45" fillId="12" borderId="39" xfId="0" applyFont="1" applyFill="1" applyBorder="1" applyAlignment="1">
      <alignment horizontal="center" vertical="center"/>
    </xf>
    <xf numFmtId="0" fontId="37" fillId="12" borderId="11" xfId="0" applyFont="1" applyFill="1" applyBorder="1" applyAlignment="1">
      <alignment horizontal="center" vertical="center"/>
    </xf>
    <xf numFmtId="0" fontId="2" fillId="12" borderId="38" xfId="0" applyFont="1" applyFill="1" applyBorder="1" applyAlignment="1">
      <alignment horizontal="center" vertical="center"/>
    </xf>
    <xf numFmtId="0" fontId="43" fillId="12" borderId="1" xfId="0" applyFont="1" applyFill="1" applyBorder="1" applyAlignment="1">
      <alignment horizontal="center" vertical="center"/>
    </xf>
    <xf numFmtId="0" fontId="8" fillId="13" borderId="8" xfId="0" applyFont="1" applyFill="1" applyBorder="1" applyAlignment="1">
      <alignment horizontal="center" vertical="center"/>
    </xf>
    <xf numFmtId="0" fontId="2" fillId="9" borderId="38" xfId="0" applyFont="1" applyFill="1" applyBorder="1" applyAlignment="1">
      <alignment horizontal="center" vertical="center"/>
    </xf>
    <xf numFmtId="0" fontId="45" fillId="0" borderId="39" xfId="0" applyFont="1" applyFill="1" applyBorder="1" applyAlignment="1">
      <alignment horizontal="center" vertical="center"/>
    </xf>
    <xf numFmtId="0" fontId="37" fillId="0" borderId="11" xfId="0" applyFont="1" applyFill="1" applyBorder="1" applyAlignment="1">
      <alignment horizontal="center" vertical="center"/>
    </xf>
    <xf numFmtId="0" fontId="2" fillId="0" borderId="38" xfId="0" applyFont="1" applyFill="1" applyBorder="1" applyAlignment="1">
      <alignment horizontal="center" vertical="center"/>
    </xf>
    <xf numFmtId="0" fontId="43" fillId="0" borderId="1"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4" xfId="0" applyFont="1" applyFill="1" applyBorder="1" applyAlignment="1">
      <alignment vertical="center"/>
    </xf>
    <xf numFmtId="0" fontId="28" fillId="2" borderId="4" xfId="0" applyFont="1" applyFill="1" applyBorder="1" applyAlignment="1">
      <alignment vertical="center" wrapText="1"/>
    </xf>
    <xf numFmtId="0" fontId="11" fillId="5" borderId="9" xfId="0" applyFont="1" applyFill="1" applyBorder="1" applyAlignment="1">
      <alignment horizontal="center" vertical="center"/>
    </xf>
    <xf numFmtId="0" fontId="11" fillId="5" borderId="0" xfId="0" applyFont="1" applyFill="1" applyAlignment="1">
      <alignment horizontal="center" vertical="center"/>
    </xf>
    <xf numFmtId="0" fontId="11" fillId="5" borderId="38" xfId="0" applyFont="1" applyFill="1" applyBorder="1" applyAlignment="1">
      <alignment horizontal="center" vertical="center"/>
    </xf>
    <xf numFmtId="0" fontId="28" fillId="2" borderId="20" xfId="0" applyFont="1" applyFill="1" applyBorder="1" applyAlignment="1">
      <alignment vertical="center" wrapText="1"/>
    </xf>
    <xf numFmtId="0" fontId="11" fillId="5" borderId="18" xfId="0" applyFont="1" applyFill="1" applyBorder="1" applyAlignment="1">
      <alignment horizontal="center" vertical="center"/>
    </xf>
    <xf numFmtId="0" fontId="11" fillId="5" borderId="20" xfId="0" applyFont="1" applyFill="1" applyBorder="1" applyAlignment="1">
      <alignment horizontal="center" vertical="center"/>
    </xf>
    <xf numFmtId="0" fontId="11" fillId="5" borderId="19" xfId="0" applyFont="1" applyFill="1" applyBorder="1" applyAlignment="1">
      <alignment horizontal="center" vertical="center"/>
    </xf>
    <xf numFmtId="0" fontId="18" fillId="4" borderId="38" xfId="0" applyFont="1" applyFill="1" applyBorder="1" applyAlignment="1">
      <alignment horizontal="center" vertical="center"/>
    </xf>
    <xf numFmtId="0" fontId="31" fillId="9" borderId="5" xfId="10" applyFont="1" applyFill="1" applyBorder="1" applyAlignment="1">
      <alignment horizontal="center" vertical="center"/>
    </xf>
    <xf numFmtId="0" fontId="32" fillId="5" borderId="8" xfId="0" applyFont="1" applyFill="1" applyBorder="1" applyAlignment="1">
      <alignment horizontal="center" vertical="center"/>
    </xf>
    <xf numFmtId="0" fontId="45" fillId="9" borderId="42" xfId="0" applyFont="1" applyFill="1" applyBorder="1" applyAlignment="1">
      <alignment horizontal="center" vertical="center"/>
    </xf>
    <xf numFmtId="0" fontId="37" fillId="9" borderId="22" xfId="0" applyFont="1" applyFill="1" applyBorder="1" applyAlignment="1">
      <alignment horizontal="center" vertical="center"/>
    </xf>
    <xf numFmtId="0" fontId="2" fillId="9" borderId="38" xfId="0" applyFont="1" applyFill="1" applyBorder="1" applyAlignment="1">
      <alignment vertical="center"/>
    </xf>
    <xf numFmtId="0" fontId="43" fillId="9" borderId="43" xfId="0" applyFont="1" applyFill="1" applyBorder="1" applyAlignment="1">
      <alignment horizontal="center" vertical="center"/>
    </xf>
    <xf numFmtId="0" fontId="33" fillId="5" borderId="8" xfId="0" applyFont="1" applyFill="1" applyBorder="1" applyAlignment="1">
      <alignment horizontal="center" vertical="center"/>
    </xf>
    <xf numFmtId="0" fontId="32" fillId="5" borderId="38" xfId="0" applyFont="1" applyFill="1" applyBorder="1" applyAlignment="1">
      <alignment horizontal="center" vertical="center"/>
    </xf>
    <xf numFmtId="0" fontId="2" fillId="0" borderId="40" xfId="0" applyFont="1" applyFill="1" applyBorder="1" applyAlignment="1">
      <alignment vertical="center"/>
    </xf>
    <xf numFmtId="0" fontId="18" fillId="4" borderId="8" xfId="0" applyFont="1" applyFill="1" applyBorder="1" applyAlignment="1">
      <alignment horizontal="center" vertical="center"/>
    </xf>
    <xf numFmtId="0" fontId="45" fillId="9" borderId="44" xfId="0" applyFont="1" applyFill="1" applyBorder="1" applyAlignment="1">
      <alignment horizontal="center" vertical="center"/>
    </xf>
    <xf numFmtId="0" fontId="37" fillId="9" borderId="17" xfId="0" applyFont="1" applyFill="1" applyBorder="1" applyAlignment="1">
      <alignment horizontal="center" vertical="center"/>
    </xf>
    <xf numFmtId="0" fontId="43" fillId="9" borderId="23" xfId="0" applyFont="1" applyFill="1" applyBorder="1" applyAlignment="1">
      <alignment horizontal="center" vertical="center"/>
    </xf>
    <xf numFmtId="0" fontId="40" fillId="0" borderId="8" xfId="0" applyFont="1" applyFill="1" applyBorder="1" applyAlignment="1">
      <alignment horizontal="center" vertical="center"/>
    </xf>
    <xf numFmtId="0" fontId="40" fillId="5" borderId="8" xfId="0" applyFont="1" applyFill="1" applyBorder="1" applyAlignment="1">
      <alignment horizontal="center" vertical="center"/>
    </xf>
    <xf numFmtId="0" fontId="41" fillId="17" borderId="6" xfId="0" applyFont="1" applyFill="1" applyBorder="1" applyAlignment="1">
      <alignment vertical="center" wrapText="1"/>
    </xf>
    <xf numFmtId="0" fontId="41" fillId="17" borderId="7" xfId="0" applyFont="1" applyFill="1" applyBorder="1" applyAlignment="1">
      <alignment vertical="center" wrapText="1"/>
    </xf>
    <xf numFmtId="0" fontId="41" fillId="17" borderId="8" xfId="0" applyFont="1" applyFill="1" applyBorder="1" applyAlignment="1">
      <alignment vertical="center" wrapText="1"/>
    </xf>
    <xf numFmtId="0" fontId="7" fillId="17" borderId="7" xfId="0" applyFont="1" applyFill="1" applyBorder="1" applyAlignment="1">
      <alignment horizontal="center" vertical="center"/>
    </xf>
    <xf numFmtId="0" fontId="27" fillId="5" borderId="1" xfId="0" applyFont="1" applyFill="1" applyBorder="1" applyAlignment="1">
      <alignment horizontal="center" vertical="center"/>
    </xf>
    <xf numFmtId="0" fontId="12" fillId="5" borderId="11" xfId="0" applyFont="1" applyFill="1" applyBorder="1" applyAlignment="1">
      <alignment horizontal="center" vertical="center"/>
    </xf>
    <xf numFmtId="0" fontId="46" fillId="5" borderId="6" xfId="0" applyFont="1" applyFill="1" applyBorder="1" applyAlignment="1">
      <alignment horizontal="center" vertical="center"/>
    </xf>
    <xf numFmtId="0" fontId="46" fillId="5" borderId="7" xfId="0" applyFont="1" applyFill="1" applyBorder="1" applyAlignment="1">
      <alignment horizontal="center" vertical="center"/>
    </xf>
    <xf numFmtId="0" fontId="7" fillId="17" borderId="8" xfId="0" applyFont="1" applyFill="1" applyBorder="1" applyAlignment="1">
      <alignment horizontal="center" vertical="center"/>
    </xf>
    <xf numFmtId="0" fontId="47" fillId="17" borderId="6" xfId="0" applyFont="1" applyFill="1" applyBorder="1" applyAlignment="1">
      <alignment horizontal="center" vertical="center" wrapText="1"/>
    </xf>
    <xf numFmtId="0" fontId="12" fillId="5" borderId="2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11" fillId="5" borderId="7" xfId="0" applyFont="1" applyFill="1" applyBorder="1" applyAlignment="1">
      <alignment horizontal="center" vertical="center"/>
    </xf>
    <xf numFmtId="0" fontId="47" fillId="17" borderId="7" xfId="0" applyFont="1" applyFill="1" applyBorder="1" applyAlignment="1">
      <alignment horizontal="center" vertical="center"/>
    </xf>
    <xf numFmtId="0" fontId="47" fillId="17" borderId="8" xfId="0" applyFont="1" applyFill="1" applyBorder="1" applyAlignment="1">
      <alignment horizontal="center" vertical="center"/>
    </xf>
    <xf numFmtId="0" fontId="2" fillId="5" borderId="8" xfId="0" applyFont="1" applyFill="1" applyBorder="1" applyAlignment="1">
      <alignment horizontal="center" vertical="center"/>
    </xf>
    <xf numFmtId="0" fontId="11" fillId="5" borderId="8" xfId="0" applyFont="1" applyFill="1" applyBorder="1" applyAlignment="1">
      <alignment horizontal="center" vertical="center"/>
    </xf>
    <xf numFmtId="0" fontId="46" fillId="5" borderId="8" xfId="0" applyFont="1" applyFill="1" applyBorder="1" applyAlignment="1">
      <alignment horizontal="center" vertical="center"/>
    </xf>
    <xf numFmtId="0" fontId="12" fillId="9" borderId="12" xfId="0" applyFont="1" applyFill="1" applyBorder="1" applyAlignment="1">
      <alignment horizontal="center" vertical="center"/>
    </xf>
    <xf numFmtId="0" fontId="12" fillId="9" borderId="13"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6"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0" fontId="48" fillId="9" borderId="1" xfId="0" applyFont="1" applyFill="1" applyBorder="1" applyAlignment="1">
      <alignment horizontal="center" vertical="center"/>
    </xf>
    <xf numFmtId="0" fontId="48" fillId="9" borderId="6" xfId="0" applyFont="1" applyFill="1" applyBorder="1" applyAlignment="1">
      <alignment horizontal="center" vertical="center"/>
    </xf>
    <xf numFmtId="0" fontId="49" fillId="9" borderId="16" xfId="0" applyFont="1" applyFill="1" applyBorder="1" applyAlignment="1">
      <alignment horizontal="center" vertical="center"/>
    </xf>
    <xf numFmtId="0" fontId="49" fillId="9" borderId="17" xfId="0" applyFont="1" applyFill="1" applyBorder="1" applyAlignment="1">
      <alignment horizontal="center" vertical="center"/>
    </xf>
    <xf numFmtId="0" fontId="11" fillId="0" borderId="7" xfId="0" applyFont="1" applyFill="1" applyBorder="1" applyAlignment="1">
      <alignment horizontal="center" vertical="center"/>
    </xf>
    <xf numFmtId="0" fontId="7" fillId="18" borderId="6" xfId="0" applyFont="1" applyFill="1" applyBorder="1" applyAlignment="1">
      <alignment horizontal="center" vertical="center"/>
    </xf>
    <xf numFmtId="0" fontId="7" fillId="18" borderId="7"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13" xfId="0" applyFont="1" applyFill="1" applyBorder="1" applyAlignment="1">
      <alignment horizontal="center" vertical="center"/>
    </xf>
    <xf numFmtId="0" fontId="21" fillId="9" borderId="1" xfId="0" applyFont="1" applyFill="1" applyBorder="1" applyAlignment="1">
      <alignment horizontal="center" vertical="center"/>
    </xf>
    <xf numFmtId="0" fontId="21" fillId="9" borderId="6" xfId="0" applyFont="1" applyFill="1" applyBorder="1" applyAlignment="1">
      <alignment horizontal="center" vertical="center"/>
    </xf>
    <xf numFmtId="0" fontId="7" fillId="19" borderId="6" xfId="0" applyFont="1" applyFill="1" applyBorder="1" applyAlignment="1">
      <alignment horizontal="center" vertical="center"/>
    </xf>
    <xf numFmtId="0" fontId="7" fillId="19" borderId="7"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0" xfId="0" applyFont="1" applyFill="1" applyBorder="1" applyAlignment="1">
      <alignment horizontal="center" vertical="center"/>
    </xf>
    <xf numFmtId="0" fontId="50" fillId="0" borderId="1"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7" xfId="0" applyFont="1" applyFill="1" applyBorder="1" applyAlignment="1">
      <alignment horizontal="center" vertical="center"/>
    </xf>
    <xf numFmtId="0" fontId="40" fillId="5" borderId="1" xfId="0" applyFont="1" applyFill="1" applyBorder="1" applyAlignment="1">
      <alignment horizontal="center" vertical="center"/>
    </xf>
    <xf numFmtId="0" fontId="6" fillId="0" borderId="7" xfId="0" applyFont="1" applyFill="1" applyBorder="1" applyAlignment="1">
      <alignment vertical="center"/>
    </xf>
    <xf numFmtId="0" fontId="6" fillId="0" borderId="8" xfId="0" applyFont="1" applyFill="1" applyBorder="1" applyAlignment="1">
      <alignment vertical="center"/>
    </xf>
    <xf numFmtId="0" fontId="51" fillId="0" borderId="6" xfId="0" applyFont="1" applyFill="1" applyBorder="1" applyAlignment="1">
      <alignment horizontal="center" vertical="center"/>
    </xf>
    <xf numFmtId="0" fontId="51" fillId="0" borderId="7" xfId="0" applyFont="1" applyFill="1" applyBorder="1" applyAlignment="1">
      <alignment horizontal="center" vertical="center"/>
    </xf>
    <xf numFmtId="0" fontId="50" fillId="5" borderId="1"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52" fillId="0" borderId="6" xfId="0" applyFont="1" applyFill="1" applyBorder="1" applyAlignment="1">
      <alignment horizontal="center" vertical="center"/>
    </xf>
    <xf numFmtId="0" fontId="52" fillId="0" borderId="7" xfId="0" applyFont="1" applyFill="1" applyBorder="1" applyAlignment="1">
      <alignment horizontal="center" vertical="center"/>
    </xf>
    <xf numFmtId="0" fontId="11" fillId="5" borderId="23"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17" xfId="0" applyFont="1" applyFill="1" applyBorder="1" applyAlignment="1">
      <alignment horizontal="center" vertical="center"/>
    </xf>
    <xf numFmtId="0" fontId="12" fillId="9" borderId="26" xfId="0" applyFont="1" applyFill="1" applyBorder="1" applyAlignment="1">
      <alignment horizontal="center" vertical="center"/>
    </xf>
    <xf numFmtId="0" fontId="2" fillId="9" borderId="27" xfId="0" applyFont="1" applyFill="1" applyBorder="1" applyAlignment="1">
      <alignment horizontal="center" vertical="center"/>
    </xf>
    <xf numFmtId="0" fontId="12" fillId="5" borderId="30" xfId="0" applyFont="1" applyFill="1" applyBorder="1" applyAlignment="1">
      <alignment horizontal="center" vertical="center"/>
    </xf>
    <xf numFmtId="0" fontId="12" fillId="5" borderId="31" xfId="0" applyFont="1" applyFill="1" applyBorder="1" applyAlignment="1">
      <alignment horizontal="center" vertical="center"/>
    </xf>
    <xf numFmtId="0" fontId="12" fillId="0" borderId="30" xfId="0" applyFont="1" applyFill="1" applyBorder="1" applyAlignment="1">
      <alignment horizontal="center" vertical="center"/>
    </xf>
    <xf numFmtId="0" fontId="12" fillId="0" borderId="31" xfId="0" applyFont="1" applyFill="1" applyBorder="1" applyAlignment="1">
      <alignment horizontal="center" vertical="center"/>
    </xf>
    <xf numFmtId="0" fontId="2" fillId="0" borderId="29" xfId="0" applyFont="1" applyFill="1" applyBorder="1" applyAlignment="1">
      <alignment horizontal="center" vertical="center"/>
    </xf>
    <xf numFmtId="0" fontId="49" fillId="9" borderId="32" xfId="0" applyFont="1" applyFill="1" applyBorder="1" applyAlignment="1">
      <alignment horizontal="center" vertical="center"/>
    </xf>
    <xf numFmtId="0" fontId="53" fillId="9" borderId="9" xfId="0" applyFont="1" applyFill="1" applyBorder="1" applyAlignment="1">
      <alignment horizontal="center" vertical="center"/>
    </xf>
    <xf numFmtId="0" fontId="54" fillId="9" borderId="33" xfId="0" applyFont="1" applyFill="1" applyBorder="1" applyAlignment="1">
      <alignment horizontal="center" vertical="center"/>
    </xf>
    <xf numFmtId="0" fontId="53" fillId="9" borderId="0" xfId="0" applyFont="1" applyFill="1" applyBorder="1" applyAlignment="1">
      <alignment horizontal="center" vertical="center"/>
    </xf>
    <xf numFmtId="0" fontId="55" fillId="9" borderId="10" xfId="0" applyFont="1" applyFill="1" applyBorder="1" applyAlignment="1">
      <alignment horizontal="center" vertical="center"/>
    </xf>
    <xf numFmtId="0" fontId="55" fillId="9" borderId="25" xfId="0" applyFont="1" applyFill="1" applyBorder="1" applyAlignment="1">
      <alignment horizontal="center" vertical="center"/>
    </xf>
    <xf numFmtId="0" fontId="7" fillId="18" borderId="8" xfId="0" applyFont="1" applyFill="1" applyBorder="1" applyAlignment="1">
      <alignment horizontal="center" vertical="center"/>
    </xf>
    <xf numFmtId="0" fontId="41" fillId="5" borderId="6" xfId="0" applyFont="1" applyFill="1" applyBorder="1" applyAlignment="1">
      <alignment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vertical="center"/>
    </xf>
    <xf numFmtId="0" fontId="39" fillId="11" borderId="1" xfId="0" applyFont="1" applyFill="1" applyBorder="1" applyAlignment="1">
      <alignment horizontal="center" vertical="center"/>
    </xf>
    <xf numFmtId="0" fontId="12" fillId="0" borderId="26" xfId="0" applyFont="1" applyFill="1" applyBorder="1" applyAlignment="1">
      <alignment horizontal="center" vertical="center"/>
    </xf>
    <xf numFmtId="0" fontId="2" fillId="0" borderId="27" xfId="0" applyFont="1" applyFill="1" applyBorder="1" applyAlignment="1">
      <alignment horizontal="center" vertical="center"/>
    </xf>
    <xf numFmtId="0" fontId="36" fillId="0" borderId="34" xfId="0" applyFont="1" applyFill="1" applyBorder="1" applyAlignment="1">
      <alignment horizontal="center" vertical="center"/>
    </xf>
    <xf numFmtId="0" fontId="37" fillId="0" borderId="12" xfId="0" applyFont="1" applyFill="1" applyBorder="1" applyAlignment="1">
      <alignment horizontal="center" vertical="center"/>
    </xf>
    <xf numFmtId="0" fontId="37" fillId="0" borderId="26" xfId="0" applyFont="1" applyFill="1" applyBorder="1" applyAlignment="1">
      <alignment horizontal="center" vertical="center"/>
    </xf>
    <xf numFmtId="0" fontId="7" fillId="19" borderId="8" xfId="0" applyFont="1" applyFill="1" applyBorder="1" applyAlignment="1">
      <alignment horizontal="center" vertical="center"/>
    </xf>
    <xf numFmtId="0" fontId="36" fillId="9" borderId="34" xfId="0" applyFont="1" applyFill="1" applyBorder="1" applyAlignment="1">
      <alignment horizontal="center" vertical="center"/>
    </xf>
    <xf numFmtId="0" fontId="37" fillId="9" borderId="12" xfId="0" applyFont="1" applyFill="1" applyBorder="1" applyAlignment="1">
      <alignment horizontal="center" vertical="center"/>
    </xf>
    <xf numFmtId="0" fontId="37" fillId="9" borderId="26" xfId="0" applyFont="1" applyFill="1" applyBorder="1" applyAlignment="1">
      <alignment horizontal="center" vertical="center"/>
    </xf>
    <xf numFmtId="0" fontId="7" fillId="20" borderId="8" xfId="0" applyFont="1" applyFill="1" applyBorder="1" applyAlignment="1">
      <alignment horizontal="center" vertical="center"/>
    </xf>
    <xf numFmtId="0" fontId="51" fillId="0" borderId="8" xfId="0" applyFont="1" applyFill="1" applyBorder="1" applyAlignment="1">
      <alignment horizontal="center" vertical="center"/>
    </xf>
    <xf numFmtId="0" fontId="32" fillId="0" borderId="3" xfId="0" applyFont="1" applyFill="1" applyBorder="1" applyAlignment="1">
      <alignment horizontal="center" vertical="center"/>
    </xf>
    <xf numFmtId="0" fontId="32" fillId="0" borderId="4" xfId="0" applyFont="1" applyFill="1" applyBorder="1" applyAlignment="1">
      <alignment horizontal="center" vertical="center"/>
    </xf>
    <xf numFmtId="0" fontId="50" fillId="5" borderId="3" xfId="0" applyFont="1" applyFill="1" applyBorder="1" applyAlignment="1">
      <alignment horizontal="center" vertical="center"/>
    </xf>
    <xf numFmtId="0" fontId="50" fillId="5" borderId="4" xfId="0" applyFont="1" applyFill="1" applyBorder="1" applyAlignment="1">
      <alignment horizontal="center" vertical="center"/>
    </xf>
    <xf numFmtId="0" fontId="50" fillId="5" borderId="6" xfId="0" applyFont="1" applyFill="1" applyBorder="1" applyAlignment="1">
      <alignment horizontal="center" vertical="center"/>
    </xf>
    <xf numFmtId="0" fontId="50" fillId="5" borderId="7" xfId="0" applyFont="1" applyFill="1" applyBorder="1" applyAlignment="1">
      <alignment horizontal="center" vertical="center"/>
    </xf>
    <xf numFmtId="0" fontId="52" fillId="0" borderId="8" xfId="0" applyFont="1" applyFill="1" applyBorder="1" applyAlignment="1">
      <alignment horizontal="center" vertical="center"/>
    </xf>
    <xf numFmtId="0" fontId="12" fillId="0" borderId="32" xfId="0" applyFont="1" applyFill="1" applyBorder="1" applyAlignment="1">
      <alignment horizontal="center" vertical="center"/>
    </xf>
    <xf numFmtId="0" fontId="2" fillId="0" borderId="9" xfId="0" applyFont="1" applyFill="1" applyBorder="1" applyAlignment="1">
      <alignment vertical="center"/>
    </xf>
    <xf numFmtId="0" fontId="36" fillId="0" borderId="37" xfId="0" applyFont="1" applyFill="1" applyBorder="1" applyAlignment="1">
      <alignment horizontal="center" vertical="center"/>
    </xf>
    <xf numFmtId="0" fontId="2" fillId="0" borderId="0" xfId="0" applyFont="1" applyFill="1" applyBorder="1" applyAlignment="1">
      <alignment vertical="center"/>
    </xf>
    <xf numFmtId="0" fontId="37" fillId="0" borderId="16" xfId="0" applyFont="1" applyFill="1" applyBorder="1" applyAlignment="1">
      <alignment horizontal="center" vertical="center"/>
    </xf>
    <xf numFmtId="0" fontId="37" fillId="0" borderId="32" xfId="0" applyFont="1" applyFill="1" applyBorder="1" applyAlignment="1">
      <alignment horizontal="center" vertical="center"/>
    </xf>
    <xf numFmtId="0" fontId="2" fillId="0" borderId="40" xfId="0" applyFont="1" applyFill="1" applyBorder="1" applyAlignment="1">
      <alignment horizontal="center" vertical="center"/>
    </xf>
    <xf numFmtId="0" fontId="54" fillId="9" borderId="39" xfId="0" applyFont="1" applyFill="1" applyBorder="1" applyAlignment="1">
      <alignment horizontal="center" vertical="center"/>
    </xf>
    <xf numFmtId="0" fontId="55" fillId="9" borderId="11" xfId="0" applyFont="1" applyFill="1" applyBorder="1" applyAlignment="1">
      <alignment horizontal="center" vertical="center"/>
    </xf>
    <xf numFmtId="0" fontId="53" fillId="9" borderId="38" xfId="0" applyFont="1" applyFill="1" applyBorder="1" applyAlignment="1">
      <alignment horizontal="center" vertical="center"/>
    </xf>
    <xf numFmtId="0" fontId="54" fillId="9" borderId="1" xfId="0" applyFont="1" applyFill="1" applyBorder="1" applyAlignment="1">
      <alignment horizontal="center" vertical="center"/>
    </xf>
    <xf numFmtId="0" fontId="11" fillId="0" borderId="8" xfId="0" applyFont="1" applyFill="1" applyBorder="1" applyAlignment="1">
      <alignment horizontal="center" vertical="center"/>
    </xf>
    <xf numFmtId="0" fontId="41" fillId="5" borderId="7" xfId="0" applyFont="1" applyFill="1" applyBorder="1" applyAlignment="1">
      <alignment vertical="center" wrapText="1"/>
    </xf>
    <xf numFmtId="0" fontId="41" fillId="5" borderId="8" xfId="0" applyFont="1" applyFill="1" applyBorder="1" applyAlignment="1">
      <alignment vertical="center" wrapText="1"/>
    </xf>
    <xf numFmtId="0" fontId="56" fillId="5" borderId="10" xfId="0" applyFont="1" applyFill="1" applyBorder="1" applyAlignment="1">
      <alignment horizontal="center" vertical="center"/>
    </xf>
    <xf numFmtId="0" fontId="56" fillId="5" borderId="11" xfId="0" applyFont="1" applyFill="1" applyBorder="1" applyAlignment="1">
      <alignment horizontal="center" vertical="center"/>
    </xf>
    <xf numFmtId="0" fontId="56" fillId="5" borderId="25" xfId="0" applyFont="1" applyFill="1" applyBorder="1" applyAlignment="1">
      <alignment horizontal="center" vertical="center"/>
    </xf>
    <xf numFmtId="0" fontId="57" fillId="5" borderId="1" xfId="0" applyFont="1" applyFill="1" applyBorder="1" applyAlignment="1">
      <alignment horizontal="center" vertical="center"/>
    </xf>
    <xf numFmtId="0" fontId="50" fillId="0" borderId="5" xfId="0" applyFont="1" applyFill="1" applyBorder="1" applyAlignment="1">
      <alignment horizontal="center" vertical="center"/>
    </xf>
    <xf numFmtId="0" fontId="45" fillId="0" borderId="41" xfId="0" applyFont="1" applyFill="1" applyBorder="1" applyAlignment="1">
      <alignment horizontal="center" vertical="center"/>
    </xf>
    <xf numFmtId="0" fontId="37" fillId="0" borderId="13" xfId="0" applyFont="1" applyFill="1" applyBorder="1" applyAlignment="1">
      <alignment horizontal="center" vertical="center"/>
    </xf>
    <xf numFmtId="0" fontId="43" fillId="0" borderId="2" xfId="0" applyFont="1" applyFill="1" applyBorder="1" applyAlignment="1">
      <alignment horizontal="center" vertical="center"/>
    </xf>
    <xf numFmtId="0" fontId="5" fillId="4" borderId="38" xfId="0" applyFont="1" applyFill="1" applyBorder="1" applyAlignment="1">
      <alignment horizontal="center" vertical="center"/>
    </xf>
    <xf numFmtId="0" fontId="45" fillId="9" borderId="41" xfId="0" applyFont="1" applyFill="1" applyBorder="1" applyAlignment="1">
      <alignment horizontal="center" vertical="center"/>
    </xf>
    <xf numFmtId="0" fontId="37" fillId="9" borderId="13" xfId="0" applyFont="1" applyFill="1" applyBorder="1" applyAlignment="1">
      <alignment horizontal="center" vertical="center"/>
    </xf>
    <xf numFmtId="0" fontId="43" fillId="9" borderId="2" xfId="0" applyFont="1" applyFill="1" applyBorder="1" applyAlignment="1">
      <alignment horizontal="center" vertical="center"/>
    </xf>
    <xf numFmtId="0" fontId="37" fillId="5" borderId="32" xfId="0" applyFont="1" applyFill="1" applyBorder="1" applyAlignment="1">
      <alignment horizontal="center" vertical="center"/>
    </xf>
    <xf numFmtId="0" fontId="2" fillId="5" borderId="38" xfId="0" applyFont="1" applyFill="1" applyBorder="1" applyAlignment="1">
      <alignment vertical="center"/>
    </xf>
    <xf numFmtId="0" fontId="43" fillId="5" borderId="23" xfId="0" applyFont="1" applyFill="1" applyBorder="1" applyAlignment="1">
      <alignment horizontal="center" vertical="center"/>
    </xf>
    <xf numFmtId="0" fontId="32" fillId="0" borderId="5" xfId="0" applyFont="1" applyFill="1" applyBorder="1" applyAlignment="1">
      <alignment horizontal="center" vertical="center"/>
    </xf>
    <xf numFmtId="0" fontId="50" fillId="5" borderId="5" xfId="0" applyFont="1" applyFill="1" applyBorder="1" applyAlignment="1">
      <alignment horizontal="center" vertical="center"/>
    </xf>
    <xf numFmtId="0" fontId="50" fillId="5" borderId="8" xfId="0" applyFont="1" applyFill="1" applyBorder="1" applyAlignment="1">
      <alignment horizontal="center" vertical="center"/>
    </xf>
    <xf numFmtId="0" fontId="45" fillId="0" borderId="44" xfId="0" applyFont="1" applyFill="1" applyBorder="1" applyAlignment="1">
      <alignment horizontal="center" vertical="center"/>
    </xf>
    <xf numFmtId="0" fontId="37" fillId="0" borderId="17" xfId="0" applyFont="1" applyFill="1" applyBorder="1" applyAlignment="1">
      <alignment horizontal="center" vertical="center"/>
    </xf>
    <xf numFmtId="0" fontId="2" fillId="0" borderId="38" xfId="0" applyFont="1" applyFill="1" applyBorder="1" applyAlignment="1">
      <alignment vertical="center"/>
    </xf>
    <xf numFmtId="0" fontId="43" fillId="0" borderId="23" xfId="0" applyFont="1" applyFill="1" applyBorder="1" applyAlignment="1">
      <alignment horizontal="center" vertical="center"/>
    </xf>
    <xf numFmtId="0" fontId="7" fillId="21" borderId="6" xfId="0" applyFont="1" applyFill="1" applyBorder="1" applyAlignment="1">
      <alignment horizontal="center" vertical="center"/>
    </xf>
    <xf numFmtId="0" fontId="7" fillId="21" borderId="7" xfId="0" applyFont="1" applyFill="1" applyBorder="1" applyAlignment="1">
      <alignment horizontal="center" vertical="center"/>
    </xf>
    <xf numFmtId="0" fontId="7" fillId="22" borderId="6" xfId="0" applyFont="1" applyFill="1" applyBorder="1" applyAlignment="1">
      <alignment horizontal="center" vertical="center"/>
    </xf>
    <xf numFmtId="0" fontId="7" fillId="22" borderId="7" xfId="0" applyFont="1" applyFill="1" applyBorder="1" applyAlignment="1">
      <alignment horizontal="center" vertical="center"/>
    </xf>
    <xf numFmtId="0" fontId="58" fillId="4" borderId="9" xfId="0" applyFont="1" applyFill="1" applyBorder="1" applyAlignment="1">
      <alignment horizontal="center" vertical="center"/>
    </xf>
    <xf numFmtId="0" fontId="58" fillId="4" borderId="0" xfId="0" applyFont="1" applyFill="1" applyAlignment="1">
      <alignment horizontal="center" vertical="center"/>
    </xf>
    <xf numFmtId="0" fontId="59" fillId="0" borderId="6" xfId="0" applyFont="1" applyFill="1" applyBorder="1" applyAlignment="1">
      <alignment horizontal="center" vertical="center"/>
    </xf>
    <xf numFmtId="0" fontId="59" fillId="0" borderId="7" xfId="0" applyFont="1" applyFill="1" applyBorder="1" applyAlignment="1">
      <alignment horizontal="center" vertical="center"/>
    </xf>
    <xf numFmtId="0" fontId="7" fillId="21" borderId="8" xfId="0" applyFont="1" applyFill="1" applyBorder="1" applyAlignment="1">
      <alignment horizontal="center" vertical="center"/>
    </xf>
    <xf numFmtId="0" fontId="7" fillId="22" borderId="8" xfId="0" applyFont="1" applyFill="1" applyBorder="1" applyAlignment="1">
      <alignment horizontal="center" vertical="center"/>
    </xf>
    <xf numFmtId="0" fontId="19" fillId="5" borderId="6" xfId="0" applyFont="1" applyFill="1" applyBorder="1" applyAlignment="1">
      <alignment horizontal="center" vertical="center"/>
    </xf>
    <xf numFmtId="0" fontId="59" fillId="0" borderId="8" xfId="0" applyFont="1" applyFill="1" applyBorder="1" applyAlignment="1">
      <alignment horizontal="center" vertical="center"/>
    </xf>
    <xf numFmtId="0" fontId="19" fillId="0" borderId="6" xfId="0" applyFont="1" applyFill="1" applyBorder="1" applyAlignment="1">
      <alignment horizontal="center" vertical="center"/>
    </xf>
    <xf numFmtId="0" fontId="19" fillId="5" borderId="7" xfId="0" applyFont="1" applyFill="1" applyBorder="1" applyAlignment="1">
      <alignment horizontal="center" vertical="center"/>
    </xf>
    <xf numFmtId="0" fontId="19" fillId="5" borderId="8" xfId="0" applyFont="1" applyFill="1" applyBorder="1" applyAlignment="1">
      <alignment horizontal="center" vertical="center"/>
    </xf>
    <xf numFmtId="0" fontId="58" fillId="4" borderId="38" xfId="0" applyFont="1" applyFill="1" applyBorder="1" applyAlignment="1">
      <alignment horizontal="center" vertical="center"/>
    </xf>
    <xf numFmtId="0" fontId="60" fillId="2" borderId="1" xfId="0" applyFont="1" applyFill="1" applyBorder="1" applyAlignment="1">
      <alignment horizontal="center" vertical="center" wrapText="1"/>
    </xf>
    <xf numFmtId="0" fontId="32" fillId="11" borderId="3" xfId="0" applyFont="1" applyFill="1" applyBorder="1" applyAlignment="1">
      <alignment horizontal="center" vertical="center"/>
    </xf>
    <xf numFmtId="0" fontId="32" fillId="11" borderId="4" xfId="0" applyFont="1" applyFill="1" applyBorder="1" applyAlignment="1">
      <alignment horizontal="center" vertical="center"/>
    </xf>
    <xf numFmtId="0" fontId="32" fillId="5" borderId="3" xfId="0" applyFont="1" applyFill="1" applyBorder="1" applyAlignment="1">
      <alignment horizontal="center" vertical="center"/>
    </xf>
    <xf numFmtId="0" fontId="32" fillId="5" borderId="4" xfId="0" applyFont="1" applyFill="1" applyBorder="1" applyAlignment="1">
      <alignment horizontal="center" vertical="center"/>
    </xf>
    <xf numFmtId="0" fontId="61" fillId="0" borderId="11" xfId="0" applyFont="1" applyFill="1" applyBorder="1" applyAlignment="1">
      <alignment horizontal="center" vertical="center"/>
    </xf>
    <xf numFmtId="0" fontId="5" fillId="23" borderId="1" xfId="0" applyFont="1" applyFill="1" applyBorder="1" applyAlignment="1">
      <alignment horizontal="center" vertical="center"/>
    </xf>
    <xf numFmtId="0" fontId="27" fillId="8" borderId="1" xfId="0" applyFont="1" applyFill="1" applyBorder="1" applyAlignment="1">
      <alignment horizontal="center" vertical="center"/>
    </xf>
    <xf numFmtId="0" fontId="32" fillId="0" borderId="6" xfId="0" applyFont="1" applyFill="1" applyBorder="1" applyAlignment="1">
      <alignment horizontal="center" vertical="center"/>
    </xf>
    <xf numFmtId="0" fontId="32" fillId="0" borderId="7" xfId="0" applyFont="1" applyFill="1" applyBorder="1" applyAlignment="1">
      <alignment horizontal="center" vertical="center"/>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50" fillId="11" borderId="6" xfId="0" applyFont="1" applyFill="1" applyBorder="1" applyAlignment="1">
      <alignment horizontal="center" vertical="center"/>
    </xf>
    <xf numFmtId="0" fontId="50" fillId="11" borderId="7" xfId="0" applyFont="1" applyFill="1" applyBorder="1" applyAlignment="1">
      <alignment horizontal="center" vertical="center"/>
    </xf>
    <xf numFmtId="0" fontId="50" fillId="5" borderId="9" xfId="0" applyFont="1" applyFill="1" applyBorder="1" applyAlignment="1">
      <alignment horizontal="center" vertical="center"/>
    </xf>
    <xf numFmtId="0" fontId="50" fillId="5" borderId="0" xfId="0" applyFont="1" applyFill="1" applyAlignment="1">
      <alignment horizontal="center" vertical="center"/>
    </xf>
    <xf numFmtId="0" fontId="63" fillId="11" borderId="1" xfId="0" applyFont="1" applyFill="1" applyBorder="1" applyAlignment="1">
      <alignment horizontal="center" vertical="center"/>
    </xf>
    <xf numFmtId="0" fontId="32" fillId="11" borderId="5" xfId="0" applyFont="1" applyFill="1" applyBorder="1" applyAlignment="1">
      <alignment horizontal="center" vertical="center"/>
    </xf>
    <xf numFmtId="0" fontId="32" fillId="5" borderId="5" xfId="0" applyFont="1" applyFill="1" applyBorder="1" applyAlignment="1">
      <alignment horizontal="center" vertical="center"/>
    </xf>
    <xf numFmtId="0" fontId="36" fillId="5" borderId="45" xfId="0" applyFont="1" applyFill="1" applyBorder="1" applyAlignment="1">
      <alignment horizontal="center" vertical="center"/>
    </xf>
    <xf numFmtId="0" fontId="62" fillId="0" borderId="8" xfId="0" applyFont="1" applyFill="1" applyBorder="1" applyAlignment="1">
      <alignment horizontal="center" vertical="center"/>
    </xf>
    <xf numFmtId="0" fontId="25" fillId="5" borderId="1" xfId="0" applyFont="1" applyFill="1" applyBorder="1" applyAlignment="1">
      <alignment horizontal="center" vertical="center"/>
    </xf>
    <xf numFmtId="0" fontId="54" fillId="8" borderId="1" xfId="0" applyFont="1" applyFill="1" applyBorder="1" applyAlignment="1">
      <alignment horizontal="center" vertical="center"/>
    </xf>
    <xf numFmtId="0" fontId="32" fillId="0" borderId="8" xfId="0" applyFont="1" applyFill="1" applyBorder="1" applyAlignment="1">
      <alignment horizontal="center" vertical="center"/>
    </xf>
    <xf numFmtId="0" fontId="50" fillId="11" borderId="8" xfId="0" applyFont="1" applyFill="1" applyBorder="1" applyAlignment="1">
      <alignment horizontal="center" vertical="center"/>
    </xf>
    <xf numFmtId="0" fontId="50" fillId="5" borderId="38" xfId="0" applyFont="1" applyFill="1" applyBorder="1" applyAlignment="1">
      <alignment horizontal="center" vertical="center"/>
    </xf>
    <xf numFmtId="0" fontId="64" fillId="0" borderId="0" xfId="0" applyFont="1" applyFill="1" applyAlignment="1">
      <alignment vertical="center"/>
    </xf>
    <xf numFmtId="0" fontId="5" fillId="4" borderId="1" xfId="0" applyFont="1" applyFill="1" applyBorder="1" applyAlignment="1">
      <alignment horizontal="center" vertical="center"/>
    </xf>
    <xf numFmtId="0" fontId="65" fillId="12" borderId="1" xfId="0" applyFont="1" applyFill="1" applyBorder="1" applyAlignment="1">
      <alignment horizontal="center" vertical="center"/>
    </xf>
    <xf numFmtId="0" fontId="66" fillId="12" borderId="6" xfId="0" applyFont="1" applyFill="1" applyBorder="1" applyAlignment="1">
      <alignment horizontal="center" vertical="center"/>
    </xf>
    <xf numFmtId="0" fontId="12" fillId="12" borderId="16" xfId="0" applyFont="1" applyFill="1" applyBorder="1" applyAlignment="1">
      <alignment horizontal="center" vertical="center"/>
    </xf>
    <xf numFmtId="0" fontId="12" fillId="12" borderId="17" xfId="0" applyFont="1" applyFill="1" applyBorder="1" applyAlignment="1">
      <alignment horizontal="center" vertical="center"/>
    </xf>
    <xf numFmtId="0" fontId="27" fillId="9" borderId="6" xfId="0" applyFont="1" applyFill="1" applyBorder="1" applyAlignment="1">
      <alignment horizontal="center" vertical="center"/>
    </xf>
    <xf numFmtId="0" fontId="11" fillId="9" borderId="7" xfId="0" applyFont="1" applyFill="1" applyBorder="1" applyAlignment="1">
      <alignment horizontal="center" vertical="center"/>
    </xf>
    <xf numFmtId="0" fontId="67" fillId="9" borderId="16" xfId="0" applyFont="1" applyFill="1" applyBorder="1" applyAlignment="1">
      <alignment horizontal="center" vertical="center"/>
    </xf>
    <xf numFmtId="0" fontId="67" fillId="9" borderId="17" xfId="0" applyFont="1" applyFill="1" applyBorder="1" applyAlignment="1">
      <alignment horizontal="center" vertical="center"/>
    </xf>
    <xf numFmtId="0" fontId="58" fillId="13" borderId="6" xfId="0" applyFont="1" applyFill="1" applyBorder="1" applyAlignment="1">
      <alignment horizontal="center" vertical="center"/>
    </xf>
    <xf numFmtId="0" fontId="58" fillId="13" borderId="7" xfId="0" applyFont="1" applyFill="1" applyBorder="1" applyAlignment="1">
      <alignment horizontal="center" vertical="center"/>
    </xf>
    <xf numFmtId="0" fontId="49" fillId="0" borderId="16" xfId="0" applyFont="1" applyFill="1" applyBorder="1" applyAlignment="1">
      <alignment horizontal="center" vertical="center"/>
    </xf>
    <xf numFmtId="0" fontId="49" fillId="0" borderId="17" xfId="0" applyFont="1" applyFill="1" applyBorder="1" applyAlignment="1">
      <alignment horizontal="center" vertical="center"/>
    </xf>
    <xf numFmtId="0" fontId="68" fillId="11" borderId="1" xfId="0" applyFont="1" applyFill="1" applyBorder="1" applyAlignment="1">
      <alignment horizontal="center" vertical="center"/>
    </xf>
    <xf numFmtId="0" fontId="69" fillId="11" borderId="1" xfId="0" applyFont="1" applyFill="1" applyBorder="1" applyAlignment="1">
      <alignment horizontal="center" vertical="center"/>
    </xf>
    <xf numFmtId="0" fontId="70" fillId="11" borderId="1" xfId="0" applyFont="1" applyFill="1" applyBorder="1" applyAlignment="1">
      <alignment horizontal="center" vertical="center"/>
    </xf>
    <xf numFmtId="0" fontId="71" fillId="0" borderId="3" xfId="0" applyFont="1" applyFill="1" applyBorder="1" applyAlignment="1">
      <alignment horizontal="center" vertical="center" wrapText="1"/>
    </xf>
    <xf numFmtId="0" fontId="71" fillId="0" borderId="4"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71" fillId="0" borderId="0" xfId="0" applyFont="1" applyFill="1" applyAlignment="1">
      <alignment horizontal="center" vertical="center" wrapText="1"/>
    </xf>
    <xf numFmtId="0" fontId="11" fillId="0" borderId="2" xfId="0" applyFont="1" applyFill="1" applyBorder="1" applyAlignment="1">
      <alignment horizontal="center" vertical="center"/>
    </xf>
    <xf numFmtId="0" fontId="72" fillId="11" borderId="1" xfId="0" applyFont="1" applyFill="1" applyBorder="1" applyAlignment="1">
      <alignment horizontal="center" vertical="center"/>
    </xf>
    <xf numFmtId="0" fontId="32" fillId="11" borderId="6" xfId="0" applyFont="1" applyFill="1" applyBorder="1" applyAlignment="1">
      <alignment horizontal="center" vertical="center"/>
    </xf>
    <xf numFmtId="0" fontId="32" fillId="11" borderId="7" xfId="0" applyFont="1" applyFill="1" applyBorder="1" applyAlignment="1">
      <alignment horizontal="center" vertical="center"/>
    </xf>
    <xf numFmtId="0" fontId="7" fillId="23" borderId="6" xfId="0" applyFont="1" applyFill="1" applyBorder="1" applyAlignment="1">
      <alignment horizontal="center" vertical="center"/>
    </xf>
    <xf numFmtId="0" fontId="7" fillId="23" borderId="7" xfId="0" applyFont="1" applyFill="1" applyBorder="1" applyAlignment="1">
      <alignment horizontal="center" vertical="center"/>
    </xf>
    <xf numFmtId="0" fontId="73" fillId="0" borderId="6" xfId="0" applyFont="1" applyFill="1" applyBorder="1" applyAlignment="1">
      <alignment horizontal="center" vertical="center"/>
    </xf>
    <xf numFmtId="0" fontId="73" fillId="0" borderId="7" xfId="0" applyFont="1" applyFill="1" applyBorder="1" applyAlignment="1">
      <alignment horizontal="center" vertical="center"/>
    </xf>
    <xf numFmtId="0" fontId="12" fillId="12" borderId="32" xfId="0" applyFont="1" applyFill="1" applyBorder="1" applyAlignment="1">
      <alignment horizontal="center" vertical="center"/>
    </xf>
    <xf numFmtId="0" fontId="67" fillId="9" borderId="32" xfId="0" applyFont="1" applyFill="1" applyBorder="1" applyAlignment="1">
      <alignment horizontal="center" vertical="center"/>
    </xf>
    <xf numFmtId="0" fontId="2" fillId="5" borderId="9" xfId="0" applyFont="1" applyFill="1" applyBorder="1" applyAlignment="1">
      <alignment vertical="center"/>
    </xf>
    <xf numFmtId="0" fontId="36" fillId="5" borderId="37" xfId="0" applyFont="1" applyFill="1" applyBorder="1" applyAlignment="1">
      <alignment horizontal="center" vertical="center"/>
    </xf>
    <xf numFmtId="0" fontId="2" fillId="5" borderId="0" xfId="0" applyFont="1" applyFill="1" applyBorder="1" applyAlignment="1">
      <alignment vertical="center"/>
    </xf>
    <xf numFmtId="0" fontId="37" fillId="5" borderId="16" xfId="0" applyFont="1" applyFill="1" applyBorder="1" applyAlignment="1">
      <alignment horizontal="center" vertical="center"/>
    </xf>
    <xf numFmtId="0" fontId="12" fillId="9" borderId="46" xfId="0" applyFont="1" applyFill="1" applyBorder="1" applyAlignment="1">
      <alignment horizontal="center" vertical="center"/>
    </xf>
    <xf numFmtId="0" fontId="2" fillId="9" borderId="18" xfId="0" applyFont="1" applyFill="1" applyBorder="1" applyAlignment="1">
      <alignment vertical="center"/>
    </xf>
    <xf numFmtId="0" fontId="36" fillId="9" borderId="47" xfId="0" applyFont="1" applyFill="1" applyBorder="1" applyAlignment="1">
      <alignment horizontal="center" vertical="center"/>
    </xf>
    <xf numFmtId="0" fontId="2" fillId="9" borderId="20" xfId="0" applyFont="1" applyFill="1" applyBorder="1" applyAlignment="1">
      <alignment vertical="center"/>
    </xf>
    <xf numFmtId="0" fontId="74" fillId="12" borderId="33" xfId="0" applyFont="1" applyFill="1" applyBorder="1" applyAlignment="1">
      <alignment horizontal="center" vertical="center"/>
    </xf>
    <xf numFmtId="0" fontId="49" fillId="0" borderId="32" xfId="0" applyFont="1" applyFill="1" applyBorder="1" applyAlignment="1">
      <alignment horizontal="center" vertical="center"/>
    </xf>
    <xf numFmtId="0" fontId="53" fillId="0" borderId="9" xfId="0" applyFont="1" applyFill="1" applyBorder="1" applyAlignment="1">
      <alignment horizontal="center" vertical="center"/>
    </xf>
    <xf numFmtId="0" fontId="54" fillId="0" borderId="33" xfId="0" applyFont="1" applyFill="1" applyBorder="1" applyAlignment="1">
      <alignment horizontal="center" vertical="center"/>
    </xf>
    <xf numFmtId="0" fontId="53" fillId="0" borderId="0" xfId="0" applyFont="1" applyFill="1" applyBorder="1" applyAlignment="1">
      <alignment horizontal="center" vertical="center"/>
    </xf>
    <xf numFmtId="0" fontId="55" fillId="0" borderId="10" xfId="0" applyFont="1" applyFill="1" applyBorder="1" applyAlignment="1">
      <alignment horizontal="center" vertical="center"/>
    </xf>
    <xf numFmtId="0" fontId="55" fillId="0" borderId="25" xfId="0" applyFont="1" applyFill="1" applyBorder="1" applyAlignment="1">
      <alignment horizontal="center" vertical="center"/>
    </xf>
    <xf numFmtId="0" fontId="75" fillId="5" borderId="3" xfId="0" applyFont="1" applyFill="1" applyBorder="1" applyAlignment="1">
      <alignment horizontal="center" vertical="center"/>
    </xf>
    <xf numFmtId="0" fontId="25" fillId="11" borderId="6" xfId="0" applyFont="1" applyFill="1" applyBorder="1" applyAlignment="1">
      <alignment horizontal="center" vertical="center"/>
    </xf>
    <xf numFmtId="0" fontId="13" fillId="0" borderId="3"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7" xfId="0" applyFont="1" applyFill="1" applyBorder="1" applyAlignment="1">
      <alignment horizontal="center" vertical="center"/>
    </xf>
    <xf numFmtId="0" fontId="32" fillId="11" borderId="8" xfId="0" applyFont="1" applyFill="1" applyBorder="1" applyAlignment="1">
      <alignment horizontal="center" vertical="center"/>
    </xf>
    <xf numFmtId="0" fontId="64" fillId="0" borderId="6" xfId="0" applyFont="1" applyFill="1" applyBorder="1" applyAlignment="1">
      <alignment horizontal="center" vertical="center"/>
    </xf>
    <xf numFmtId="0" fontId="5" fillId="4" borderId="23" xfId="0" applyFont="1" applyFill="1" applyBorder="1" applyAlignment="1">
      <alignment horizontal="center" vertical="center"/>
    </xf>
    <xf numFmtId="0" fontId="73" fillId="0" borderId="8" xfId="0" applyFont="1" applyFill="1" applyBorder="1" applyAlignment="1">
      <alignment horizontal="center" vertical="center"/>
    </xf>
    <xf numFmtId="0" fontId="55" fillId="0" borderId="11" xfId="0" applyFont="1" applyFill="1" applyBorder="1" applyAlignment="1">
      <alignment horizontal="center" vertical="center"/>
    </xf>
    <xf numFmtId="0" fontId="53" fillId="0" borderId="38" xfId="0" applyFont="1" applyFill="1" applyBorder="1" applyAlignment="1">
      <alignment horizontal="center" vertical="center"/>
    </xf>
    <xf numFmtId="0" fontId="54" fillId="0" borderId="1" xfId="0" applyFont="1" applyFill="1" applyBorder="1" applyAlignment="1">
      <alignment horizontal="center" vertical="center"/>
    </xf>
    <xf numFmtId="0" fontId="58" fillId="13" borderId="8" xfId="0" applyFont="1" applyFill="1" applyBorder="1" applyAlignment="1">
      <alignment horizontal="center" vertical="center"/>
    </xf>
    <xf numFmtId="0" fontId="45" fillId="5" borderId="44" xfId="0" applyFont="1" applyFill="1" applyBorder="1" applyAlignment="1">
      <alignment horizontal="center" vertical="center"/>
    </xf>
    <xf numFmtId="0" fontId="37" fillId="5" borderId="17" xfId="0" applyFont="1" applyFill="1" applyBorder="1" applyAlignment="1">
      <alignment horizontal="center" vertical="center"/>
    </xf>
    <xf numFmtId="0" fontId="76" fillId="9" borderId="32" xfId="0" applyFont="1" applyFill="1" applyBorder="1" applyAlignment="1">
      <alignment horizontal="center" vertical="center"/>
    </xf>
    <xf numFmtId="0" fontId="77" fillId="9" borderId="19" xfId="0" applyFont="1" applyFill="1" applyBorder="1" applyAlignment="1">
      <alignment vertical="center"/>
    </xf>
    <xf numFmtId="0" fontId="25" fillId="9" borderId="1" xfId="0" applyFont="1" applyFill="1" applyBorder="1" applyAlignment="1">
      <alignment horizontal="center" vertical="center"/>
    </xf>
    <xf numFmtId="0" fontId="78" fillId="12" borderId="39" xfId="0" applyFont="1" applyFill="1" applyBorder="1" applyAlignment="1">
      <alignment horizontal="center" vertical="center"/>
    </xf>
    <xf numFmtId="0" fontId="54" fillId="0" borderId="39" xfId="0" applyFont="1" applyFill="1" applyBorder="1" applyAlignment="1">
      <alignment horizontal="center" vertical="center"/>
    </xf>
    <xf numFmtId="0" fontId="71" fillId="0" borderId="5" xfId="0" applyFont="1" applyFill="1" applyBorder="1" applyAlignment="1">
      <alignment horizontal="center" vertical="center" wrapText="1"/>
    </xf>
    <xf numFmtId="0" fontId="71" fillId="0" borderId="38" xfId="0" applyFont="1" applyFill="1" applyBorder="1" applyAlignment="1">
      <alignment horizontal="center" vertical="center" wrapText="1"/>
    </xf>
    <xf numFmtId="0" fontId="71" fillId="0" borderId="18" xfId="0" applyFont="1" applyFill="1" applyBorder="1" applyAlignment="1">
      <alignment horizontal="center" vertical="center" wrapText="1"/>
    </xf>
    <xf numFmtId="0" fontId="71" fillId="0" borderId="20" xfId="0" applyFont="1" applyFill="1" applyBorder="1" applyAlignment="1">
      <alignment horizontal="center" vertical="center" wrapText="1"/>
    </xf>
    <xf numFmtId="0" fontId="71" fillId="0" borderId="19" xfId="0" applyFont="1" applyFill="1" applyBorder="1" applyAlignment="1">
      <alignment horizontal="center" vertical="center" wrapText="1"/>
    </xf>
    <xf numFmtId="0" fontId="2" fillId="9" borderId="8" xfId="0" applyFont="1" applyFill="1" applyBorder="1" applyAlignment="1">
      <alignment horizontal="center" vertical="center"/>
    </xf>
    <xf numFmtId="0" fontId="64" fillId="0" borderId="7" xfId="0" applyFont="1" applyFill="1" applyBorder="1" applyAlignment="1">
      <alignment horizontal="center" vertical="center"/>
    </xf>
    <xf numFmtId="0" fontId="79" fillId="23" borderId="1" xfId="0" applyFont="1" applyFill="1" applyBorder="1" applyAlignment="1">
      <alignment horizontal="center" vertical="center"/>
    </xf>
    <xf numFmtId="0" fontId="11" fillId="0" borderId="23" xfId="0" applyFont="1" applyFill="1" applyBorder="1" applyAlignment="1">
      <alignment horizontal="center" vertical="center"/>
    </xf>
    <xf numFmtId="0" fontId="11" fillId="0" borderId="18" xfId="0" applyFont="1" applyFill="1" applyBorder="1" applyAlignment="1">
      <alignment horizontal="center" vertical="center"/>
    </xf>
    <xf numFmtId="0" fontId="50" fillId="0" borderId="6" xfId="0" applyFont="1" applyFill="1" applyBorder="1" applyAlignment="1">
      <alignment horizontal="center" vertical="center"/>
    </xf>
    <xf numFmtId="0" fontId="50" fillId="0" borderId="7" xfId="0" applyFont="1" applyFill="1" applyBorder="1" applyAlignment="1">
      <alignment horizontal="center" vertical="center"/>
    </xf>
    <xf numFmtId="0" fontId="7" fillId="24" borderId="6" xfId="0" applyFont="1" applyFill="1" applyBorder="1" applyAlignment="1">
      <alignment horizontal="center" vertical="center"/>
    </xf>
    <xf numFmtId="0" fontId="7" fillId="24" borderId="7" xfId="0" applyFont="1" applyFill="1" applyBorder="1" applyAlignment="1">
      <alignment horizontal="center" vertical="center"/>
    </xf>
    <xf numFmtId="0" fontId="50" fillId="4" borderId="1" xfId="0" applyFont="1" applyFill="1" applyBorder="1" applyAlignment="1">
      <alignment horizontal="center" vertical="center"/>
    </xf>
    <xf numFmtId="0" fontId="7" fillId="15" borderId="6" xfId="0" applyFont="1" applyFill="1" applyBorder="1" applyAlignment="1">
      <alignment horizontal="center" vertical="center"/>
    </xf>
    <xf numFmtId="0" fontId="7" fillId="15" borderId="7" xfId="0" applyFont="1" applyFill="1" applyBorder="1" applyAlignment="1">
      <alignment horizontal="center" vertical="center"/>
    </xf>
    <xf numFmtId="0" fontId="80" fillId="8" borderId="1"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1" xfId="0" applyFont="1" applyFill="1" applyBorder="1" applyAlignment="1">
      <alignment horizontal="center" vertical="center"/>
    </xf>
    <xf numFmtId="0" fontId="5" fillId="23" borderId="6" xfId="0" applyFont="1" applyFill="1" applyBorder="1" applyAlignment="1">
      <alignment horizontal="center" vertical="center"/>
    </xf>
    <xf numFmtId="0" fontId="5" fillId="23" borderId="7" xfId="0" applyFont="1" applyFill="1" applyBorder="1" applyAlignment="1">
      <alignment horizontal="center" vertical="center"/>
    </xf>
    <xf numFmtId="0" fontId="81" fillId="0" borderId="6" xfId="0" applyFont="1" applyFill="1" applyBorder="1" applyAlignment="1">
      <alignment horizontal="center" vertical="center"/>
    </xf>
    <xf numFmtId="0" fontId="81" fillId="0" borderId="7" xfId="0" applyFont="1" applyFill="1" applyBorder="1" applyAlignment="1">
      <alignment horizontal="center" vertical="center"/>
    </xf>
    <xf numFmtId="0" fontId="50" fillId="0" borderId="1" xfId="0" applyFont="1" applyFill="1" applyBorder="1" applyAlignment="1">
      <alignment horizontal="center" vertical="center" wrapText="1"/>
    </xf>
    <xf numFmtId="0" fontId="50" fillId="11" borderId="1" xfId="0" applyFont="1" applyFill="1" applyBorder="1" applyAlignment="1">
      <alignment horizontal="center" vertical="center" wrapText="1"/>
    </xf>
    <xf numFmtId="0" fontId="7" fillId="24" borderId="8" xfId="0" applyFont="1" applyFill="1" applyBorder="1" applyAlignment="1">
      <alignment horizontal="center" vertical="center"/>
    </xf>
    <xf numFmtId="0" fontId="82" fillId="5" borderId="6" xfId="10" applyFont="1" applyFill="1" applyBorder="1" applyAlignment="1">
      <alignment horizontal="center" vertical="center" wrapText="1"/>
    </xf>
    <xf numFmtId="0" fontId="7" fillId="15" borderId="8" xfId="0" applyFont="1" applyFill="1" applyBorder="1" applyAlignment="1">
      <alignment horizontal="center" vertical="center"/>
    </xf>
    <xf numFmtId="0" fontId="12" fillId="8" borderId="25" xfId="0" applyFont="1" applyFill="1" applyBorder="1" applyAlignment="1">
      <alignment horizontal="center" vertical="center"/>
    </xf>
    <xf numFmtId="0" fontId="2" fillId="8" borderId="9" xfId="0" applyFont="1" applyFill="1" applyBorder="1" applyAlignment="1">
      <alignment horizontal="center" vertical="center"/>
    </xf>
    <xf numFmtId="0" fontId="36" fillId="8" borderId="33" xfId="0" applyFont="1" applyFill="1" applyBorder="1" applyAlignment="1">
      <alignment horizontal="center" vertical="center"/>
    </xf>
    <xf numFmtId="0" fontId="2" fillId="8" borderId="0" xfId="0" applyFont="1" applyFill="1" applyBorder="1" applyAlignment="1">
      <alignment horizontal="center" vertical="center"/>
    </xf>
    <xf numFmtId="0" fontId="13" fillId="0" borderId="4" xfId="0" applyFont="1" applyFill="1" applyBorder="1" applyAlignment="1">
      <alignment horizontal="center" vertical="center"/>
    </xf>
    <xf numFmtId="0" fontId="39" fillId="0" borderId="6"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4" xfId="0" applyFont="1" applyFill="1" applyBorder="1" applyAlignment="1">
      <alignment horizontal="center" vertical="center"/>
    </xf>
    <xf numFmtId="0" fontId="81" fillId="0" borderId="8" xfId="0" applyFont="1" applyFill="1" applyBorder="1" applyAlignment="1">
      <alignment horizontal="center" vertical="center"/>
    </xf>
    <xf numFmtId="0" fontId="36" fillId="9" borderId="45" xfId="0" applyFont="1" applyFill="1" applyBorder="1" applyAlignment="1">
      <alignment horizontal="center" vertical="center"/>
    </xf>
    <xf numFmtId="0" fontId="50" fillId="0" borderId="8" xfId="0" applyFont="1" applyFill="1" applyBorder="1" applyAlignment="1">
      <alignment horizontal="center" vertical="center"/>
    </xf>
    <xf numFmtId="0" fontId="83" fillId="5" borderId="7" xfId="10" applyFont="1" applyFill="1" applyBorder="1" applyAlignment="1">
      <alignment horizontal="center" vertical="center" wrapText="1"/>
    </xf>
    <xf numFmtId="0" fontId="83" fillId="5" borderId="8" xfId="10" applyFont="1" applyFill="1" applyBorder="1" applyAlignment="1">
      <alignment horizontal="center" vertical="center" wrapText="1"/>
    </xf>
    <xf numFmtId="0" fontId="2" fillId="8" borderId="38" xfId="0" applyFont="1" applyFill="1" applyBorder="1" applyAlignment="1">
      <alignment horizontal="center" vertical="center"/>
    </xf>
    <xf numFmtId="0" fontId="13" fillId="0" borderId="5" xfId="0" applyFont="1" applyFill="1" applyBorder="1" applyAlignment="1">
      <alignment horizontal="center" vertical="center"/>
    </xf>
    <xf numFmtId="0" fontId="5" fillId="23" borderId="8" xfId="0" applyFont="1" applyFill="1" applyBorder="1" applyAlignment="1">
      <alignment horizontal="center" vertical="center"/>
    </xf>
    <xf numFmtId="0" fontId="40" fillId="5" borderId="5" xfId="0" applyFont="1" applyFill="1" applyBorder="1" applyAlignment="1">
      <alignment horizontal="center" vertical="center"/>
    </xf>
    <xf numFmtId="0" fontId="84" fillId="2" borderId="1" xfId="0" applyFont="1" applyFill="1" applyBorder="1" applyAlignment="1">
      <alignment horizontal="center" vertical="center" wrapText="1"/>
    </xf>
    <xf numFmtId="0" fontId="85" fillId="2" borderId="2" xfId="0" applyFont="1" applyFill="1" applyBorder="1" applyAlignment="1">
      <alignment horizontal="center" vertical="center"/>
    </xf>
    <xf numFmtId="0" fontId="85" fillId="2"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18" fillId="10" borderId="6" xfId="0" applyFont="1" applyFill="1" applyBorder="1" applyAlignment="1">
      <alignment horizontal="center" vertical="center"/>
    </xf>
    <xf numFmtId="0" fontId="18" fillId="10" borderId="8"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2" xfId="0" applyFont="1" applyFill="1" applyBorder="1" applyAlignment="1">
      <alignment horizontal="center" vertical="center"/>
    </xf>
    <xf numFmtId="0" fontId="17" fillId="0" borderId="2" xfId="0" applyFont="1" applyFill="1" applyBorder="1" applyAlignment="1">
      <alignment horizontal="center" vertical="center"/>
    </xf>
    <xf numFmtId="0" fontId="15" fillId="0" borderId="23" xfId="0" applyFont="1" applyFill="1" applyBorder="1" applyAlignment="1">
      <alignment horizontal="center" vertical="center"/>
    </xf>
    <xf numFmtId="0" fontId="16" fillId="0" borderId="23" xfId="0" applyFont="1" applyFill="1" applyBorder="1" applyAlignment="1">
      <alignment horizontal="center" vertical="center"/>
    </xf>
    <xf numFmtId="0" fontId="17" fillId="0" borderId="23" xfId="0" applyFont="1" applyFill="1" applyBorder="1" applyAlignment="1">
      <alignment horizontal="center" vertical="center"/>
    </xf>
    <xf numFmtId="0" fontId="86" fillId="12" borderId="3" xfId="0" applyFont="1" applyFill="1" applyBorder="1" applyAlignment="1">
      <alignment horizontal="center" vertical="center" wrapText="1"/>
    </xf>
    <xf numFmtId="0" fontId="86" fillId="12" borderId="4" xfId="0" applyFont="1" applyFill="1" applyBorder="1" applyAlignment="1">
      <alignment horizontal="center" vertical="center" wrapText="1"/>
    </xf>
    <xf numFmtId="0" fontId="86" fillId="5" borderId="1" xfId="0" applyFont="1" applyFill="1" applyBorder="1" applyAlignment="1">
      <alignment horizontal="center" vertical="center" wrapText="1"/>
    </xf>
    <xf numFmtId="0" fontId="7" fillId="25" borderId="6" xfId="0" applyFont="1" applyFill="1" applyBorder="1" applyAlignment="1">
      <alignment horizontal="center" vertical="center"/>
    </xf>
    <xf numFmtId="0" fontId="7" fillId="25" borderId="7" xfId="0" applyFont="1" applyFill="1" applyBorder="1" applyAlignment="1">
      <alignment horizontal="center" vertical="center"/>
    </xf>
    <xf numFmtId="0" fontId="7" fillId="26" borderId="6" xfId="0" applyFont="1" applyFill="1" applyBorder="1" applyAlignment="1">
      <alignment horizontal="center" vertical="center"/>
    </xf>
    <xf numFmtId="0" fontId="7" fillId="26" borderId="7" xfId="0" applyFont="1" applyFill="1" applyBorder="1" applyAlignment="1">
      <alignment horizontal="center" vertical="center"/>
    </xf>
    <xf numFmtId="0" fontId="5" fillId="4" borderId="0" xfId="0" applyFont="1" applyFill="1" applyAlignment="1">
      <alignment horizontal="center" vertical="center"/>
    </xf>
    <xf numFmtId="0" fontId="87" fillId="17" borderId="9" xfId="0" applyFont="1" applyFill="1" applyBorder="1" applyAlignment="1">
      <alignment horizontal="center" vertical="center"/>
    </xf>
    <xf numFmtId="0" fontId="87" fillId="17" borderId="0" xfId="0" applyFont="1" applyFill="1" applyAlignment="1">
      <alignment horizontal="center" vertical="center"/>
    </xf>
    <xf numFmtId="0" fontId="26" fillId="24" borderId="1" xfId="0" applyFont="1" applyFill="1" applyBorder="1" applyAlignment="1">
      <alignment horizontal="center" vertical="center"/>
    </xf>
    <xf numFmtId="0" fontId="26" fillId="24" borderId="6" xfId="0" applyFont="1" applyFill="1" applyBorder="1" applyAlignment="1">
      <alignment horizontal="center" vertical="center"/>
    </xf>
    <xf numFmtId="0" fontId="12" fillId="24" borderId="10" xfId="0" applyFont="1" applyFill="1" applyBorder="1" applyAlignment="1">
      <alignment horizontal="center" vertical="center"/>
    </xf>
    <xf numFmtId="0" fontId="12" fillId="24" borderId="11" xfId="0" applyFont="1" applyFill="1" applyBorder="1" applyAlignment="1">
      <alignment horizontal="center" vertical="center"/>
    </xf>
    <xf numFmtId="0" fontId="88" fillId="5" borderId="1" xfId="0" applyFont="1" applyFill="1" applyBorder="1" applyAlignment="1">
      <alignment horizontal="center" vertical="center"/>
    </xf>
    <xf numFmtId="0" fontId="89" fillId="12" borderId="6" xfId="0" applyFont="1" applyFill="1" applyBorder="1" applyAlignment="1">
      <alignment horizontal="center" vertical="center"/>
    </xf>
    <xf numFmtId="0" fontId="11" fillId="11" borderId="2" xfId="0" applyFont="1" applyFill="1" applyBorder="1" applyAlignment="1">
      <alignment horizontal="center" vertical="center"/>
    </xf>
    <xf numFmtId="0" fontId="14" fillId="11" borderId="2" xfId="0" applyFont="1" applyFill="1" applyBorder="1" applyAlignment="1">
      <alignment horizontal="center" vertical="center"/>
    </xf>
    <xf numFmtId="0" fontId="15" fillId="11" borderId="2" xfId="0" applyFont="1" applyFill="1" applyBorder="1" applyAlignment="1">
      <alignment horizontal="center" vertical="center"/>
    </xf>
    <xf numFmtId="0" fontId="16" fillId="11" borderId="2" xfId="0" applyFont="1" applyFill="1" applyBorder="1" applyAlignment="1">
      <alignment horizontal="center" vertical="center"/>
    </xf>
    <xf numFmtId="0" fontId="17" fillId="11" borderId="2" xfId="0" applyFont="1" applyFill="1" applyBorder="1" applyAlignment="1">
      <alignment horizontal="center" vertical="center"/>
    </xf>
    <xf numFmtId="0" fontId="90" fillId="15" borderId="1" xfId="0" applyFont="1" applyFill="1" applyBorder="1" applyAlignment="1">
      <alignment horizontal="center" vertical="center"/>
    </xf>
    <xf numFmtId="0" fontId="26" fillId="0" borderId="1"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43" fillId="10" borderId="6" xfId="0" applyFont="1" applyFill="1" applyBorder="1" applyAlignment="1">
      <alignment horizontal="center" vertical="center"/>
    </xf>
    <xf numFmtId="0" fontId="91" fillId="11" borderId="3" xfId="0" applyFont="1" applyFill="1" applyBorder="1" applyAlignment="1">
      <alignment horizontal="center" vertical="center" wrapText="1"/>
    </xf>
    <xf numFmtId="0" fontId="91" fillId="11" borderId="4" xfId="0" applyFont="1" applyFill="1" applyBorder="1" applyAlignment="1">
      <alignment horizontal="center" vertical="center" wrapText="1"/>
    </xf>
    <xf numFmtId="0" fontId="38" fillId="0" borderId="2" xfId="0" applyFont="1" applyFill="1" applyBorder="1" applyAlignment="1">
      <alignment horizontal="center" vertical="center"/>
    </xf>
    <xf numFmtId="0" fontId="39" fillId="0" borderId="2" xfId="0" applyFont="1" applyFill="1" applyBorder="1" applyAlignment="1">
      <alignment horizontal="center" vertical="center"/>
    </xf>
    <xf numFmtId="0" fontId="91" fillId="11" borderId="9" xfId="0" applyFont="1" applyFill="1" applyBorder="1" applyAlignment="1">
      <alignment horizontal="center" vertical="center" wrapText="1"/>
    </xf>
    <xf numFmtId="0" fontId="91" fillId="11" borderId="0" xfId="0" applyFont="1" applyFill="1" applyAlignment="1">
      <alignment horizontal="center" vertical="center" wrapText="1"/>
    </xf>
    <xf numFmtId="0" fontId="91" fillId="24" borderId="6" xfId="0" applyFont="1" applyFill="1" applyBorder="1" applyAlignment="1">
      <alignment horizontal="center" vertical="center" wrapText="1"/>
    </xf>
    <xf numFmtId="0" fontId="91" fillId="24" borderId="7" xfId="0" applyFont="1" applyFill="1" applyBorder="1" applyAlignment="1">
      <alignment horizontal="center" vertical="center" wrapText="1"/>
    </xf>
    <xf numFmtId="0" fontId="38" fillId="0" borderId="23" xfId="0" applyFont="1" applyFill="1" applyBorder="1" applyAlignment="1">
      <alignment horizontal="center" vertical="center"/>
    </xf>
    <xf numFmtId="0" fontId="39" fillId="0" borderId="23" xfId="0" applyFont="1" applyFill="1" applyBorder="1" applyAlignment="1">
      <alignment horizontal="center" vertical="center"/>
    </xf>
    <xf numFmtId="0" fontId="58" fillId="27" borderId="6" xfId="0" applyFont="1" applyFill="1" applyBorder="1" applyAlignment="1">
      <alignment horizontal="center" vertical="center"/>
    </xf>
    <xf numFmtId="0" fontId="58" fillId="27" borderId="7" xfId="0" applyFont="1" applyFill="1" applyBorder="1" applyAlignment="1">
      <alignment horizontal="center" vertical="center"/>
    </xf>
    <xf numFmtId="0" fontId="19" fillId="5" borderId="6" xfId="0" applyFont="1" applyFill="1" applyBorder="1" applyAlignment="1">
      <alignment horizontal="center" vertical="center" wrapText="1"/>
    </xf>
    <xf numFmtId="0" fontId="92" fillId="0" borderId="3" xfId="0" applyFont="1" applyFill="1" applyBorder="1" applyAlignment="1">
      <alignment horizontal="center" vertical="center" wrapText="1"/>
    </xf>
    <xf numFmtId="0" fontId="92" fillId="0" borderId="4" xfId="0" applyFont="1" applyFill="1" applyBorder="1" applyAlignment="1">
      <alignment horizontal="center" vertical="center"/>
    </xf>
    <xf numFmtId="0" fontId="92" fillId="0" borderId="18" xfId="0" applyFont="1" applyFill="1" applyBorder="1" applyAlignment="1">
      <alignment horizontal="center" vertical="center"/>
    </xf>
    <xf numFmtId="0" fontId="92" fillId="0" borderId="20" xfId="0" applyFont="1" applyFill="1" applyBorder="1" applyAlignment="1">
      <alignment horizontal="center" vertical="center"/>
    </xf>
    <xf numFmtId="0" fontId="7" fillId="25" borderId="8" xfId="0" applyFont="1" applyFill="1" applyBorder="1" applyAlignment="1">
      <alignment horizontal="center" vertical="center"/>
    </xf>
    <xf numFmtId="0" fontId="40" fillId="5" borderId="18" xfId="0" applyFont="1" applyFill="1" applyBorder="1" applyAlignment="1">
      <alignment horizontal="center" vertical="center"/>
    </xf>
    <xf numFmtId="0" fontId="40" fillId="5" borderId="20" xfId="0" applyFont="1" applyFill="1" applyBorder="1" applyAlignment="1">
      <alignment horizontal="center" vertical="center"/>
    </xf>
    <xf numFmtId="0" fontId="7" fillId="26" borderId="8" xfId="0" applyFont="1" applyFill="1" applyBorder="1" applyAlignment="1">
      <alignment horizontal="center" vertical="center"/>
    </xf>
    <xf numFmtId="0" fontId="93" fillId="0" borderId="3" xfId="0" applyFont="1" applyFill="1" applyBorder="1" applyAlignment="1">
      <alignment horizontal="center" vertical="center"/>
    </xf>
    <xf numFmtId="0" fontId="2" fillId="8" borderId="27" xfId="0" applyFont="1" applyFill="1" applyBorder="1" applyAlignment="1">
      <alignment vertical="center"/>
    </xf>
    <xf numFmtId="0" fontId="2" fillId="8" borderId="29" xfId="0" applyFont="1" applyFill="1" applyBorder="1" applyAlignment="1">
      <alignment vertical="center"/>
    </xf>
    <xf numFmtId="0" fontId="12" fillId="24" borderId="25" xfId="0" applyFont="1" applyFill="1" applyBorder="1" applyAlignment="1">
      <alignment horizontal="center" vertical="center"/>
    </xf>
    <xf numFmtId="0" fontId="2" fillId="24" borderId="9" xfId="0" applyFont="1" applyFill="1" applyBorder="1" applyAlignment="1">
      <alignment horizontal="center" vertical="center"/>
    </xf>
    <xf numFmtId="0" fontId="36" fillId="24" borderId="33" xfId="0" applyFont="1" applyFill="1" applyBorder="1" applyAlignment="1">
      <alignment horizontal="center" vertical="center"/>
    </xf>
    <xf numFmtId="0" fontId="2" fillId="24" borderId="0" xfId="0" applyFont="1" applyFill="1" applyBorder="1" applyAlignment="1">
      <alignment horizontal="center" vertical="center"/>
    </xf>
    <xf numFmtId="0" fontId="37" fillId="24" borderId="10" xfId="0" applyFont="1" applyFill="1" applyBorder="1" applyAlignment="1">
      <alignment horizontal="center" vertical="center"/>
    </xf>
    <xf numFmtId="0" fontId="37" fillId="24" borderId="25" xfId="0" applyFont="1" applyFill="1" applyBorder="1" applyAlignment="1">
      <alignment horizontal="center" vertical="center"/>
    </xf>
    <xf numFmtId="0" fontId="11" fillId="0" borderId="20" xfId="0" applyFont="1" applyFill="1" applyBorder="1" applyAlignment="1">
      <alignment horizontal="center" vertical="center"/>
    </xf>
    <xf numFmtId="0" fontId="39" fillId="5" borderId="6" xfId="0" applyFont="1" applyFill="1" applyBorder="1" applyAlignment="1">
      <alignment horizontal="center" vertical="center"/>
    </xf>
    <xf numFmtId="0" fontId="38" fillId="11" borderId="2" xfId="0" applyFont="1" applyFill="1" applyBorder="1" applyAlignment="1">
      <alignment horizontal="center" vertical="center"/>
    </xf>
    <xf numFmtId="0" fontId="39" fillId="11" borderId="3" xfId="0" applyFont="1" applyFill="1" applyBorder="1" applyAlignment="1">
      <alignment horizontal="center" vertical="center"/>
    </xf>
    <xf numFmtId="0" fontId="2" fillId="0" borderId="8" xfId="0" applyFont="1" applyFill="1" applyBorder="1" applyAlignment="1">
      <alignment horizontal="center" vertical="center"/>
    </xf>
    <xf numFmtId="0" fontId="91" fillId="11" borderId="5" xfId="0" applyFont="1" applyFill="1" applyBorder="1" applyAlignment="1">
      <alignment horizontal="center" vertical="center" wrapText="1"/>
    </xf>
    <xf numFmtId="0" fontId="91" fillId="11" borderId="38" xfId="0" applyFont="1" applyFill="1" applyBorder="1" applyAlignment="1">
      <alignment horizontal="center" vertical="center" wrapText="1"/>
    </xf>
    <xf numFmtId="0" fontId="91" fillId="24" borderId="8" xfId="0" applyFont="1" applyFill="1" applyBorder="1" applyAlignment="1">
      <alignment horizontal="center" vertical="center" wrapText="1"/>
    </xf>
    <xf numFmtId="0" fontId="58" fillId="27" borderId="8" xfId="0" applyFont="1" applyFill="1" applyBorder="1" applyAlignment="1">
      <alignment horizontal="center" vertical="center"/>
    </xf>
    <xf numFmtId="0" fontId="86" fillId="12" borderId="5" xfId="0" applyFont="1" applyFill="1" applyBorder="1" applyAlignment="1">
      <alignment horizontal="center" vertical="center" wrapText="1"/>
    </xf>
    <xf numFmtId="0" fontId="19" fillId="5" borderId="7"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92" fillId="0" borderId="5" xfId="0" applyFont="1" applyFill="1" applyBorder="1" applyAlignment="1">
      <alignment horizontal="center" vertical="center"/>
    </xf>
    <xf numFmtId="0" fontId="92" fillId="0" borderId="19" xfId="0" applyFont="1" applyFill="1" applyBorder="1" applyAlignment="1">
      <alignment horizontal="center" vertical="center"/>
    </xf>
    <xf numFmtId="0" fontId="40" fillId="5" borderId="19" xfId="0" applyFont="1" applyFill="1" applyBorder="1" applyAlignment="1">
      <alignment horizontal="center" vertical="center"/>
    </xf>
    <xf numFmtId="0" fontId="87" fillId="17" borderId="38" xfId="0" applyFont="1" applyFill="1" applyBorder="1" applyAlignment="1">
      <alignment horizontal="center" vertical="center"/>
    </xf>
    <xf numFmtId="0" fontId="2" fillId="8" borderId="40" xfId="0" applyFont="1" applyFill="1" applyBorder="1" applyAlignment="1">
      <alignment vertical="center"/>
    </xf>
    <xf numFmtId="0" fontId="45" fillId="24" borderId="39" xfId="0" applyFont="1" applyFill="1" applyBorder="1" applyAlignment="1">
      <alignment horizontal="center" vertical="center"/>
    </xf>
    <xf numFmtId="0" fontId="37" fillId="24" borderId="11" xfId="0" applyFont="1" applyFill="1" applyBorder="1" applyAlignment="1">
      <alignment horizontal="center" vertical="center"/>
    </xf>
    <xf numFmtId="0" fontId="2" fillId="24" borderId="38" xfId="0" applyFont="1" applyFill="1" applyBorder="1" applyAlignment="1">
      <alignment horizontal="center" vertical="center"/>
    </xf>
    <xf numFmtId="0" fontId="43" fillId="24" borderId="1" xfId="0" applyFont="1" applyFill="1" applyBorder="1" applyAlignment="1">
      <alignment horizontal="center" vertical="center"/>
    </xf>
    <xf numFmtId="0" fontId="11" fillId="0" borderId="19" xfId="0" applyFont="1" applyFill="1" applyBorder="1" applyAlignment="1">
      <alignment horizontal="center" vertical="center"/>
    </xf>
    <xf numFmtId="0" fontId="94" fillId="0" borderId="6" xfId="0" applyFont="1" applyFill="1" applyBorder="1" applyAlignment="1">
      <alignment horizontal="center" vertical="center"/>
    </xf>
    <xf numFmtId="0" fontId="94" fillId="0" borderId="7" xfId="0" applyFont="1" applyFill="1" applyBorder="1" applyAlignment="1">
      <alignment horizontal="center" vertical="center"/>
    </xf>
    <xf numFmtId="0" fontId="11" fillId="28" borderId="1" xfId="0" applyFont="1" applyFill="1" applyBorder="1" applyAlignment="1">
      <alignment horizontal="center" vertical="center"/>
    </xf>
    <xf numFmtId="0" fontId="95" fillId="0" borderId="1" xfId="0" applyFont="1" applyFill="1" applyBorder="1" applyAlignment="1">
      <alignment horizontal="center" vertical="center"/>
    </xf>
    <xf numFmtId="0" fontId="11" fillId="20" borderId="1" xfId="0" applyFont="1" applyFill="1" applyBorder="1" applyAlignment="1">
      <alignment horizontal="center" vertical="center"/>
    </xf>
    <xf numFmtId="0" fontId="19" fillId="0" borderId="1" xfId="0" applyFont="1" applyFill="1" applyBorder="1" applyAlignment="1">
      <alignment horizontal="center" vertical="center"/>
    </xf>
    <xf numFmtId="0" fontId="94" fillId="0" borderId="8" xfId="0" applyFont="1" applyFill="1" applyBorder="1" applyAlignment="1">
      <alignment horizontal="center" vertical="center"/>
    </xf>
    <xf numFmtId="0" fontId="13" fillId="5" borderId="4" xfId="0" applyFont="1" applyFill="1" applyBorder="1" applyAlignment="1">
      <alignment horizontal="center" vertical="center"/>
    </xf>
    <xf numFmtId="0" fontId="39" fillId="11" borderId="2" xfId="0" applyFont="1" applyFill="1" applyBorder="1" applyAlignment="1">
      <alignment horizontal="center" vertical="center"/>
    </xf>
    <xf numFmtId="0" fontId="0" fillId="0" borderId="1" xfId="0" applyFill="1" applyBorder="1" applyAlignment="1">
      <alignment horizontal="center" vertical="center"/>
    </xf>
    <xf numFmtId="0" fontId="13" fillId="5" borderId="5" xfId="0" applyFont="1" applyFill="1" applyBorder="1" applyAlignment="1">
      <alignment horizontal="center" vertical="center"/>
    </xf>
    <xf numFmtId="0" fontId="11" fillId="28" borderId="6" xfId="0" applyFont="1" applyFill="1" applyBorder="1" applyAlignment="1">
      <alignment horizontal="center" vertical="center"/>
    </xf>
    <xf numFmtId="0" fontId="11" fillId="28" borderId="8" xfId="0" applyFont="1" applyFill="1" applyBorder="1" applyAlignment="1">
      <alignment horizontal="center" vertical="center"/>
    </xf>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20" borderId="6" xfId="0" applyFont="1" applyFill="1" applyBorder="1" applyAlignment="1">
      <alignment horizontal="center" vertical="center"/>
    </xf>
    <xf numFmtId="0" fontId="11" fillId="20" borderId="7" xfId="0" applyFont="1" applyFill="1" applyBorder="1" applyAlignment="1">
      <alignment horizontal="center" vertical="center"/>
    </xf>
    <xf numFmtId="0" fontId="11" fillId="20" borderId="8" xfId="0" applyFont="1" applyFill="1" applyBorder="1" applyAlignment="1">
      <alignment horizontal="center" vertical="center"/>
    </xf>
    <xf numFmtId="0" fontId="11" fillId="8" borderId="7" xfId="0" applyFont="1" applyFill="1" applyBorder="1" applyAlignment="1">
      <alignment horizontal="center" vertical="center"/>
    </xf>
    <xf numFmtId="0" fontId="11" fillId="8" borderId="4" xfId="0" applyFont="1" applyFill="1" applyBorder="1" applyAlignment="1">
      <alignment horizontal="center" vertical="center"/>
    </xf>
    <xf numFmtId="0" fontId="12" fillId="8" borderId="48" xfId="0" applyFont="1" applyFill="1" applyBorder="1" applyAlignment="1">
      <alignment horizontal="center" vertical="center"/>
    </xf>
    <xf numFmtId="0" fontId="12" fillId="8" borderId="49" xfId="0" applyFont="1" applyFill="1" applyBorder="1" applyAlignment="1">
      <alignment horizontal="center" vertical="center"/>
    </xf>
    <xf numFmtId="0" fontId="12" fillId="0" borderId="48" xfId="0" applyFont="1" applyFill="1" applyBorder="1" applyAlignment="1">
      <alignment horizontal="center" vertical="center"/>
    </xf>
    <xf numFmtId="0" fontId="12" fillId="0" borderId="49" xfId="0" applyFont="1" applyFill="1" applyBorder="1" applyAlignment="1">
      <alignment horizontal="center" vertical="center"/>
    </xf>
    <xf numFmtId="0" fontId="27" fillId="5" borderId="23" xfId="0" applyFont="1" applyFill="1" applyBorder="1" applyAlignment="1">
      <alignment horizontal="center" vertical="center"/>
    </xf>
    <xf numFmtId="0" fontId="27" fillId="5" borderId="3" xfId="0" applyFont="1" applyFill="1" applyBorder="1" applyAlignment="1">
      <alignment horizontal="center" vertical="center"/>
    </xf>
    <xf numFmtId="0" fontId="12" fillId="5" borderId="48" xfId="0" applyFont="1" applyFill="1" applyBorder="1" applyAlignment="1">
      <alignment horizontal="center" vertical="center"/>
    </xf>
    <xf numFmtId="0" fontId="12" fillId="5" borderId="49" xfId="0" applyFont="1" applyFill="1" applyBorder="1" applyAlignment="1">
      <alignment horizontal="center" vertical="center"/>
    </xf>
    <xf numFmtId="0" fontId="58" fillId="29" borderId="1" xfId="0" applyFont="1" applyFill="1" applyBorder="1" applyAlignment="1">
      <alignment horizontal="center" vertical="center" wrapText="1"/>
    </xf>
    <xf numFmtId="0" fontId="58" fillId="29" borderId="1" xfId="0" applyFont="1" applyFill="1" applyBorder="1" applyAlignment="1">
      <alignment horizontal="center" vertical="center"/>
    </xf>
    <xf numFmtId="0" fontId="96" fillId="5" borderId="1" xfId="0" applyFont="1" applyFill="1" applyBorder="1" applyAlignment="1">
      <alignment horizontal="center" vertical="center"/>
    </xf>
    <xf numFmtId="0" fontId="96" fillId="5" borderId="9" xfId="0" applyFont="1" applyFill="1" applyBorder="1" applyAlignment="1">
      <alignment horizontal="center" vertical="center"/>
    </xf>
    <xf numFmtId="0" fontId="96" fillId="5" borderId="0" xfId="0" applyFont="1" applyFill="1" applyBorder="1" applyAlignment="1">
      <alignment horizontal="center" vertical="center"/>
    </xf>
    <xf numFmtId="0" fontId="97" fillId="5" borderId="7" xfId="0" applyFont="1" applyFill="1" applyBorder="1" applyAlignment="1">
      <alignment horizontal="center" vertical="center"/>
    </xf>
    <xf numFmtId="0" fontId="50" fillId="4" borderId="9" xfId="0" applyFont="1" applyFill="1" applyBorder="1" applyAlignment="1">
      <alignment horizontal="center" vertical="center"/>
    </xf>
    <xf numFmtId="0" fontId="50" fillId="4" borderId="0" xfId="0" applyFont="1" applyFill="1" applyAlignment="1">
      <alignment horizontal="center" vertical="center"/>
    </xf>
    <xf numFmtId="0" fontId="11" fillId="5" borderId="43"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86" fillId="5" borderId="1" xfId="0" applyFont="1" applyFill="1" applyBorder="1" applyAlignment="1">
      <alignment horizontal="center" vertical="center"/>
    </xf>
    <xf numFmtId="0" fontId="98" fillId="5" borderId="6" xfId="0" applyFont="1" applyFill="1" applyBorder="1" applyAlignment="1">
      <alignment horizontal="center" vertical="center" wrapText="1"/>
    </xf>
    <xf numFmtId="0" fontId="36" fillId="5" borderId="36" xfId="0" applyFont="1" applyFill="1" applyBorder="1" applyAlignment="1">
      <alignment horizontal="center" vertical="center"/>
    </xf>
    <xf numFmtId="0" fontId="2" fillId="8" borderId="7" xfId="0" applyFont="1" applyFill="1" applyBorder="1" applyAlignment="1">
      <alignment horizontal="center" vertical="center"/>
    </xf>
    <xf numFmtId="0" fontId="12" fillId="8" borderId="50" xfId="0" applyFont="1" applyFill="1" applyBorder="1" applyAlignment="1">
      <alignment horizontal="center" vertical="center"/>
    </xf>
    <xf numFmtId="0" fontId="12" fillId="8" borderId="51" xfId="0" applyFont="1" applyFill="1" applyBorder="1" applyAlignment="1">
      <alignment horizontal="center" vertical="center"/>
    </xf>
    <xf numFmtId="0" fontId="12"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36" fillId="0" borderId="45" xfId="0" applyFont="1" applyFill="1" applyBorder="1" applyAlignment="1">
      <alignment horizontal="center" vertical="center"/>
    </xf>
    <xf numFmtId="0" fontId="2" fillId="0" borderId="4" xfId="0" applyFont="1" applyFill="1" applyBorder="1" applyAlignment="1">
      <alignment horizontal="center" vertical="center"/>
    </xf>
    <xf numFmtId="0" fontId="2" fillId="8" borderId="52" xfId="0" applyFont="1" applyFill="1" applyBorder="1" applyAlignment="1">
      <alignment horizontal="center" vertical="center"/>
    </xf>
    <xf numFmtId="0" fontId="12" fillId="5" borderId="50" xfId="0" applyFont="1" applyFill="1" applyBorder="1" applyAlignment="1">
      <alignment horizontal="center" vertical="center"/>
    </xf>
    <xf numFmtId="0" fontId="12" fillId="5" borderId="51" xfId="0" applyFont="1" applyFill="1" applyBorder="1" applyAlignment="1">
      <alignment horizontal="center" vertical="center"/>
    </xf>
    <xf numFmtId="0" fontId="36" fillId="8" borderId="33" xfId="0" applyNumberFormat="1" applyFont="1" applyFill="1" applyBorder="1" applyAlignment="1">
      <alignment horizontal="center" vertical="center"/>
    </xf>
    <xf numFmtId="0" fontId="2" fillId="8" borderId="7" xfId="0" applyNumberFormat="1" applyFont="1" applyFill="1" applyBorder="1" applyAlignment="1">
      <alignment horizontal="center" vertical="center"/>
    </xf>
    <xf numFmtId="0" fontId="28" fillId="0" borderId="3" xfId="0" applyFont="1" applyFill="1" applyBorder="1" applyAlignment="1">
      <alignment horizontal="center" vertical="center"/>
    </xf>
    <xf numFmtId="0" fontId="98" fillId="0" borderId="6" xfId="0" applyFont="1" applyFill="1" applyBorder="1" applyAlignment="1">
      <alignment horizontal="center" vertical="center" wrapText="1"/>
    </xf>
    <xf numFmtId="0" fontId="47" fillId="7" borderId="6" xfId="0" applyFont="1" applyFill="1" applyBorder="1" applyAlignment="1">
      <alignment vertical="center"/>
    </xf>
    <xf numFmtId="0" fontId="13" fillId="5" borderId="7" xfId="0" applyFont="1" applyFill="1" applyBorder="1" applyAlignment="1">
      <alignment horizontal="center" vertical="center"/>
    </xf>
    <xf numFmtId="0" fontId="12" fillId="0" borderId="35" xfId="0" applyFont="1" applyFill="1" applyBorder="1" applyAlignment="1">
      <alignment horizontal="center" vertical="center"/>
    </xf>
    <xf numFmtId="0" fontId="36" fillId="0" borderId="36" xfId="0" applyFont="1" applyFill="1" applyBorder="1" applyAlignment="1">
      <alignment horizontal="center" vertical="center"/>
    </xf>
    <xf numFmtId="0" fontId="37" fillId="0" borderId="21" xfId="0" applyFont="1" applyFill="1" applyBorder="1" applyAlignment="1">
      <alignment horizontal="center" vertical="center"/>
    </xf>
    <xf numFmtId="0" fontId="37" fillId="0" borderId="35" xfId="0" applyFont="1" applyFill="1" applyBorder="1" applyAlignment="1">
      <alignment horizontal="center" vertical="center"/>
    </xf>
    <xf numFmtId="0" fontId="90" fillId="5" borderId="7" xfId="0" applyFont="1" applyFill="1" applyBorder="1" applyAlignment="1">
      <alignment horizontal="center" vertical="center" wrapText="1"/>
    </xf>
    <xf numFmtId="0" fontId="90" fillId="5" borderId="8" xfId="0" applyFont="1" applyFill="1" applyBorder="1" applyAlignment="1">
      <alignment horizontal="center" vertical="center" wrapText="1"/>
    </xf>
    <xf numFmtId="0" fontId="2" fillId="8" borderId="8" xfId="0" applyFont="1" applyFill="1" applyBorder="1" applyAlignment="1">
      <alignment horizontal="center" vertical="center"/>
    </xf>
    <xf numFmtId="0" fontId="2" fillId="0" borderId="5" xfId="0" applyFont="1" applyFill="1" applyBorder="1" applyAlignment="1">
      <alignment horizontal="center" vertical="center"/>
    </xf>
    <xf numFmtId="0" fontId="2" fillId="8" borderId="53" xfId="0" applyFont="1" applyFill="1" applyBorder="1" applyAlignment="1">
      <alignment horizontal="center" vertical="center"/>
    </xf>
    <xf numFmtId="0" fontId="2" fillId="8" borderId="8" xfId="0" applyNumberFormat="1" applyFont="1" applyFill="1" applyBorder="1" applyAlignment="1">
      <alignment horizontal="center" vertical="center"/>
    </xf>
    <xf numFmtId="0" fontId="96" fillId="5" borderId="38" xfId="0" applyFont="1" applyFill="1" applyBorder="1" applyAlignment="1">
      <alignment horizontal="center" vertical="center"/>
    </xf>
    <xf numFmtId="0" fontId="50" fillId="4" borderId="38" xfId="0" applyFont="1" applyFill="1" applyBorder="1" applyAlignment="1">
      <alignment horizontal="center" vertical="center"/>
    </xf>
    <xf numFmtId="0" fontId="90" fillId="0" borderId="7" xfId="0" applyFont="1" applyFill="1" applyBorder="1" applyAlignment="1">
      <alignment horizontal="center" vertical="center" wrapText="1"/>
    </xf>
    <xf numFmtId="0" fontId="90" fillId="0" borderId="8" xfId="0" applyFont="1" applyFill="1" applyBorder="1" applyAlignment="1">
      <alignment horizontal="center" vertical="center" wrapText="1"/>
    </xf>
    <xf numFmtId="0" fontId="35" fillId="16" borderId="7" xfId="0" applyFont="1" applyFill="1" applyBorder="1" applyAlignment="1">
      <alignment vertical="center"/>
    </xf>
    <xf numFmtId="0" fontId="35" fillId="7" borderId="7" xfId="0" applyFont="1" applyFill="1" applyBorder="1" applyAlignment="1">
      <alignment vertical="center"/>
    </xf>
    <xf numFmtId="0" fontId="99" fillId="15" borderId="7" xfId="0" applyFont="1" applyFill="1" applyBorder="1" applyAlignment="1">
      <alignment vertical="center"/>
    </xf>
    <xf numFmtId="0" fontId="34" fillId="15" borderId="1" xfId="0" applyFont="1" applyFill="1" applyBorder="1" applyAlignment="1">
      <alignment horizontal="center" vertical="center"/>
    </xf>
    <xf numFmtId="0" fontId="13" fillId="5" borderId="8" xfId="0" applyFont="1" applyFill="1" applyBorder="1" applyAlignment="1">
      <alignment horizontal="center" vertical="center"/>
    </xf>
    <xf numFmtId="0" fontId="45" fillId="0" borderId="42" xfId="0" applyFont="1" applyFill="1" applyBorder="1" applyAlignment="1">
      <alignment horizontal="center" vertical="center"/>
    </xf>
    <xf numFmtId="0" fontId="37" fillId="0" borderId="22" xfId="0" applyFont="1" applyFill="1" applyBorder="1" applyAlignment="1">
      <alignment horizontal="center" vertical="center"/>
    </xf>
    <xf numFmtId="0" fontId="43" fillId="0" borderId="43" xfId="0" applyFont="1" applyFill="1" applyBorder="1" applyAlignment="1">
      <alignment horizontal="center" vertical="center"/>
    </xf>
    <xf numFmtId="0" fontId="100" fillId="9" borderId="25" xfId="0" applyFont="1" applyFill="1" applyBorder="1" applyAlignment="1">
      <alignment horizontal="center" vertical="center"/>
    </xf>
    <xf numFmtId="0" fontId="101" fillId="2" borderId="1" xfId="0" applyFont="1" applyFill="1" applyBorder="1" applyAlignment="1">
      <alignment horizontal="center" vertical="center" wrapText="1"/>
    </xf>
    <xf numFmtId="0" fontId="102" fillId="2" borderId="2" xfId="0" applyFont="1" applyFill="1" applyBorder="1" applyAlignment="1">
      <alignment horizontal="center" vertical="center"/>
    </xf>
    <xf numFmtId="0" fontId="102" fillId="2" borderId="1" xfId="0" applyFont="1" applyFill="1" applyBorder="1" applyAlignment="1">
      <alignment horizontal="center" vertical="center"/>
    </xf>
    <xf numFmtId="0" fontId="28" fillId="30" borderId="6" xfId="0" applyFont="1" applyFill="1" applyBorder="1" applyAlignment="1">
      <alignment horizontal="center" vertical="center"/>
    </xf>
    <xf numFmtId="0" fontId="11" fillId="30" borderId="7" xfId="0" applyFont="1" applyFill="1" applyBorder="1" applyAlignment="1">
      <alignment horizontal="center" vertical="center"/>
    </xf>
    <xf numFmtId="0" fontId="12" fillId="30" borderId="14" xfId="0" applyFont="1" applyFill="1" applyBorder="1" applyAlignment="1">
      <alignment horizontal="center" vertical="center"/>
    </xf>
    <xf numFmtId="0" fontId="12" fillId="30" borderId="15" xfId="0" applyFont="1" applyFill="1" applyBorder="1" applyAlignment="1">
      <alignment horizontal="center" vertical="center"/>
    </xf>
    <xf numFmtId="0" fontId="103" fillId="5" borderId="1" xfId="0" applyFont="1" applyFill="1" applyBorder="1" applyAlignment="1">
      <alignment horizontal="center" vertical="center"/>
    </xf>
    <xf numFmtId="0" fontId="104"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105" fillId="15" borderId="1" xfId="0" applyFont="1" applyFill="1" applyBorder="1" applyAlignment="1">
      <alignment horizontal="center" vertical="center"/>
    </xf>
    <xf numFmtId="0" fontId="22" fillId="31" borderId="1" xfId="0" applyFont="1" applyFill="1" applyBorder="1" applyAlignment="1">
      <alignment horizontal="center" vertical="center"/>
    </xf>
    <xf numFmtId="0" fontId="9" fillId="31" borderId="1" xfId="0" applyFont="1" applyFill="1" applyBorder="1" applyAlignment="1">
      <alignment horizontal="center" vertical="center"/>
    </xf>
    <xf numFmtId="0" fontId="23" fillId="31" borderId="1" xfId="0" applyFont="1" applyFill="1" applyBorder="1" applyAlignment="1">
      <alignment horizontal="center" vertical="center"/>
    </xf>
    <xf numFmtId="0" fontId="24" fillId="31" borderId="1" xfId="0" applyFont="1" applyFill="1" applyBorder="1" applyAlignment="1">
      <alignment horizontal="center" vertical="center"/>
    </xf>
    <xf numFmtId="0" fontId="106" fillId="32" borderId="1" xfId="0" applyFont="1" applyFill="1" applyBorder="1" applyAlignment="1">
      <alignment horizontal="center" vertical="center"/>
    </xf>
    <xf numFmtId="0" fontId="107" fillId="33" borderId="1" xfId="0" applyFont="1" applyFill="1" applyBorder="1" applyAlignment="1">
      <alignment horizontal="center" vertical="center"/>
    </xf>
    <xf numFmtId="0" fontId="108" fillId="33" borderId="1" xfId="0" applyFont="1" applyFill="1" applyBorder="1" applyAlignment="1">
      <alignment horizontal="center" vertical="center"/>
    </xf>
    <xf numFmtId="0" fontId="109" fillId="33" borderId="1" xfId="0" applyFont="1" applyFill="1" applyBorder="1" applyAlignment="1">
      <alignment horizontal="center" vertical="center"/>
    </xf>
    <xf numFmtId="0" fontId="110" fillId="33" borderId="1" xfId="0" applyFont="1" applyFill="1" applyBorder="1" applyAlignment="1">
      <alignment horizontal="center" vertical="center"/>
    </xf>
    <xf numFmtId="0" fontId="106" fillId="31" borderId="1" xfId="0" applyFont="1" applyFill="1" applyBorder="1" applyAlignment="1">
      <alignment horizontal="center" vertical="center"/>
    </xf>
    <xf numFmtId="0" fontId="107" fillId="11" borderId="1" xfId="0" applyFont="1" applyFill="1" applyBorder="1" applyAlignment="1">
      <alignment horizontal="center" vertical="center"/>
    </xf>
    <xf numFmtId="0" fontId="108" fillId="11" borderId="1" xfId="0" applyFont="1" applyFill="1" applyBorder="1" applyAlignment="1">
      <alignment horizontal="center" vertical="center"/>
    </xf>
    <xf numFmtId="0" fontId="109" fillId="11" borderId="1" xfId="0" applyFont="1" applyFill="1" applyBorder="1" applyAlignment="1">
      <alignment horizontal="center" vertical="center"/>
    </xf>
    <xf numFmtId="0" fontId="110" fillId="11" borderId="1" xfId="0" applyFont="1" applyFill="1" applyBorder="1" applyAlignment="1">
      <alignment horizontal="center" vertical="center"/>
    </xf>
    <xf numFmtId="0" fontId="106" fillId="19" borderId="1" xfId="0" applyFont="1" applyFill="1" applyBorder="1" applyAlignment="1">
      <alignment horizontal="center" vertical="center"/>
    </xf>
    <xf numFmtId="0" fontId="107" fillId="34" borderId="1" xfId="0" applyFont="1" applyFill="1" applyBorder="1" applyAlignment="1">
      <alignment horizontal="center" vertical="center"/>
    </xf>
    <xf numFmtId="0" fontId="108" fillId="34" borderId="1" xfId="0" applyFont="1" applyFill="1" applyBorder="1" applyAlignment="1">
      <alignment horizontal="center" vertical="center"/>
    </xf>
    <xf numFmtId="0" fontId="109" fillId="34" borderId="1" xfId="0" applyFont="1" applyFill="1" applyBorder="1" applyAlignment="1">
      <alignment horizontal="center" vertical="center"/>
    </xf>
    <xf numFmtId="0" fontId="110" fillId="34" borderId="1" xfId="0" applyFont="1" applyFill="1" applyBorder="1" applyAlignment="1">
      <alignment horizontal="center" vertical="center"/>
    </xf>
    <xf numFmtId="0" fontId="106" fillId="7" borderId="1" xfId="0" applyFont="1" applyFill="1" applyBorder="1" applyAlignment="1">
      <alignment horizontal="center" vertical="center"/>
    </xf>
    <xf numFmtId="0" fontId="107" fillId="9" borderId="1" xfId="0" applyFont="1" applyFill="1" applyBorder="1" applyAlignment="1">
      <alignment horizontal="center" vertical="center"/>
    </xf>
    <xf numFmtId="0" fontId="108" fillId="9" borderId="1" xfId="0" applyFont="1" applyFill="1" applyBorder="1" applyAlignment="1">
      <alignment horizontal="center" vertical="center"/>
    </xf>
    <xf numFmtId="0" fontId="109" fillId="9" borderId="1" xfId="0" applyFont="1" applyFill="1" applyBorder="1" applyAlignment="1">
      <alignment horizontal="center" vertical="center"/>
    </xf>
    <xf numFmtId="0" fontId="110" fillId="9" borderId="1" xfId="0" applyFont="1" applyFill="1" applyBorder="1" applyAlignment="1">
      <alignment horizontal="center" vertical="center"/>
    </xf>
    <xf numFmtId="0" fontId="106" fillId="15" borderId="1" xfId="0" applyFont="1" applyFill="1" applyBorder="1" applyAlignment="1">
      <alignment horizontal="center" vertical="center"/>
    </xf>
    <xf numFmtId="0" fontId="41" fillId="0" borderId="7" xfId="0" applyFont="1" applyFill="1" applyBorder="1" applyAlignment="1">
      <alignment vertical="center" wrapText="1"/>
    </xf>
    <xf numFmtId="0" fontId="41" fillId="0" borderId="8" xfId="0" applyFont="1" applyFill="1" applyBorder="1" applyAlignment="1">
      <alignment vertical="center" wrapText="1"/>
    </xf>
    <xf numFmtId="0" fontId="111" fillId="0" borderId="6" xfId="0" applyFont="1" applyFill="1" applyBorder="1" applyAlignment="1">
      <alignment horizontal="center" vertical="center"/>
    </xf>
    <xf numFmtId="0" fontId="111" fillId="0" borderId="7" xfId="0" applyFont="1" applyFill="1" applyBorder="1" applyAlignment="1">
      <alignment horizontal="center" vertical="center"/>
    </xf>
    <xf numFmtId="0" fontId="7" fillId="35" borderId="6" xfId="0" applyFont="1" applyFill="1" applyBorder="1" applyAlignment="1">
      <alignment horizontal="center" vertical="center"/>
    </xf>
    <xf numFmtId="0" fontId="7" fillId="35" borderId="7" xfId="0" applyFont="1" applyFill="1" applyBorder="1" applyAlignment="1">
      <alignment horizontal="center" vertical="center"/>
    </xf>
    <xf numFmtId="0" fontId="91" fillId="0" borderId="6" xfId="0" applyFont="1" applyFill="1" applyBorder="1" applyAlignment="1">
      <alignment horizontal="center" vertical="center"/>
    </xf>
    <xf numFmtId="0" fontId="91" fillId="0" borderId="7" xfId="0" applyFont="1" applyFill="1" applyBorder="1" applyAlignment="1">
      <alignment horizontal="center" vertical="center"/>
    </xf>
    <xf numFmtId="0" fontId="27" fillId="9" borderId="1" xfId="0" applyFont="1" applyFill="1" applyBorder="1" applyAlignment="1">
      <alignment horizontal="center" vertical="center"/>
    </xf>
    <xf numFmtId="0" fontId="27" fillId="5" borderId="6" xfId="0" applyFont="1" applyFill="1" applyBorder="1" applyAlignment="1">
      <alignment horizontal="center" vertical="center"/>
    </xf>
    <xf numFmtId="0" fontId="112" fillId="5" borderId="3" xfId="0" applyFont="1" applyFill="1" applyBorder="1" applyAlignment="1">
      <alignment horizontal="center" vertical="center"/>
    </xf>
    <xf numFmtId="0" fontId="112" fillId="5" borderId="4" xfId="0" applyFont="1" applyFill="1" applyBorder="1" applyAlignment="1">
      <alignment horizontal="center" vertical="center"/>
    </xf>
    <xf numFmtId="0" fontId="27" fillId="9" borderId="23" xfId="0" applyFont="1" applyFill="1" applyBorder="1" applyAlignment="1">
      <alignment horizontal="center" vertical="center"/>
    </xf>
    <xf numFmtId="0" fontId="0" fillId="0" borderId="7" xfId="0" applyFill="1" applyBorder="1" applyAlignment="1">
      <alignment vertical="center"/>
    </xf>
    <xf numFmtId="0" fontId="12" fillId="30" borderId="30" xfId="0" applyFont="1" applyFill="1" applyBorder="1" applyAlignment="1">
      <alignment horizontal="center" vertical="center"/>
    </xf>
    <xf numFmtId="0" fontId="12" fillId="30" borderId="31" xfId="0" applyFont="1" applyFill="1" applyBorder="1" applyAlignment="1">
      <alignment horizontal="center" vertical="center"/>
    </xf>
    <xf numFmtId="0" fontId="36" fillId="30" borderId="28" xfId="0" applyFont="1" applyFill="1" applyBorder="1" applyAlignment="1">
      <alignment horizontal="center" vertical="center"/>
    </xf>
    <xf numFmtId="0" fontId="2" fillId="30" borderId="29" xfId="0" applyFont="1" applyFill="1" applyBorder="1" applyAlignment="1">
      <alignment horizontal="center" vertical="center"/>
    </xf>
    <xf numFmtId="0" fontId="37" fillId="30" borderId="10" xfId="0" applyFont="1" applyFill="1" applyBorder="1" applyAlignment="1">
      <alignment horizontal="center" vertical="center"/>
    </xf>
    <xf numFmtId="0" fontId="37" fillId="30" borderId="25" xfId="0" applyFont="1" applyFill="1" applyBorder="1" applyAlignment="1">
      <alignment horizontal="center" vertical="center"/>
    </xf>
    <xf numFmtId="0" fontId="104" fillId="5" borderId="6" xfId="0" applyFont="1" applyFill="1" applyBorder="1" applyAlignment="1">
      <alignment horizontal="center" vertical="center"/>
    </xf>
    <xf numFmtId="0" fontId="13" fillId="5" borderId="3" xfId="0" applyFont="1" applyFill="1" applyBorder="1" applyAlignment="1">
      <alignment horizontal="center" vertical="center" wrapText="1"/>
    </xf>
    <xf numFmtId="0" fontId="42" fillId="31" borderId="1" xfId="0" applyFont="1" applyFill="1" applyBorder="1" applyAlignment="1">
      <alignment horizontal="center" vertical="center"/>
    </xf>
    <xf numFmtId="0" fontId="43" fillId="31" borderId="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13" fillId="33" borderId="1" xfId="0" applyFont="1" applyFill="1" applyBorder="1" applyAlignment="1">
      <alignment horizontal="center" vertical="center"/>
    </xf>
    <xf numFmtId="0" fontId="114" fillId="33" borderId="6" xfId="0" applyFont="1" applyFill="1" applyBorder="1" applyAlignment="1">
      <alignment horizontal="center" vertical="center"/>
    </xf>
    <xf numFmtId="0" fontId="113" fillId="11" borderId="1" xfId="0" applyFont="1" applyFill="1" applyBorder="1" applyAlignment="1">
      <alignment horizontal="center" vertical="center"/>
    </xf>
    <xf numFmtId="0" fontId="114" fillId="11" borderId="6" xfId="0" applyFont="1" applyFill="1" applyBorder="1" applyAlignment="1">
      <alignment horizontal="center" vertical="center"/>
    </xf>
    <xf numFmtId="0" fontId="113" fillId="34" borderId="1" xfId="0" applyFont="1" applyFill="1" applyBorder="1" applyAlignment="1">
      <alignment horizontal="center" vertical="center"/>
    </xf>
    <xf numFmtId="0" fontId="114" fillId="34" borderId="6" xfId="0" applyFont="1" applyFill="1" applyBorder="1" applyAlignment="1">
      <alignment horizontal="center" vertical="center"/>
    </xf>
    <xf numFmtId="0" fontId="113" fillId="9" borderId="1" xfId="0" applyFont="1" applyFill="1" applyBorder="1" applyAlignment="1">
      <alignment horizontal="center" vertical="center"/>
    </xf>
    <xf numFmtId="0" fontId="114" fillId="9" borderId="6" xfId="0" applyFont="1" applyFill="1" applyBorder="1" applyAlignment="1">
      <alignment horizontal="center" vertical="center"/>
    </xf>
    <xf numFmtId="0" fontId="111" fillId="0" borderId="8" xfId="0" applyFont="1" applyFill="1" applyBorder="1" applyAlignment="1">
      <alignment horizontal="center" vertical="center"/>
    </xf>
    <xf numFmtId="0" fontId="28" fillId="5" borderId="3" xfId="0" applyFont="1" applyFill="1" applyBorder="1" applyAlignment="1">
      <alignment horizontal="center" vertical="center"/>
    </xf>
    <xf numFmtId="0" fontId="28" fillId="5" borderId="4" xfId="0" applyFont="1" applyFill="1" applyBorder="1" applyAlignment="1">
      <alignment horizontal="center" vertical="center"/>
    </xf>
    <xf numFmtId="0" fontId="7" fillId="35" borderId="8" xfId="0" applyFont="1" applyFill="1" applyBorder="1" applyAlignment="1">
      <alignment horizontal="center" vertical="center"/>
    </xf>
    <xf numFmtId="0" fontId="12" fillId="5" borderId="46" xfId="0" applyFont="1" applyFill="1" applyBorder="1" applyAlignment="1">
      <alignment horizontal="center" vertical="center"/>
    </xf>
    <xf numFmtId="0" fontId="2" fillId="5" borderId="18" xfId="0" applyFont="1" applyFill="1" applyBorder="1" applyAlignment="1">
      <alignment vertical="center"/>
    </xf>
    <xf numFmtId="0" fontId="36" fillId="5" borderId="47" xfId="0" applyFont="1" applyFill="1" applyBorder="1" applyAlignment="1">
      <alignment horizontal="center" vertical="center"/>
    </xf>
    <xf numFmtId="0" fontId="2" fillId="5" borderId="20" xfId="0" applyFont="1" applyFill="1" applyBorder="1" applyAlignment="1">
      <alignment vertical="center"/>
    </xf>
    <xf numFmtId="0" fontId="26"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45" fillId="30" borderId="39" xfId="0" applyFont="1" applyFill="1" applyBorder="1" applyAlignment="1">
      <alignment horizontal="center" vertical="center"/>
    </xf>
    <xf numFmtId="0" fontId="37" fillId="30" borderId="11" xfId="0" applyFont="1" applyFill="1" applyBorder="1" applyAlignment="1">
      <alignment horizontal="center" vertical="center"/>
    </xf>
    <xf numFmtId="0" fontId="2" fillId="30" borderId="40" xfId="0" applyFont="1" applyFill="1" applyBorder="1" applyAlignment="1">
      <alignment horizontal="center" vertical="center"/>
    </xf>
    <xf numFmtId="0" fontId="43" fillId="30" borderId="1" xfId="0" applyFont="1" applyFill="1" applyBorder="1" applyAlignment="1">
      <alignment horizontal="center" vertical="center"/>
    </xf>
    <xf numFmtId="0" fontId="13" fillId="5" borderId="19" xfId="0" applyFont="1" applyFill="1" applyBorder="1" applyAlignment="1">
      <alignment horizontal="center" vertical="center"/>
    </xf>
    <xf numFmtId="0" fontId="28" fillId="5" borderId="5" xfId="0" applyFont="1" applyFill="1" applyBorder="1" applyAlignment="1">
      <alignment horizontal="center" vertical="center"/>
    </xf>
    <xf numFmtId="0" fontId="41" fillId="5" borderId="7" xfId="0" applyFont="1" applyFill="1" applyBorder="1" applyAlignment="1">
      <alignment horizontal="center" vertical="center"/>
    </xf>
    <xf numFmtId="0" fontId="41" fillId="5" borderId="8" xfId="0" applyFont="1" applyFill="1" applyBorder="1" applyAlignment="1">
      <alignment horizontal="center" vertical="center"/>
    </xf>
    <xf numFmtId="0" fontId="91" fillId="0" borderId="8" xfId="0" applyFont="1" applyFill="1" applyBorder="1" applyAlignment="1">
      <alignment horizontal="center" vertical="center"/>
    </xf>
    <xf numFmtId="0" fontId="2" fillId="5" borderId="19" xfId="0" applyFont="1" applyFill="1" applyBorder="1" applyAlignment="1">
      <alignment vertical="center"/>
    </xf>
    <xf numFmtId="0" fontId="2" fillId="5" borderId="5" xfId="0" applyFont="1" applyFill="1" applyBorder="1" applyAlignment="1">
      <alignment horizontal="center" vertical="center"/>
    </xf>
    <xf numFmtId="0" fontId="112" fillId="5" borderId="5" xfId="0" applyFont="1" applyFill="1" applyBorder="1" applyAlignment="1">
      <alignment horizontal="center" vertical="center"/>
    </xf>
    <xf numFmtId="0" fontId="82" fillId="5" borderId="7" xfId="10" applyFont="1" applyFill="1" applyBorder="1" applyAlignment="1">
      <alignment horizontal="center" vertical="center" wrapText="1"/>
    </xf>
    <xf numFmtId="0" fontId="82" fillId="5" borderId="8" xfId="10" applyFont="1" applyFill="1" applyBorder="1" applyAlignment="1">
      <alignment horizontal="center" vertical="center" wrapText="1"/>
    </xf>
    <xf numFmtId="0" fontId="5" fillId="22" borderId="1" xfId="0" applyFont="1" applyFill="1" applyBorder="1" applyAlignment="1">
      <alignment horizontal="center" vertical="center"/>
    </xf>
    <xf numFmtId="0" fontId="12" fillId="9" borderId="10" xfId="0" applyNumberFormat="1" applyFont="1" applyFill="1" applyBorder="1" applyAlignment="1">
      <alignment horizontal="center" vertical="center"/>
    </xf>
    <xf numFmtId="0" fontId="10" fillId="7" borderId="54" xfId="0" applyFont="1" applyFill="1" applyBorder="1" applyAlignment="1">
      <alignment horizontal="center" vertical="center"/>
    </xf>
    <xf numFmtId="0" fontId="12" fillId="9" borderId="24" xfId="0" applyFont="1" applyFill="1" applyBorder="1" applyAlignment="1">
      <alignment horizontal="center" vertical="center"/>
    </xf>
    <xf numFmtId="0" fontId="115" fillId="9" borderId="55" xfId="0" applyFont="1" applyFill="1" applyBorder="1" applyAlignment="1">
      <alignment horizontal="center" vertical="center"/>
    </xf>
    <xf numFmtId="0" fontId="12" fillId="5" borderId="24" xfId="0" applyFont="1" applyFill="1" applyBorder="1" applyAlignment="1">
      <alignment horizontal="center" vertical="center"/>
    </xf>
    <xf numFmtId="0" fontId="115" fillId="5" borderId="55" xfId="0" applyFont="1" applyFill="1" applyBorder="1" applyAlignment="1">
      <alignment horizontal="center" vertical="center"/>
    </xf>
    <xf numFmtId="0" fontId="115" fillId="5" borderId="56" xfId="0" applyFont="1" applyFill="1" applyBorder="1" applyAlignment="1">
      <alignment horizontal="center" vertical="center"/>
    </xf>
    <xf numFmtId="0" fontId="11" fillId="30" borderId="1" xfId="0" applyFont="1" applyFill="1" applyBorder="1" applyAlignment="1">
      <alignment horizontal="center" vertical="center"/>
    </xf>
    <xf numFmtId="0" fontId="14" fillId="30" borderId="1" xfId="0" applyFont="1" applyFill="1" applyBorder="1" applyAlignment="1">
      <alignment horizontal="center" vertical="center"/>
    </xf>
    <xf numFmtId="0" fontId="15" fillId="30" borderId="1" xfId="0" applyFont="1" applyFill="1" applyBorder="1" applyAlignment="1">
      <alignment horizontal="center" vertical="center"/>
    </xf>
    <xf numFmtId="0" fontId="16" fillId="30" borderId="1" xfId="0" applyFont="1" applyFill="1" applyBorder="1" applyAlignment="1">
      <alignment horizontal="center" vertical="center"/>
    </xf>
    <xf numFmtId="0" fontId="17" fillId="30" borderId="1" xfId="0" applyFont="1" applyFill="1" applyBorder="1" applyAlignment="1">
      <alignment horizontal="center" vertical="center"/>
    </xf>
    <xf numFmtId="0" fontId="97" fillId="5" borderId="1" xfId="0" applyFont="1" applyFill="1" applyBorder="1" applyAlignment="1">
      <alignment horizontal="center" vertical="center"/>
    </xf>
    <xf numFmtId="0" fontId="97" fillId="5" borderId="1" xfId="0" applyFont="1" applyFill="1" applyBorder="1" applyAlignment="1">
      <alignment horizontal="center" vertical="center" wrapText="1"/>
    </xf>
    <xf numFmtId="0" fontId="97" fillId="5" borderId="2" xfId="0" applyFont="1" applyFill="1" applyBorder="1" applyAlignment="1">
      <alignment horizontal="center" vertical="center" wrapText="1"/>
    </xf>
    <xf numFmtId="0" fontId="97" fillId="5" borderId="2" xfId="0" applyFont="1" applyFill="1" applyBorder="1" applyAlignment="1">
      <alignment horizontal="center" vertical="center"/>
    </xf>
    <xf numFmtId="0" fontId="9" fillId="7" borderId="23" xfId="0" applyFont="1" applyFill="1" applyBorder="1" applyAlignment="1">
      <alignment horizontal="center" vertical="center"/>
    </xf>
    <xf numFmtId="0" fontId="9" fillId="7" borderId="18" xfId="0" applyFont="1" applyFill="1" applyBorder="1" applyAlignment="1">
      <alignment horizontal="center" vertical="center"/>
    </xf>
    <xf numFmtId="0" fontId="10" fillId="7" borderId="16" xfId="0" applyFont="1" applyFill="1" applyBorder="1" applyAlignment="1">
      <alignment horizontal="center" vertical="center"/>
    </xf>
    <xf numFmtId="0" fontId="10" fillId="7" borderId="17"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2" fillId="9" borderId="3" xfId="0" applyFont="1" applyFill="1" applyBorder="1" applyAlignment="1">
      <alignment vertical="center"/>
    </xf>
    <xf numFmtId="0" fontId="2" fillId="9" borderId="4" xfId="0" applyFont="1" applyFill="1" applyBorder="1" applyAlignment="1">
      <alignment vertical="center"/>
    </xf>
    <xf numFmtId="0" fontId="10" fillId="7" borderId="31" xfId="0" applyFont="1" applyFill="1" applyBorder="1" applyAlignment="1">
      <alignment horizontal="center" vertical="center"/>
    </xf>
    <xf numFmtId="0" fontId="35" fillId="7" borderId="6" xfId="0" applyFont="1" applyFill="1" applyBorder="1" applyAlignment="1">
      <alignment horizontal="center" vertical="center"/>
    </xf>
    <xf numFmtId="0" fontId="35" fillId="7" borderId="54" xfId="0" applyFont="1" applyFill="1" applyBorder="1" applyAlignment="1">
      <alignment horizontal="center" vertical="center"/>
    </xf>
    <xf numFmtId="0" fontId="37" fillId="9" borderId="6" xfId="0" applyFont="1" applyFill="1" applyBorder="1" applyAlignment="1">
      <alignment horizontal="center" vertical="center"/>
    </xf>
    <xf numFmtId="0" fontId="116" fillId="9" borderId="55" xfId="0" applyFont="1" applyFill="1" applyBorder="1" applyAlignment="1">
      <alignment horizontal="center" vertical="center"/>
    </xf>
    <xf numFmtId="0" fontId="37" fillId="5" borderId="6" xfId="0" applyFont="1" applyFill="1" applyBorder="1" applyAlignment="1">
      <alignment horizontal="center" vertical="center"/>
    </xf>
    <xf numFmtId="0" fontId="116" fillId="5" borderId="55" xfId="0" applyFont="1" applyFill="1" applyBorder="1" applyAlignment="1">
      <alignment horizontal="center" vertical="center"/>
    </xf>
    <xf numFmtId="0" fontId="116" fillId="5" borderId="56" xfId="0" applyFont="1" applyFill="1" applyBorder="1" applyAlignment="1">
      <alignment horizontal="center" vertical="center"/>
    </xf>
    <xf numFmtId="0" fontId="38" fillId="30" borderId="1" xfId="0" applyFont="1" applyFill="1" applyBorder="1" applyAlignment="1">
      <alignment horizontal="center" vertical="center"/>
    </xf>
    <xf numFmtId="0" fontId="39" fillId="30" borderId="6" xfId="0" applyFont="1" applyFill="1" applyBorder="1" applyAlignment="1">
      <alignment horizontal="center" vertical="center"/>
    </xf>
    <xf numFmtId="0" fontId="2" fillId="30" borderId="9" xfId="0" applyFont="1" applyFill="1" applyBorder="1" applyAlignment="1">
      <alignment horizontal="center" vertical="center"/>
    </xf>
    <xf numFmtId="0" fontId="36" fillId="30" borderId="33" xfId="0" applyFont="1" applyFill="1" applyBorder="1" applyAlignment="1">
      <alignment horizontal="center" vertical="center"/>
    </xf>
    <xf numFmtId="0" fontId="2" fillId="30" borderId="0" xfId="0" applyFont="1" applyFill="1" applyBorder="1" applyAlignment="1">
      <alignment horizontal="center" vertical="center"/>
    </xf>
    <xf numFmtId="0" fontId="97" fillId="5" borderId="6" xfId="0" applyFont="1" applyFill="1" applyBorder="1" applyAlignment="1">
      <alignment horizontal="center" vertical="center"/>
    </xf>
    <xf numFmtId="0" fontId="97" fillId="5" borderId="3" xfId="0" applyFont="1" applyFill="1" applyBorder="1" applyAlignment="1">
      <alignment horizontal="center" vertical="center"/>
    </xf>
    <xf numFmtId="0" fontId="97" fillId="5" borderId="4" xfId="0" applyFont="1" applyFill="1" applyBorder="1" applyAlignment="1">
      <alignment horizontal="center" vertical="center"/>
    </xf>
    <xf numFmtId="0" fontId="97" fillId="5" borderId="9" xfId="0" applyFont="1" applyFill="1" applyBorder="1" applyAlignment="1">
      <alignment horizontal="center" vertical="center"/>
    </xf>
    <xf numFmtId="0" fontId="97" fillId="5" borderId="0" xfId="0" applyFont="1" applyFill="1" applyBorder="1" applyAlignment="1">
      <alignment horizontal="center" vertical="center"/>
    </xf>
    <xf numFmtId="0" fontId="97" fillId="5" borderId="18" xfId="0" applyFont="1" applyFill="1" applyBorder="1" applyAlignment="1">
      <alignment horizontal="center" vertical="center"/>
    </xf>
    <xf numFmtId="0" fontId="97" fillId="5" borderId="20" xfId="0" applyFont="1" applyFill="1" applyBorder="1" applyAlignment="1">
      <alignment horizontal="center" vertical="center"/>
    </xf>
    <xf numFmtId="0" fontId="117" fillId="15" borderId="6" xfId="0" applyFont="1" applyFill="1" applyBorder="1" applyAlignment="1">
      <alignment horizontal="center" vertical="center"/>
    </xf>
    <xf numFmtId="0" fontId="117" fillId="15" borderId="7" xfId="0" applyFont="1" applyFill="1" applyBorder="1" applyAlignment="1">
      <alignment horizontal="center" vertical="center"/>
    </xf>
    <xf numFmtId="0" fontId="13" fillId="0" borderId="8" xfId="0" applyFont="1" applyFill="1" applyBorder="1" applyAlignment="1">
      <alignment horizontal="center" vertical="center"/>
    </xf>
    <xf numFmtId="0" fontId="2" fillId="9" borderId="5" xfId="0" applyFont="1" applyFill="1" applyBorder="1" applyAlignment="1">
      <alignment vertical="center"/>
    </xf>
    <xf numFmtId="0" fontId="2" fillId="9" borderId="19" xfId="0" applyFont="1" applyFill="1" applyBorder="1" applyAlignment="1">
      <alignment vertical="center"/>
    </xf>
    <xf numFmtId="0" fontId="2" fillId="30" borderId="38" xfId="0" applyFont="1" applyFill="1" applyBorder="1" applyAlignment="1">
      <alignment horizontal="center" vertical="center"/>
    </xf>
    <xf numFmtId="0" fontId="97" fillId="5" borderId="5" xfId="0" applyFont="1" applyFill="1" applyBorder="1" applyAlignment="1">
      <alignment horizontal="center" vertical="center"/>
    </xf>
    <xf numFmtId="0" fontId="97" fillId="5" borderId="38" xfId="0" applyFont="1" applyFill="1" applyBorder="1" applyAlignment="1">
      <alignment horizontal="center" vertical="center"/>
    </xf>
    <xf numFmtId="0" fontId="97" fillId="5" borderId="19" xfId="0" applyFont="1" applyFill="1" applyBorder="1" applyAlignment="1">
      <alignment horizontal="center" vertical="center"/>
    </xf>
    <xf numFmtId="0" fontId="6" fillId="17" borderId="6" xfId="0" applyFont="1" applyFill="1" applyBorder="1" applyAlignment="1">
      <alignment vertical="center"/>
    </xf>
    <xf numFmtId="0" fontId="6" fillId="17" borderId="7" xfId="0" applyFont="1" applyFill="1" applyBorder="1" applyAlignment="1">
      <alignment vertical="center"/>
    </xf>
    <xf numFmtId="0" fontId="6" fillId="17" borderId="8" xfId="0" applyFont="1" applyFill="1" applyBorder="1" applyAlignment="1">
      <alignment vertical="center"/>
    </xf>
    <xf numFmtId="0" fontId="7" fillId="17" borderId="6" xfId="0" applyFont="1" applyFill="1" applyBorder="1" applyAlignment="1">
      <alignment horizontal="center" vertical="center"/>
    </xf>
    <xf numFmtId="0" fontId="74" fillId="9" borderId="33" xfId="0" applyFont="1" applyFill="1" applyBorder="1" applyAlignment="1">
      <alignment horizontal="center" vertical="center"/>
    </xf>
    <xf numFmtId="0" fontId="47" fillId="17" borderId="7" xfId="0" applyFont="1" applyFill="1" applyBorder="1" applyAlignment="1">
      <alignment horizontal="center" vertical="center" wrapText="1"/>
    </xf>
    <xf numFmtId="0" fontId="47" fillId="17" borderId="8" xfId="0" applyFont="1" applyFill="1" applyBorder="1" applyAlignment="1">
      <alignment horizontal="center" vertical="center" wrapText="1"/>
    </xf>
    <xf numFmtId="0" fontId="78" fillId="9" borderId="39" xfId="0" applyFont="1" applyFill="1" applyBorder="1" applyAlignment="1">
      <alignment horizontal="center" vertical="center"/>
    </xf>
    <xf numFmtId="0" fontId="8" fillId="15" borderId="3" xfId="0" applyFont="1" applyFill="1" applyBorder="1" applyAlignment="1">
      <alignment horizontal="center" vertical="center"/>
    </xf>
    <xf numFmtId="0" fontId="8" fillId="15" borderId="4" xfId="0" applyFont="1" applyFill="1" applyBorder="1" applyAlignment="1">
      <alignment horizontal="center" vertical="center"/>
    </xf>
    <xf numFmtId="0" fontId="91" fillId="12" borderId="3" xfId="0" applyFont="1" applyFill="1" applyBorder="1" applyAlignment="1">
      <alignment horizontal="center" vertical="center"/>
    </xf>
    <xf numFmtId="0" fontId="91" fillId="12" borderId="4" xfId="0" applyFont="1" applyFill="1" applyBorder="1" applyAlignment="1">
      <alignment horizontal="center" vertical="center"/>
    </xf>
    <xf numFmtId="0" fontId="91" fillId="12" borderId="18" xfId="0" applyFont="1" applyFill="1" applyBorder="1" applyAlignment="1">
      <alignment horizontal="center" vertical="center"/>
    </xf>
    <xf numFmtId="0" fontId="91" fillId="12" borderId="20" xfId="0" applyFont="1" applyFill="1" applyBorder="1" applyAlignment="1">
      <alignment horizontal="center" vertical="center"/>
    </xf>
    <xf numFmtId="0" fontId="28" fillId="5" borderId="6" xfId="0" applyFont="1" applyFill="1" applyBorder="1" applyAlignment="1">
      <alignment horizontal="center" vertical="center"/>
    </xf>
    <xf numFmtId="0" fontId="118" fillId="0" borderId="3" xfId="0" applyFont="1" applyFill="1" applyBorder="1" applyAlignment="1">
      <alignment horizontal="center" vertical="center"/>
    </xf>
    <xf numFmtId="0" fontId="118" fillId="0" borderId="4" xfId="0" applyFont="1" applyFill="1" applyBorder="1" applyAlignment="1">
      <alignment horizontal="center" vertical="center"/>
    </xf>
    <xf numFmtId="0" fontId="12" fillId="9" borderId="57" xfId="0" applyFont="1" applyFill="1" applyBorder="1" applyAlignment="1">
      <alignment horizontal="center" vertical="center"/>
    </xf>
    <xf numFmtId="0" fontId="12" fillId="5" borderId="21" xfId="0" applyFont="1" applyFill="1" applyBorder="1" applyAlignment="1">
      <alignment horizontal="center" vertical="center"/>
    </xf>
    <xf numFmtId="0" fontId="80" fillId="9" borderId="2" xfId="0" applyFont="1" applyFill="1" applyBorder="1" applyAlignment="1">
      <alignment horizontal="center" vertical="center"/>
    </xf>
    <xf numFmtId="0" fontId="80" fillId="9" borderId="1" xfId="0" applyFont="1" applyFill="1" applyBorder="1" applyAlignment="1">
      <alignment horizontal="center" vertical="center"/>
    </xf>
    <xf numFmtId="0" fontId="68" fillId="5" borderId="7" xfId="0" applyFont="1" applyFill="1" applyBorder="1" applyAlignment="1">
      <alignment horizontal="center" vertical="center"/>
    </xf>
    <xf numFmtId="0" fontId="8" fillId="15" borderId="5" xfId="0" applyFont="1" applyFill="1" applyBorder="1" applyAlignment="1">
      <alignment horizontal="center" vertical="center"/>
    </xf>
    <xf numFmtId="0" fontId="91" fillId="12" borderId="5" xfId="0" applyFont="1" applyFill="1" applyBorder="1" applyAlignment="1">
      <alignment horizontal="center" vertical="center"/>
    </xf>
    <xf numFmtId="0" fontId="91" fillId="12" borderId="19" xfId="0" applyFont="1" applyFill="1" applyBorder="1" applyAlignment="1">
      <alignment horizontal="center" vertical="center"/>
    </xf>
    <xf numFmtId="0" fontId="68" fillId="5" borderId="8" xfId="0" applyFont="1" applyFill="1" applyBorder="1" applyAlignment="1">
      <alignment horizontal="center" vertical="center"/>
    </xf>
    <xf numFmtId="0" fontId="118" fillId="0" borderId="5" xfId="0" applyFont="1" applyFill="1" applyBorder="1" applyAlignment="1">
      <alignment horizontal="center" vertical="center"/>
    </xf>
    <xf numFmtId="0" fontId="7" fillId="36" borderId="6" xfId="0" applyFont="1" applyFill="1" applyBorder="1" applyAlignment="1">
      <alignment horizontal="center" vertical="center"/>
    </xf>
    <xf numFmtId="0" fontId="7" fillId="36" borderId="7" xfId="0" applyFont="1" applyFill="1" applyBorder="1" applyAlignment="1">
      <alignment horizontal="center" vertical="center"/>
    </xf>
    <xf numFmtId="0" fontId="92" fillId="0" borderId="6" xfId="0" applyFont="1" applyFill="1" applyBorder="1" applyAlignment="1">
      <alignment horizontal="center" vertical="center"/>
    </xf>
    <xf numFmtId="0" fontId="92" fillId="0" borderId="7" xfId="0" applyFont="1" applyFill="1" applyBorder="1" applyAlignment="1">
      <alignment horizontal="center" vertical="center"/>
    </xf>
    <xf numFmtId="0" fontId="27" fillId="0" borderId="23" xfId="0" applyFont="1" applyFill="1" applyBorder="1" applyAlignment="1">
      <alignment horizontal="center" vertical="center"/>
    </xf>
    <xf numFmtId="0" fontId="119" fillId="12" borderId="1" xfId="0" applyFont="1" applyFill="1" applyBorder="1" applyAlignment="1">
      <alignment horizontal="center" vertical="center"/>
    </xf>
    <xf numFmtId="0" fontId="2" fillId="12" borderId="6" xfId="0" applyFont="1" applyFill="1" applyBorder="1" applyAlignment="1">
      <alignment horizontal="center" vertical="center"/>
    </xf>
    <xf numFmtId="0" fontId="28" fillId="5" borderId="1" xfId="0" applyFont="1" applyFill="1" applyBorder="1" applyAlignment="1">
      <alignment horizontal="center" vertical="center"/>
    </xf>
    <xf numFmtId="0" fontId="93" fillId="5" borderId="6" xfId="0" applyFont="1" applyFill="1" applyBorder="1" applyAlignment="1">
      <alignment horizontal="center" vertical="center"/>
    </xf>
    <xf numFmtId="0" fontId="120" fillId="5" borderId="7" xfId="0" applyFont="1" applyFill="1" applyBorder="1" applyAlignment="1">
      <alignment horizontal="center" vertical="center"/>
    </xf>
    <xf numFmtId="0" fontId="49" fillId="5" borderId="14" xfId="0" applyFont="1" applyFill="1" applyBorder="1" applyAlignment="1">
      <alignment horizontal="center" vertical="center"/>
    </xf>
    <xf numFmtId="0" fontId="49" fillId="5" borderId="15" xfId="0" applyFont="1" applyFill="1" applyBorder="1" applyAlignment="1">
      <alignment horizontal="center" vertical="center"/>
    </xf>
    <xf numFmtId="0" fontId="65" fillId="12" borderId="6" xfId="0" applyFont="1" applyFill="1" applyBorder="1" applyAlignment="1">
      <alignment horizontal="center" vertical="center"/>
    </xf>
    <xf numFmtId="0" fontId="120" fillId="12" borderId="7" xfId="0" applyFont="1" applyFill="1" applyBorder="1" applyAlignment="1">
      <alignment horizontal="center" vertical="center"/>
    </xf>
    <xf numFmtId="0" fontId="121" fillId="0" borderId="6" xfId="0" applyFont="1" applyFill="1" applyBorder="1" applyAlignment="1">
      <alignment horizontal="center" vertical="center"/>
    </xf>
    <xf numFmtId="0" fontId="121" fillId="0" borderId="7" xfId="0" applyFont="1" applyFill="1" applyBorder="1" applyAlignment="1">
      <alignment horizontal="center" vertical="center"/>
    </xf>
    <xf numFmtId="0" fontId="11" fillId="11"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0" xfId="0" applyFont="1" applyFill="1" applyAlignment="1">
      <alignment horizontal="center" vertical="center" wrapText="1"/>
    </xf>
    <xf numFmtId="0" fontId="13" fillId="0" borderId="18"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0" fillId="0" borderId="0" xfId="0" applyFill="1" applyAlignment="1">
      <alignment horizontal="center" vertical="center"/>
    </xf>
    <xf numFmtId="0" fontId="7" fillId="36" borderId="8" xfId="0" applyFont="1" applyFill="1" applyBorder="1" applyAlignment="1">
      <alignment horizontal="center" vertical="center"/>
    </xf>
    <xf numFmtId="0" fontId="90" fillId="15" borderId="23" xfId="0" applyFont="1" applyFill="1" applyBorder="1" applyAlignment="1">
      <alignment horizontal="center" vertical="center"/>
    </xf>
    <xf numFmtId="0" fontId="49" fillId="5" borderId="30" xfId="0" applyFont="1" applyFill="1" applyBorder="1" applyAlignment="1">
      <alignment horizontal="center" vertical="center"/>
    </xf>
    <xf numFmtId="0" fontId="49" fillId="5" borderId="31" xfId="0" applyFont="1" applyFill="1" applyBorder="1" applyAlignment="1">
      <alignment horizontal="center" vertical="center"/>
    </xf>
    <xf numFmtId="0" fontId="54" fillId="5" borderId="28" xfId="0" applyFont="1" applyFill="1" applyBorder="1" applyAlignment="1">
      <alignment horizontal="center" vertical="center"/>
    </xf>
    <xf numFmtId="0" fontId="53" fillId="5" borderId="29" xfId="0" applyFont="1" applyFill="1" applyBorder="1" applyAlignment="1">
      <alignment horizontal="center" vertical="center"/>
    </xf>
    <xf numFmtId="0" fontId="55" fillId="5" borderId="10" xfId="0" applyFont="1" applyFill="1" applyBorder="1" applyAlignment="1">
      <alignment horizontal="center" vertical="center"/>
    </xf>
    <xf numFmtId="0" fontId="55" fillId="5" borderId="25" xfId="0" applyFont="1" applyFill="1" applyBorder="1" applyAlignment="1">
      <alignment horizontal="center" vertical="center"/>
    </xf>
    <xf numFmtId="0" fontId="122" fillId="5" borderId="6" xfId="0" applyFont="1" applyFill="1" applyBorder="1" applyAlignment="1">
      <alignment horizontal="center" vertical="center" wrapText="1"/>
    </xf>
    <xf numFmtId="0" fontId="39" fillId="5"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92" fillId="0" borderId="8" xfId="0" applyFont="1" applyFill="1" applyBorder="1" applyAlignment="1">
      <alignment horizontal="center" vertical="center"/>
    </xf>
    <xf numFmtId="0" fontId="54" fillId="5" borderId="39" xfId="0" applyFont="1" applyFill="1" applyBorder="1" applyAlignment="1">
      <alignment horizontal="center" vertical="center"/>
    </xf>
    <xf numFmtId="0" fontId="55" fillId="5" borderId="11" xfId="0" applyFont="1" applyFill="1" applyBorder="1" applyAlignment="1">
      <alignment horizontal="center" vertical="center"/>
    </xf>
    <xf numFmtId="0" fontId="53" fillId="5" borderId="40" xfId="0" applyFont="1" applyFill="1" applyBorder="1" applyAlignment="1">
      <alignment horizontal="center" vertical="center"/>
    </xf>
    <xf numFmtId="0" fontId="54" fillId="5" borderId="1" xfId="0" applyFont="1" applyFill="1" applyBorder="1" applyAlignment="1">
      <alignment horizontal="center" vertical="center"/>
    </xf>
    <xf numFmtId="0" fontId="122" fillId="5" borderId="7" xfId="0" applyFont="1" applyFill="1" applyBorder="1" applyAlignment="1">
      <alignment horizontal="center" vertical="center" wrapText="1"/>
    </xf>
    <xf numFmtId="0" fontId="122" fillId="5" borderId="8" xfId="0" applyFont="1" applyFill="1" applyBorder="1" applyAlignment="1">
      <alignment horizontal="center" vertical="center" wrapText="1"/>
    </xf>
    <xf numFmtId="0" fontId="121" fillId="0" borderId="8" xfId="0" applyFont="1" applyFill="1" applyBorder="1" applyAlignment="1">
      <alignment horizontal="center" vertical="center"/>
    </xf>
    <xf numFmtId="0" fontId="123" fillId="0" borderId="39" xfId="0" applyFont="1" applyFill="1" applyBorder="1" applyAlignment="1">
      <alignment horizontal="center" vertical="center"/>
    </xf>
    <xf numFmtId="0" fontId="124" fillId="0" borderId="1" xfId="0" applyFont="1" applyFill="1" applyBorder="1" applyAlignment="1">
      <alignment horizontal="center" vertical="center"/>
    </xf>
    <xf numFmtId="0" fontId="11" fillId="0" borderId="38" xfId="0" applyFont="1" applyFill="1" applyBorder="1" applyAlignment="1">
      <alignment horizontal="center" vertical="center"/>
    </xf>
    <xf numFmtId="0" fontId="13" fillId="0" borderId="5" xfId="0" applyFont="1" applyFill="1" applyBorder="1" applyAlignment="1">
      <alignment horizontal="center" vertical="center" wrapText="1"/>
    </xf>
    <xf numFmtId="0" fontId="13" fillId="0" borderId="38" xfId="0" applyFont="1" applyFill="1" applyBorder="1" applyAlignment="1">
      <alignment horizontal="center" vertical="center" wrapText="1"/>
    </xf>
    <xf numFmtId="0" fontId="13" fillId="0" borderId="19" xfId="0" applyFont="1" applyFill="1" applyBorder="1" applyAlignment="1">
      <alignment horizontal="center" vertical="center" wrapText="1"/>
    </xf>
    <xf numFmtId="0" fontId="80" fillId="9" borderId="23" xfId="0" applyFont="1" applyFill="1" applyBorder="1" applyAlignment="1">
      <alignment horizontal="center" vertical="center"/>
    </xf>
    <xf numFmtId="0" fontId="80" fillId="5" borderId="1" xfId="0" applyFont="1" applyFill="1" applyBorder="1" applyAlignment="1">
      <alignment horizontal="center" vertical="center"/>
    </xf>
    <xf numFmtId="0" fontId="58" fillId="28" borderId="3" xfId="0" applyFont="1" applyFill="1" applyBorder="1" applyAlignment="1">
      <alignment horizontal="center" vertical="center"/>
    </xf>
    <xf numFmtId="0" fontId="58" fillId="28" borderId="4" xfId="0" applyFont="1" applyFill="1" applyBorder="1" applyAlignment="1">
      <alignment horizontal="center" vertical="center"/>
    </xf>
    <xf numFmtId="0" fontId="125" fillId="37" borderId="1" xfId="0" applyFont="1" applyFill="1" applyBorder="1" applyAlignment="1">
      <alignment horizontal="center" vertical="center"/>
    </xf>
    <xf numFmtId="0" fontId="14" fillId="9" borderId="1" xfId="0" applyFont="1" applyFill="1" applyBorder="1" applyAlignment="1">
      <alignment horizontal="center" vertical="center"/>
    </xf>
    <xf numFmtId="0" fontId="15" fillId="9" borderId="1" xfId="0" applyFont="1" applyFill="1" applyBorder="1" applyAlignment="1">
      <alignment horizontal="center" vertical="center"/>
    </xf>
    <xf numFmtId="0" fontId="16" fillId="9" borderId="1" xfId="0" applyFont="1" applyFill="1" applyBorder="1" applyAlignment="1">
      <alignment horizontal="center" vertical="center"/>
    </xf>
    <xf numFmtId="0" fontId="17" fillId="9" borderId="1" xfId="0" applyFont="1" applyFill="1" applyBorder="1" applyAlignment="1">
      <alignment horizontal="center" vertical="center"/>
    </xf>
    <xf numFmtId="0" fontId="11" fillId="31" borderId="1" xfId="0" applyFont="1" applyFill="1" applyBorder="1" applyAlignment="1">
      <alignment horizontal="center" vertical="center"/>
    </xf>
    <xf numFmtId="0" fontId="14" fillId="31" borderId="1" xfId="0" applyFont="1" applyFill="1" applyBorder="1" applyAlignment="1">
      <alignment horizontal="center" vertical="center"/>
    </xf>
    <xf numFmtId="0" fontId="15" fillId="31" borderId="1" xfId="0" applyFont="1" applyFill="1" applyBorder="1" applyAlignment="1">
      <alignment horizontal="center" vertical="center"/>
    </xf>
    <xf numFmtId="0" fontId="16" fillId="31" borderId="1" xfId="0" applyFont="1" applyFill="1" applyBorder="1" applyAlignment="1">
      <alignment horizontal="center" vertical="center"/>
    </xf>
    <xf numFmtId="0" fontId="17" fillId="31" borderId="1" xfId="0" applyFont="1" applyFill="1" applyBorder="1" applyAlignment="1">
      <alignment horizontal="center" vertical="center"/>
    </xf>
    <xf numFmtId="0" fontId="11" fillId="38" borderId="1" xfId="0" applyFont="1" applyFill="1" applyBorder="1" applyAlignment="1">
      <alignment horizontal="center" vertical="center"/>
    </xf>
    <xf numFmtId="0" fontId="14" fillId="38" borderId="1" xfId="0" applyFont="1" applyFill="1" applyBorder="1" applyAlignment="1">
      <alignment horizontal="center" vertical="center"/>
    </xf>
    <xf numFmtId="0" fontId="15" fillId="38" borderId="1" xfId="0" applyFont="1" applyFill="1" applyBorder="1" applyAlignment="1">
      <alignment horizontal="center" vertical="center"/>
    </xf>
    <xf numFmtId="0" fontId="16" fillId="38" borderId="1" xfId="0" applyFont="1" applyFill="1" applyBorder="1" applyAlignment="1">
      <alignment horizontal="center" vertical="center"/>
    </xf>
    <xf numFmtId="0" fontId="17" fillId="38" borderId="1" xfId="0" applyFont="1" applyFill="1" applyBorder="1" applyAlignment="1">
      <alignment horizontal="center" vertical="center"/>
    </xf>
    <xf numFmtId="0" fontId="12" fillId="0" borderId="46" xfId="0" applyFont="1" applyFill="1" applyBorder="1" applyAlignment="1">
      <alignment horizontal="center" vertical="center"/>
    </xf>
    <xf numFmtId="0" fontId="2" fillId="0" borderId="18" xfId="0" applyFont="1" applyFill="1" applyBorder="1" applyAlignment="1">
      <alignment horizontal="center" vertical="center"/>
    </xf>
    <xf numFmtId="0" fontId="36" fillId="0" borderId="47" xfId="0" applyFont="1" applyFill="1" applyBorder="1" applyAlignment="1">
      <alignment horizontal="center" vertical="center"/>
    </xf>
    <xf numFmtId="0" fontId="2" fillId="0" borderId="20" xfId="0" applyFont="1" applyFill="1" applyBorder="1" applyAlignment="1">
      <alignment horizontal="center" vertical="center"/>
    </xf>
    <xf numFmtId="0" fontId="38" fillId="9" borderId="1" xfId="0" applyFont="1" applyFill="1" applyBorder="1" applyAlignment="1">
      <alignment horizontal="center" vertical="center"/>
    </xf>
    <xf numFmtId="0" fontId="39" fillId="9" borderId="6" xfId="0" applyFont="1" applyFill="1" applyBorder="1" applyAlignment="1">
      <alignment horizontal="center" vertical="center"/>
    </xf>
    <xf numFmtId="0" fontId="38" fillId="31" borderId="1" xfId="0" applyFont="1" applyFill="1" applyBorder="1" applyAlignment="1">
      <alignment horizontal="center" vertical="center"/>
    </xf>
    <xf numFmtId="0" fontId="39" fillId="31" borderId="6" xfId="0" applyFont="1" applyFill="1" applyBorder="1" applyAlignment="1">
      <alignment horizontal="center" vertical="center"/>
    </xf>
    <xf numFmtId="0" fontId="2" fillId="31" borderId="9" xfId="0" applyFont="1" applyFill="1" applyBorder="1" applyAlignment="1">
      <alignment horizontal="center" vertical="center"/>
    </xf>
    <xf numFmtId="0" fontId="36" fillId="31" borderId="33" xfId="0" applyFont="1" applyFill="1" applyBorder="1" applyAlignment="1">
      <alignment horizontal="center" vertical="center"/>
    </xf>
    <xf numFmtId="0" fontId="2" fillId="31" borderId="0" xfId="0" applyFont="1" applyFill="1" applyBorder="1" applyAlignment="1">
      <alignment horizontal="center" vertical="center"/>
    </xf>
    <xf numFmtId="0" fontId="37" fillId="31" borderId="10" xfId="0" applyFont="1" applyFill="1" applyBorder="1" applyAlignment="1">
      <alignment horizontal="center" vertical="center"/>
    </xf>
    <xf numFmtId="0" fontId="37" fillId="31" borderId="25" xfId="0" applyFont="1" applyFill="1" applyBorder="1" applyAlignment="1">
      <alignment horizontal="center" vertical="center"/>
    </xf>
    <xf numFmtId="0" fontId="38" fillId="38" borderId="1" xfId="0" applyFont="1" applyFill="1" applyBorder="1" applyAlignment="1">
      <alignment horizontal="center" vertical="center"/>
    </xf>
    <xf numFmtId="0" fontId="39" fillId="38" borderId="6" xfId="0" applyFont="1" applyFill="1" applyBorder="1" applyAlignment="1">
      <alignment horizontal="center" vertical="center"/>
    </xf>
    <xf numFmtId="0" fontId="2" fillId="38" borderId="9" xfId="0" applyFont="1" applyFill="1" applyBorder="1" applyAlignment="1">
      <alignment horizontal="center" vertical="center"/>
    </xf>
    <xf numFmtId="0" fontId="36" fillId="38" borderId="33" xfId="0" applyFont="1" applyFill="1" applyBorder="1" applyAlignment="1">
      <alignment horizontal="center" vertical="center"/>
    </xf>
    <xf numFmtId="0" fontId="2" fillId="38" borderId="0" xfId="0" applyFont="1" applyFill="1" applyBorder="1" applyAlignment="1">
      <alignment horizontal="center" vertical="center"/>
    </xf>
    <xf numFmtId="0" fontId="37" fillId="38" borderId="10" xfId="0" applyFont="1" applyFill="1" applyBorder="1" applyAlignment="1">
      <alignment horizontal="center" vertical="center"/>
    </xf>
    <xf numFmtId="0" fontId="37" fillId="38" borderId="25" xfId="0" applyFont="1" applyFill="1" applyBorder="1" applyAlignment="1">
      <alignment horizontal="center" vertical="center"/>
    </xf>
    <xf numFmtId="0" fontId="2" fillId="0" borderId="19" xfId="0" applyFont="1" applyFill="1" applyBorder="1" applyAlignment="1">
      <alignment horizontal="center" vertical="center"/>
    </xf>
    <xf numFmtId="0" fontId="58" fillId="28" borderId="5" xfId="0" applyFont="1" applyFill="1" applyBorder="1" applyAlignment="1">
      <alignment horizontal="center" vertical="center"/>
    </xf>
    <xf numFmtId="0" fontId="45" fillId="31" borderId="39" xfId="0" applyFont="1" applyFill="1" applyBorder="1" applyAlignment="1">
      <alignment horizontal="center" vertical="center"/>
    </xf>
    <xf numFmtId="0" fontId="37" fillId="31" borderId="11" xfId="0" applyFont="1" applyFill="1" applyBorder="1" applyAlignment="1">
      <alignment horizontal="center" vertical="center"/>
    </xf>
    <xf numFmtId="0" fontId="2" fillId="31" borderId="38" xfId="0" applyFont="1" applyFill="1" applyBorder="1" applyAlignment="1">
      <alignment horizontal="center" vertical="center"/>
    </xf>
    <xf numFmtId="0" fontId="43" fillId="31" borderId="1" xfId="0" applyFont="1" applyFill="1" applyBorder="1" applyAlignment="1">
      <alignment horizontal="center" vertical="center"/>
    </xf>
    <xf numFmtId="0" fontId="45" fillId="38" borderId="39" xfId="0" applyFont="1" applyFill="1" applyBorder="1" applyAlignment="1">
      <alignment horizontal="center" vertical="center"/>
    </xf>
    <xf numFmtId="0" fontId="37" fillId="38" borderId="11" xfId="0" applyFont="1" applyFill="1" applyBorder="1" applyAlignment="1">
      <alignment horizontal="center" vertical="center"/>
    </xf>
    <xf numFmtId="0" fontId="2" fillId="38" borderId="38" xfId="0" applyFont="1" applyFill="1" applyBorder="1" applyAlignment="1">
      <alignment horizontal="center" vertical="center"/>
    </xf>
    <xf numFmtId="0" fontId="43" fillId="38" borderId="1" xfId="0" applyFont="1" applyFill="1" applyBorder="1" applyAlignment="1">
      <alignment horizontal="center" vertical="center"/>
    </xf>
    <xf numFmtId="0" fontId="126" fillId="33" borderId="1" xfId="0" applyFont="1" applyFill="1" applyBorder="1" applyAlignment="1">
      <alignment horizontal="center" vertical="center"/>
    </xf>
    <xf numFmtId="0" fontId="127" fillId="33" borderId="1" xfId="0" applyFont="1" applyFill="1" applyBorder="1" applyAlignment="1">
      <alignment horizontal="center" vertical="center"/>
    </xf>
    <xf numFmtId="0" fontId="128" fillId="33" borderId="1" xfId="0" applyFont="1" applyFill="1" applyBorder="1" applyAlignment="1">
      <alignment horizontal="center" vertical="center"/>
    </xf>
    <xf numFmtId="0" fontId="126" fillId="11" borderId="1" xfId="0" applyFont="1" applyFill="1" applyBorder="1" applyAlignment="1">
      <alignment horizontal="center" vertical="center"/>
    </xf>
    <xf numFmtId="0" fontId="127" fillId="11" borderId="1" xfId="0" applyFont="1" applyFill="1" applyBorder="1" applyAlignment="1">
      <alignment horizontal="center" vertical="center"/>
    </xf>
    <xf numFmtId="0" fontId="128" fillId="11" borderId="1" xfId="0" applyFont="1" applyFill="1" applyBorder="1" applyAlignment="1">
      <alignment horizontal="center" vertical="center"/>
    </xf>
    <xf numFmtId="0" fontId="126" fillId="34" borderId="1" xfId="0" applyFont="1" applyFill="1" applyBorder="1" applyAlignment="1">
      <alignment horizontal="center" vertical="center"/>
    </xf>
    <xf numFmtId="0" fontId="127" fillId="34" borderId="1" xfId="0" applyFont="1" applyFill="1" applyBorder="1" applyAlignment="1">
      <alignment horizontal="center" vertical="center"/>
    </xf>
    <xf numFmtId="0" fontId="128" fillId="34" borderId="1" xfId="0" applyFont="1" applyFill="1" applyBorder="1" applyAlignment="1">
      <alignment horizontal="center" vertical="center"/>
    </xf>
    <xf numFmtId="0" fontId="126" fillId="9" borderId="1" xfId="0" applyFont="1" applyFill="1" applyBorder="1" applyAlignment="1">
      <alignment horizontal="center" vertical="center"/>
    </xf>
    <xf numFmtId="0" fontId="127" fillId="9" borderId="1" xfId="0" applyFont="1" applyFill="1" applyBorder="1" applyAlignment="1">
      <alignment horizontal="center" vertical="center"/>
    </xf>
    <xf numFmtId="0" fontId="128" fillId="9" borderId="1" xfId="0" applyFont="1" applyFill="1" applyBorder="1" applyAlignment="1">
      <alignment horizontal="center" vertical="center"/>
    </xf>
    <xf numFmtId="49" fontId="113" fillId="34" borderId="1" xfId="0" applyNumberFormat="1" applyFont="1" applyFill="1" applyBorder="1" applyAlignment="1">
      <alignment horizontal="center" vertical="center"/>
    </xf>
    <xf numFmtId="0" fontId="27" fillId="11" borderId="1" xfId="0" applyFont="1" applyFill="1" applyBorder="1" applyAlignment="1">
      <alignment horizontal="center" vertical="center"/>
    </xf>
    <xf numFmtId="0" fontId="27" fillId="0" borderId="1" xfId="0" applyFont="1" applyFill="1" applyBorder="1" applyAlignment="1">
      <alignment horizontal="center" vertical="center"/>
    </xf>
    <xf numFmtId="0" fontId="129" fillId="0" borderId="6" xfId="0" applyFont="1" applyFill="1" applyBorder="1" applyAlignment="1">
      <alignment horizontal="center" vertical="center"/>
    </xf>
    <xf numFmtId="0" fontId="129" fillId="0" borderId="7" xfId="0" applyFont="1" applyFill="1" applyBorder="1" applyAlignment="1">
      <alignment horizontal="center" vertical="center"/>
    </xf>
    <xf numFmtId="0" fontId="11" fillId="0" borderId="0" xfId="0" applyFont="1" applyFill="1" applyAlignment="1">
      <alignment horizontal="center" vertical="center"/>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3" fillId="33" borderId="6" xfId="0" applyFont="1" applyFill="1" applyBorder="1" applyAlignment="1">
      <alignment horizontal="center" vertical="center"/>
    </xf>
    <xf numFmtId="0" fontId="113" fillId="11" borderId="6" xfId="0" applyFont="1" applyFill="1" applyBorder="1" applyAlignment="1">
      <alignment horizontal="center" vertical="center"/>
    </xf>
    <xf numFmtId="49" fontId="113" fillId="11" borderId="1" xfId="0" applyNumberFormat="1" applyFont="1" applyFill="1" applyBorder="1" applyAlignment="1">
      <alignment horizontal="center" vertical="center"/>
    </xf>
    <xf numFmtId="0" fontId="113" fillId="34" borderId="6" xfId="0" applyFont="1" applyFill="1" applyBorder="1" applyAlignment="1">
      <alignment horizontal="center" vertical="center"/>
    </xf>
    <xf numFmtId="49" fontId="130" fillId="9" borderId="1" xfId="0" applyNumberFormat="1" applyFont="1" applyFill="1" applyBorder="1" applyAlignment="1">
      <alignment horizontal="center" vertical="center"/>
    </xf>
    <xf numFmtId="0" fontId="113" fillId="9" borderId="6" xfId="0" applyFont="1" applyFill="1" applyBorder="1" applyAlignment="1">
      <alignment horizontal="center" vertical="center"/>
    </xf>
    <xf numFmtId="0" fontId="130" fillId="34" borderId="1" xfId="0" applyFont="1" applyFill="1" applyBorder="1" applyAlignment="1">
      <alignment horizontal="center" vertical="center"/>
    </xf>
    <xf numFmtId="49" fontId="114" fillId="34" borderId="6" xfId="0" applyNumberFormat="1" applyFont="1" applyFill="1" applyBorder="1" applyAlignment="1">
      <alignment horizontal="center" vertical="center"/>
    </xf>
    <xf numFmtId="0" fontId="98" fillId="5" borderId="6" xfId="0" applyFont="1" applyFill="1" applyBorder="1" applyAlignment="1">
      <alignment vertical="center" wrapText="1"/>
    </xf>
    <xf numFmtId="0" fontId="129" fillId="0" borderId="4"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5"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98" fillId="5" borderId="7" xfId="0" applyFont="1" applyFill="1" applyBorder="1" applyAlignment="1">
      <alignment vertical="center" wrapText="1"/>
    </xf>
    <xf numFmtId="0" fontId="98" fillId="5" borderId="8" xfId="0" applyFont="1" applyFill="1" applyBorder="1" applyAlignment="1">
      <alignment vertical="center" wrapText="1"/>
    </xf>
    <xf numFmtId="0" fontId="129" fillId="0" borderId="5" xfId="0" applyFont="1" applyFill="1" applyBorder="1" applyAlignment="1">
      <alignment horizontal="center" vertical="center"/>
    </xf>
    <xf numFmtId="0" fontId="14" fillId="0" borderId="2" xfId="0" applyFont="1" applyFill="1" applyBorder="1" applyAlignment="1">
      <alignment horizontal="center" vertical="center"/>
    </xf>
    <xf numFmtId="0" fontId="32" fillId="0" borderId="3" xfId="0" applyFont="1" applyFill="1" applyBorder="1" applyAlignment="1">
      <alignment horizontal="center" vertical="center" wrapText="1"/>
    </xf>
    <xf numFmtId="0" fontId="32" fillId="0" borderId="4" xfId="0" applyFont="1" applyFill="1" applyBorder="1" applyAlignment="1">
      <alignment horizontal="center" vertical="center" wrapText="1"/>
    </xf>
    <xf numFmtId="0" fontId="32" fillId="0" borderId="9" xfId="0" applyFont="1" applyFill="1" applyBorder="1" applyAlignment="1">
      <alignment horizontal="center" vertical="center" wrapText="1"/>
    </xf>
    <xf numFmtId="0" fontId="32" fillId="0" borderId="0" xfId="0" applyFont="1" applyFill="1" applyAlignment="1">
      <alignment horizontal="center" vertical="center" wrapText="1"/>
    </xf>
    <xf numFmtId="0" fontId="32" fillId="0" borderId="18" xfId="0" applyFont="1" applyFill="1" applyBorder="1" applyAlignment="1">
      <alignment horizontal="center" vertical="center" wrapText="1"/>
    </xf>
    <xf numFmtId="0" fontId="32" fillId="0" borderId="20" xfId="0" applyFont="1" applyFill="1" applyBorder="1" applyAlignment="1">
      <alignment horizontal="center" vertical="center" wrapText="1"/>
    </xf>
    <xf numFmtId="9" fontId="12" fillId="9" borderId="12" xfId="0" applyNumberFormat="1" applyFont="1" applyFill="1" applyBorder="1" applyAlignment="1">
      <alignment horizontal="center" vertical="center"/>
    </xf>
    <xf numFmtId="9" fontId="12" fillId="9" borderId="13" xfId="0" applyNumberFormat="1" applyFont="1" applyFill="1" applyBorder="1" applyAlignment="1">
      <alignment horizontal="center" vertical="center"/>
    </xf>
    <xf numFmtId="9" fontId="12" fillId="5" borderId="12" xfId="0" applyNumberFormat="1" applyFont="1" applyFill="1" applyBorder="1" applyAlignment="1">
      <alignment horizontal="center" vertical="center"/>
    </xf>
    <xf numFmtId="9" fontId="12" fillId="5" borderId="13" xfId="0" applyNumberFormat="1" applyFont="1" applyFill="1" applyBorder="1" applyAlignment="1">
      <alignment horizontal="center" vertical="center"/>
    </xf>
    <xf numFmtId="0" fontId="72" fillId="0" borderId="1" xfId="0" applyFont="1" applyFill="1" applyBorder="1" applyAlignment="1">
      <alignment horizontal="center" vertical="center"/>
    </xf>
    <xf numFmtId="0" fontId="8" fillId="25" borderId="9" xfId="0" applyFont="1" applyFill="1" applyBorder="1" applyAlignment="1">
      <alignment horizontal="center" vertical="center"/>
    </xf>
    <xf numFmtId="0" fontId="8" fillId="25" borderId="0" xfId="0" applyFont="1" applyFill="1" applyAlignment="1">
      <alignment horizontal="center" vertical="center"/>
    </xf>
    <xf numFmtId="0" fontId="131" fillId="39" borderId="2" xfId="0" applyFont="1" applyFill="1" applyBorder="1" applyAlignment="1">
      <alignment horizontal="center" vertical="center"/>
    </xf>
    <xf numFmtId="0" fontId="8" fillId="25" borderId="2" xfId="0" applyFont="1" applyFill="1" applyBorder="1" applyAlignment="1">
      <alignment horizontal="center" vertical="center"/>
    </xf>
    <xf numFmtId="0" fontId="132" fillId="20" borderId="58"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1" xfId="0" applyFont="1" applyFill="1" applyBorder="1" applyAlignment="1">
      <alignment horizontal="center" vertical="center"/>
    </xf>
    <xf numFmtId="0" fontId="6" fillId="17" borderId="0" xfId="0" applyFont="1" applyFill="1" applyAlignment="1">
      <alignment vertical="center"/>
    </xf>
    <xf numFmtId="0" fontId="7" fillId="17" borderId="0" xfId="0" applyFont="1" applyFill="1" applyAlignment="1">
      <alignment horizontal="center" vertical="center"/>
    </xf>
    <xf numFmtId="0" fontId="133" fillId="10" borderId="18" xfId="0" applyFont="1" applyFill="1" applyBorder="1" applyAlignment="1">
      <alignment horizontal="center" vertical="center"/>
    </xf>
    <xf numFmtId="0" fontId="133" fillId="10" borderId="19" xfId="0" applyFont="1" applyFill="1" applyBorder="1" applyAlignment="1">
      <alignment horizontal="center" vertical="center"/>
    </xf>
    <xf numFmtId="0" fontId="22" fillId="10" borderId="23" xfId="0" applyFont="1" applyFill="1" applyBorder="1" applyAlignment="1">
      <alignment horizontal="center" vertical="center"/>
    </xf>
    <xf numFmtId="0" fontId="9" fillId="10" borderId="23" xfId="0" applyFont="1" applyFill="1" applyBorder="1" applyAlignment="1">
      <alignment horizontal="center" vertical="center"/>
    </xf>
    <xf numFmtId="0" fontId="23" fillId="10" borderId="23" xfId="0" applyFont="1" applyFill="1" applyBorder="1" applyAlignment="1">
      <alignment horizontal="center" vertical="center"/>
    </xf>
    <xf numFmtId="0" fontId="24" fillId="10" borderId="23" xfId="0" applyFont="1" applyFill="1" applyBorder="1" applyAlignment="1">
      <alignment horizontal="center" vertical="center"/>
    </xf>
    <xf numFmtId="0" fontId="11" fillId="34" borderId="1" xfId="0" applyFont="1" applyFill="1" applyBorder="1" applyAlignment="1">
      <alignment horizontal="center" vertical="center"/>
    </xf>
    <xf numFmtId="0" fontId="11" fillId="34" borderId="6" xfId="0" applyFont="1" applyFill="1" applyBorder="1" applyAlignment="1">
      <alignment horizontal="center" vertical="center"/>
    </xf>
    <xf numFmtId="0" fontId="14" fillId="34" borderId="1" xfId="0" applyFont="1" applyFill="1" applyBorder="1" applyAlignment="1">
      <alignment horizontal="center" vertical="center"/>
    </xf>
    <xf numFmtId="0" fontId="15" fillId="34" borderId="1" xfId="0" applyFont="1" applyFill="1" applyBorder="1" applyAlignment="1">
      <alignment horizontal="center" vertical="center"/>
    </xf>
    <xf numFmtId="0" fontId="16" fillId="34" borderId="1" xfId="0" applyFont="1" applyFill="1" applyBorder="1" applyAlignment="1">
      <alignment horizontal="center" vertical="center"/>
    </xf>
    <xf numFmtId="0" fontId="17" fillId="34" borderId="1" xfId="0" applyFont="1" applyFill="1" applyBorder="1" applyAlignment="1">
      <alignment horizontal="center" vertical="center"/>
    </xf>
    <xf numFmtId="0" fontId="46" fillId="5" borderId="3"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46" fillId="5" borderId="18" xfId="0" applyFont="1" applyFill="1" applyBorder="1" applyAlignment="1">
      <alignment horizontal="center" vertical="center" wrapText="1"/>
    </xf>
    <xf numFmtId="0" fontId="46" fillId="5" borderId="20" xfId="0" applyFont="1" applyFill="1" applyBorder="1" applyAlignment="1">
      <alignment horizontal="center" vertical="center" wrapText="1"/>
    </xf>
    <xf numFmtId="0" fontId="7" fillId="23" borderId="8" xfId="0" applyFont="1" applyFill="1" applyBorder="1" applyAlignment="1">
      <alignment horizontal="center" vertical="center"/>
    </xf>
    <xf numFmtId="0" fontId="39" fillId="0" borderId="3" xfId="0" applyFont="1" applyFill="1" applyBorder="1" applyAlignment="1">
      <alignment horizontal="center" vertical="center"/>
    </xf>
    <xf numFmtId="9" fontId="12" fillId="9" borderId="26" xfId="0" applyNumberFormat="1" applyFont="1" applyFill="1" applyBorder="1" applyAlignment="1">
      <alignment horizontal="center" vertical="center"/>
    </xf>
    <xf numFmtId="9" fontId="2" fillId="9" borderId="27" xfId="0" applyNumberFormat="1" applyFont="1" applyFill="1" applyBorder="1" applyAlignment="1">
      <alignment horizontal="center" vertical="center"/>
    </xf>
    <xf numFmtId="9" fontId="36" fillId="9" borderId="34" xfId="0" applyNumberFormat="1" applyFont="1" applyFill="1" applyBorder="1" applyAlignment="1">
      <alignment horizontal="center" vertical="center"/>
    </xf>
    <xf numFmtId="9" fontId="2" fillId="9" borderId="29" xfId="0" applyNumberFormat="1" applyFont="1" applyFill="1" applyBorder="1" applyAlignment="1">
      <alignment horizontal="center" vertical="center"/>
    </xf>
    <xf numFmtId="9" fontId="37" fillId="9" borderId="12" xfId="0" applyNumberFormat="1" applyFont="1" applyFill="1" applyBorder="1" applyAlignment="1">
      <alignment horizontal="center" vertical="center"/>
    </xf>
    <xf numFmtId="9" fontId="37" fillId="9" borderId="26" xfId="0" applyNumberFormat="1" applyFont="1" applyFill="1" applyBorder="1" applyAlignment="1">
      <alignment horizontal="center" vertical="center"/>
    </xf>
    <xf numFmtId="9" fontId="12" fillId="5" borderId="26" xfId="0" applyNumberFormat="1" applyFont="1" applyFill="1" applyBorder="1" applyAlignment="1">
      <alignment horizontal="center" vertical="center"/>
    </xf>
    <xf numFmtId="9" fontId="2" fillId="5" borderId="27" xfId="0" applyNumberFormat="1" applyFont="1" applyFill="1" applyBorder="1" applyAlignment="1">
      <alignment horizontal="center" vertical="center"/>
    </xf>
    <xf numFmtId="9" fontId="36" fillId="5" borderId="28" xfId="0" applyNumberFormat="1" applyFont="1" applyFill="1" applyBorder="1" applyAlignment="1">
      <alignment horizontal="center" vertical="center"/>
    </xf>
    <xf numFmtId="9" fontId="2" fillId="5" borderId="29" xfId="0" applyNumberFormat="1" applyFont="1" applyFill="1" applyBorder="1" applyAlignment="1">
      <alignment horizontal="center" vertical="center"/>
    </xf>
    <xf numFmtId="9" fontId="37" fillId="5" borderId="10" xfId="0" applyNumberFormat="1" applyFont="1" applyFill="1" applyBorder="1" applyAlignment="1">
      <alignment horizontal="center" vertical="center"/>
    </xf>
    <xf numFmtId="9" fontId="37" fillId="5" borderId="25" xfId="0" applyNumberFormat="1" applyFont="1" applyFill="1" applyBorder="1" applyAlignment="1">
      <alignment horizontal="center" vertical="center"/>
    </xf>
    <xf numFmtId="0" fontId="28" fillId="0" borderId="4" xfId="0" applyFont="1" applyFill="1" applyBorder="1" applyAlignment="1">
      <alignment horizontal="center" vertical="center"/>
    </xf>
    <xf numFmtId="0" fontId="134" fillId="20" borderId="59" xfId="0" applyFont="1" applyFill="1" applyBorder="1" applyAlignment="1">
      <alignment horizontal="center" vertical="center"/>
    </xf>
    <xf numFmtId="0" fontId="37" fillId="9" borderId="7" xfId="0" applyFont="1" applyFill="1" applyBorder="1" applyAlignment="1">
      <alignment horizontal="center" vertical="center"/>
    </xf>
    <xf numFmtId="0" fontId="37" fillId="9" borderId="1" xfId="0" applyFont="1" applyFill="1" applyBorder="1" applyAlignment="1">
      <alignment horizontal="center" vertical="center"/>
    </xf>
    <xf numFmtId="0" fontId="42" fillId="10" borderId="23" xfId="0" applyFont="1" applyFill="1" applyBorder="1" applyAlignment="1">
      <alignment horizontal="center" vertical="center"/>
    </xf>
    <xf numFmtId="0" fontId="43" fillId="10" borderId="23" xfId="0" applyFont="1" applyFill="1" applyBorder="1" applyAlignment="1">
      <alignment horizontal="center" vertical="center"/>
    </xf>
    <xf numFmtId="0" fontId="38" fillId="34" borderId="1" xfId="0" applyFont="1" applyFill="1" applyBorder="1" applyAlignment="1">
      <alignment horizontal="center" vertical="center"/>
    </xf>
    <xf numFmtId="0" fontId="39" fillId="34" borderId="1" xfId="0" applyFont="1" applyFill="1" applyBorder="1" applyAlignment="1">
      <alignment horizontal="center" vertical="center"/>
    </xf>
    <xf numFmtId="0" fontId="39" fillId="9" borderId="1" xfId="0" applyFont="1" applyFill="1" applyBorder="1" applyAlignment="1">
      <alignment horizontal="center" vertical="center"/>
    </xf>
    <xf numFmtId="0" fontId="46" fillId="5" borderId="5" xfId="0" applyFont="1" applyFill="1" applyBorder="1" applyAlignment="1">
      <alignment horizontal="center" vertical="center" wrapText="1"/>
    </xf>
    <xf numFmtId="0" fontId="46" fillId="5" borderId="19" xfId="0" applyFont="1" applyFill="1" applyBorder="1" applyAlignment="1">
      <alignment horizontal="center" vertical="center" wrapText="1"/>
    </xf>
    <xf numFmtId="0" fontId="47" fillId="5" borderId="7" xfId="0" applyFont="1" applyFill="1" applyBorder="1" applyAlignment="1">
      <alignment horizontal="center" vertical="center" wrapText="1"/>
    </xf>
    <xf numFmtId="0" fontId="47" fillId="5" borderId="8" xfId="0" applyFont="1" applyFill="1" applyBorder="1" applyAlignment="1">
      <alignment horizontal="center" vertical="center" wrapText="1"/>
    </xf>
    <xf numFmtId="0" fontId="32" fillId="0" borderId="5" xfId="0" applyFont="1" applyFill="1" applyBorder="1" applyAlignment="1">
      <alignment horizontal="center" vertical="center" wrapText="1"/>
    </xf>
    <xf numFmtId="0" fontId="32" fillId="0" borderId="38" xfId="0" applyFont="1" applyFill="1" applyBorder="1" applyAlignment="1">
      <alignment horizontal="center" vertical="center" wrapText="1"/>
    </xf>
    <xf numFmtId="0" fontId="32" fillId="0" borderId="19" xfId="0" applyFont="1" applyFill="1" applyBorder="1" applyAlignment="1">
      <alignment horizontal="center" vertical="center" wrapText="1"/>
    </xf>
    <xf numFmtId="9" fontId="45" fillId="9" borderId="41" xfId="0" applyNumberFormat="1" applyFont="1" applyFill="1" applyBorder="1" applyAlignment="1">
      <alignment horizontal="center" vertical="center"/>
    </xf>
    <xf numFmtId="9" fontId="37" fillId="9" borderId="13" xfId="0" applyNumberFormat="1" applyFont="1" applyFill="1" applyBorder="1" applyAlignment="1">
      <alignment horizontal="center" vertical="center"/>
    </xf>
    <xf numFmtId="9" fontId="2" fillId="9" borderId="40" xfId="0" applyNumberFormat="1" applyFont="1" applyFill="1" applyBorder="1" applyAlignment="1">
      <alignment horizontal="center" vertical="center"/>
    </xf>
    <xf numFmtId="9" fontId="43" fillId="9" borderId="2" xfId="0" applyNumberFormat="1" applyFont="1" applyFill="1" applyBorder="1" applyAlignment="1">
      <alignment horizontal="center" vertical="center"/>
    </xf>
    <xf numFmtId="9" fontId="45" fillId="5" borderId="39" xfId="0" applyNumberFormat="1" applyFont="1" applyFill="1" applyBorder="1" applyAlignment="1">
      <alignment horizontal="center" vertical="center"/>
    </xf>
    <xf numFmtId="9" fontId="37" fillId="5" borderId="11" xfId="0" applyNumberFormat="1" applyFont="1" applyFill="1" applyBorder="1" applyAlignment="1">
      <alignment horizontal="center" vertical="center"/>
    </xf>
    <xf numFmtId="9" fontId="2" fillId="5" borderId="40" xfId="0" applyNumberFormat="1" applyFont="1" applyFill="1" applyBorder="1" applyAlignment="1">
      <alignment horizontal="center" vertical="center"/>
    </xf>
    <xf numFmtId="9" fontId="43" fillId="5" borderId="1" xfId="0" applyNumberFormat="1" applyFont="1" applyFill="1" applyBorder="1" applyAlignment="1">
      <alignment horizontal="center" vertical="center"/>
    </xf>
    <xf numFmtId="0" fontId="28" fillId="0" borderId="5" xfId="0" applyFont="1" applyFill="1" applyBorder="1" applyAlignment="1">
      <alignment horizontal="center" vertical="center"/>
    </xf>
    <xf numFmtId="0" fontId="134" fillId="20" borderId="60" xfId="0" applyFont="1" applyFill="1" applyBorder="1" applyAlignment="1">
      <alignment horizontal="center" vertical="center"/>
    </xf>
    <xf numFmtId="0" fontId="134" fillId="20" borderId="61" xfId="0" applyFont="1" applyFill="1" applyBorder="1" applyAlignment="1">
      <alignment horizontal="center" vertical="center"/>
    </xf>
    <xf numFmtId="0" fontId="43" fillId="20" borderId="7" xfId="0" applyFont="1" applyFill="1" applyBorder="1" applyAlignment="1">
      <alignment horizontal="center" vertical="center"/>
    </xf>
    <xf numFmtId="0" fontId="43" fillId="20" borderId="8" xfId="0" applyFont="1" applyFill="1" applyBorder="1" applyAlignment="1">
      <alignment horizontal="center" vertical="center"/>
    </xf>
    <xf numFmtId="0" fontId="5" fillId="4" borderId="6"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9" xfId="0" applyFont="1" applyFill="1" applyBorder="1" applyAlignment="1">
      <alignment horizontal="center" vertical="center"/>
    </xf>
    <xf numFmtId="0" fontId="11" fillId="8" borderId="23" xfId="0" applyFont="1" applyFill="1" applyBorder="1" applyAlignment="1">
      <alignment horizontal="center" vertical="center"/>
    </xf>
    <xf numFmtId="0" fontId="11" fillId="8" borderId="18" xfId="0" applyFont="1" applyFill="1" applyBorder="1" applyAlignment="1">
      <alignment horizontal="center" vertical="center"/>
    </xf>
    <xf numFmtId="0" fontId="12" fillId="8" borderId="21"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6" xfId="0" applyFont="1" applyFill="1" applyBorder="1" applyAlignment="1">
      <alignment horizontal="center" vertical="center"/>
    </xf>
    <xf numFmtId="0" fontId="12" fillId="8" borderId="17" xfId="0" applyFont="1" applyFill="1" applyBorder="1" applyAlignment="1">
      <alignment horizontal="center" vertical="center"/>
    </xf>
    <xf numFmtId="0" fontId="135" fillId="40" borderId="1" xfId="0" applyFont="1" applyFill="1" applyBorder="1" applyAlignment="1">
      <alignment horizontal="center" vertical="center"/>
    </xf>
    <xf numFmtId="0" fontId="135" fillId="40" borderId="6" xfId="0" applyFont="1" applyFill="1" applyBorder="1" applyAlignment="1">
      <alignment horizontal="center" vertical="center"/>
    </xf>
    <xf numFmtId="0" fontId="12" fillId="40" borderId="16" xfId="0" applyFont="1" applyFill="1" applyBorder="1" applyAlignment="1">
      <alignment horizontal="center" vertical="center"/>
    </xf>
    <xf numFmtId="0" fontId="12" fillId="40" borderId="17" xfId="0" applyFont="1" applyFill="1" applyBorder="1" applyAlignment="1">
      <alignment horizontal="center" vertical="center"/>
    </xf>
    <xf numFmtId="0" fontId="7" fillId="28" borderId="6" xfId="0" applyFont="1" applyFill="1" applyBorder="1" applyAlignment="1">
      <alignment horizontal="center" vertical="center"/>
    </xf>
    <xf numFmtId="0" fontId="7" fillId="28" borderId="7"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0" xfId="0" applyFont="1" applyFill="1" applyAlignment="1">
      <alignment horizontal="center" vertical="center"/>
    </xf>
    <xf numFmtId="0" fontId="11" fillId="9" borderId="1" xfId="0" applyNumberFormat="1" applyFont="1" applyFill="1" applyBorder="1" applyAlignment="1">
      <alignment horizontal="center" vertical="center"/>
    </xf>
    <xf numFmtId="0" fontId="12" fillId="9" borderId="11" xfId="0" applyNumberFormat="1" applyFont="1" applyFill="1" applyBorder="1" applyAlignment="1">
      <alignment horizontal="center" vertical="center"/>
    </xf>
    <xf numFmtId="0" fontId="11" fillId="5" borderId="6" xfId="0" applyNumberFormat="1" applyFont="1" applyFill="1" applyBorder="1" applyAlignment="1">
      <alignment horizontal="center" vertical="center"/>
    </xf>
    <xf numFmtId="0" fontId="11" fillId="5" borderId="8" xfId="0" applyNumberFormat="1" applyFont="1" applyFill="1" applyBorder="1" applyAlignment="1">
      <alignment horizontal="center" vertical="center"/>
    </xf>
    <xf numFmtId="0" fontId="12" fillId="5" borderId="10" xfId="0" applyNumberFormat="1" applyFont="1" applyFill="1" applyBorder="1" applyAlignment="1">
      <alignment horizontal="center" vertical="center"/>
    </xf>
    <xf numFmtId="0" fontId="12" fillId="5" borderId="11" xfId="0" applyNumberFormat="1" applyFont="1" applyFill="1" applyBorder="1" applyAlignment="1">
      <alignment horizontal="center" vertical="center"/>
    </xf>
    <xf numFmtId="0" fontId="11" fillId="0" borderId="2" xfId="0" applyNumberFormat="1" applyFont="1" applyFill="1" applyBorder="1" applyAlignment="1">
      <alignment horizontal="center" vertical="center"/>
    </xf>
    <xf numFmtId="0" fontId="12" fillId="0" borderId="12"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0" fontId="11" fillId="8" borderId="2" xfId="0" applyNumberFormat="1" applyFont="1" applyFill="1" applyBorder="1" applyAlignment="1">
      <alignment horizontal="center" vertical="center"/>
    </xf>
    <xf numFmtId="0" fontId="12" fillId="8" borderId="12" xfId="0" applyNumberFormat="1" applyFont="1" applyFill="1" applyBorder="1" applyAlignment="1">
      <alignment horizontal="center" vertical="center"/>
    </xf>
    <xf numFmtId="0" fontId="12" fillId="8" borderId="13" xfId="0" applyNumberFormat="1" applyFont="1" applyFill="1" applyBorder="1" applyAlignment="1">
      <alignment horizontal="center" vertical="center"/>
    </xf>
    <xf numFmtId="0" fontId="121" fillId="0" borderId="6" xfId="0" applyNumberFormat="1" applyFont="1" applyFill="1" applyBorder="1" applyAlignment="1">
      <alignment horizontal="center" vertical="center"/>
    </xf>
    <xf numFmtId="0" fontId="121" fillId="0" borderId="7" xfId="0" applyNumberFormat="1" applyFont="1" applyFill="1" applyBorder="1" applyAlignment="1">
      <alignment horizontal="center" vertical="center"/>
    </xf>
    <xf numFmtId="0" fontId="27" fillId="0"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27" fillId="9" borderId="23" xfId="0" applyNumberFormat="1" applyFont="1" applyFill="1" applyBorder="1" applyAlignment="1">
      <alignment horizontal="center" vertical="center"/>
    </xf>
    <xf numFmtId="0" fontId="11" fillId="9" borderId="23" xfId="0" applyNumberFormat="1" applyFont="1" applyFill="1" applyBorder="1" applyAlignment="1">
      <alignment horizontal="center" vertical="center"/>
    </xf>
    <xf numFmtId="0" fontId="12" fillId="9" borderId="16" xfId="0" applyNumberFormat="1" applyFont="1" applyFill="1" applyBorder="1" applyAlignment="1">
      <alignment horizontal="center" vertical="center"/>
    </xf>
    <xf numFmtId="0" fontId="12" fillId="9" borderId="17" xfId="0" applyNumberFormat="1" applyFont="1" applyFill="1" applyBorder="1" applyAlignment="1">
      <alignment horizontal="center" vertical="center"/>
    </xf>
    <xf numFmtId="0" fontId="11" fillId="5" borderId="1" xfId="0" applyNumberFormat="1" applyFont="1" applyFill="1" applyBorder="1" applyAlignment="1">
      <alignment horizontal="center" vertical="center"/>
    </xf>
    <xf numFmtId="0" fontId="12" fillId="5" borderId="16" xfId="0" applyNumberFormat="1" applyFont="1" applyFill="1" applyBorder="1" applyAlignment="1">
      <alignment horizontal="center" vertical="center"/>
    </xf>
    <xf numFmtId="0" fontId="12" fillId="5" borderId="17" xfId="0" applyNumberFormat="1" applyFont="1" applyFill="1" applyBorder="1" applyAlignment="1">
      <alignment horizontal="center" vertical="center"/>
    </xf>
    <xf numFmtId="0" fontId="7" fillId="39" borderId="6" xfId="0" applyFont="1" applyFill="1" applyBorder="1" applyAlignment="1">
      <alignment horizontal="center" vertical="center"/>
    </xf>
    <xf numFmtId="0" fontId="7" fillId="39" borderId="7" xfId="0" applyFont="1" applyFill="1" applyBorder="1" applyAlignment="1">
      <alignment horizontal="center" vertical="center"/>
    </xf>
    <xf numFmtId="0" fontId="2" fillId="4" borderId="1" xfId="0" applyFont="1" applyFill="1" applyBorder="1" applyAlignment="1">
      <alignment horizontal="center" vertical="center"/>
    </xf>
    <xf numFmtId="0" fontId="136" fillId="5" borderId="6" xfId="0" applyFont="1" applyFill="1" applyBorder="1" applyAlignment="1">
      <alignment horizontal="center" vertical="center"/>
    </xf>
    <xf numFmtId="0" fontId="137" fillId="5" borderId="1" xfId="0" applyFont="1" applyFill="1" applyBorder="1" applyAlignment="1">
      <alignment horizontal="center" vertical="center"/>
    </xf>
    <xf numFmtId="0" fontId="23" fillId="5" borderId="1" xfId="0" applyFont="1" applyFill="1" applyBorder="1" applyAlignment="1">
      <alignment horizontal="center" vertical="center"/>
    </xf>
    <xf numFmtId="0" fontId="24" fillId="5" borderId="1" xfId="0" applyFont="1" applyFill="1" applyBorder="1" applyAlignment="1">
      <alignment horizontal="center" vertical="center"/>
    </xf>
    <xf numFmtId="0" fontId="138" fillId="5" borderId="6" xfId="0" applyFont="1" applyFill="1" applyBorder="1" applyAlignment="1">
      <alignment horizontal="center" vertical="center"/>
    </xf>
    <xf numFmtId="0" fontId="138" fillId="5" borderId="7" xfId="0" applyFont="1" applyFill="1" applyBorder="1" applyAlignment="1">
      <alignment horizontal="center" vertical="center"/>
    </xf>
    <xf numFmtId="0" fontId="138" fillId="5" borderId="8" xfId="0" applyFont="1" applyFill="1" applyBorder="1" applyAlignment="1">
      <alignment horizontal="center" vertical="center"/>
    </xf>
    <xf numFmtId="0" fontId="139" fillId="0" borderId="6" xfId="0" applyFont="1" applyFill="1" applyBorder="1" applyAlignment="1">
      <alignment horizontal="center" vertical="center"/>
    </xf>
    <xf numFmtId="0" fontId="139" fillId="0" borderId="7" xfId="0" applyFont="1" applyFill="1" applyBorder="1" applyAlignment="1">
      <alignment horizontal="center" vertical="center"/>
    </xf>
    <xf numFmtId="0" fontId="139" fillId="0" borderId="8" xfId="0" applyFont="1" applyFill="1" applyBorder="1" applyAlignment="1">
      <alignment horizontal="center" vertical="center"/>
    </xf>
    <xf numFmtId="0" fontId="140" fillId="0" borderId="6" xfId="0" applyFont="1" applyFill="1" applyBorder="1" applyAlignment="1">
      <alignment horizontal="center" vertical="center"/>
    </xf>
    <xf numFmtId="0" fontId="140" fillId="0" borderId="7" xfId="0" applyFont="1" applyFill="1" applyBorder="1" applyAlignment="1">
      <alignment horizontal="center" vertical="center"/>
    </xf>
    <xf numFmtId="0" fontId="140" fillId="0" borderId="8" xfId="0" applyFont="1" applyFill="1" applyBorder="1" applyAlignment="1">
      <alignment horizontal="center" vertical="center"/>
    </xf>
    <xf numFmtId="0" fontId="141" fillId="0" borderId="3" xfId="0" applyFont="1" applyFill="1" applyBorder="1" applyAlignment="1">
      <alignment horizontal="center" vertical="center" wrapText="1"/>
    </xf>
    <xf numFmtId="0" fontId="141" fillId="0" borderId="4" xfId="0" applyFont="1" applyFill="1" applyBorder="1" applyAlignment="1">
      <alignment horizontal="center" vertical="center"/>
    </xf>
    <xf numFmtId="0" fontId="142" fillId="5" borderId="3" xfId="0" applyFont="1" applyFill="1" applyBorder="1" applyAlignment="1">
      <alignment horizontal="center" vertical="center"/>
    </xf>
    <xf numFmtId="0" fontId="142" fillId="5" borderId="4" xfId="0" applyFont="1" applyFill="1" applyBorder="1" applyAlignment="1">
      <alignment horizontal="center" vertical="center"/>
    </xf>
    <xf numFmtId="0" fontId="142" fillId="5" borderId="5" xfId="0" applyFont="1" applyFill="1" applyBorder="1" applyAlignment="1">
      <alignment horizontal="center" vertical="center"/>
    </xf>
    <xf numFmtId="0" fontId="141" fillId="0" borderId="18" xfId="0" applyFont="1" applyFill="1" applyBorder="1" applyAlignment="1">
      <alignment horizontal="center" vertical="center"/>
    </xf>
    <xf numFmtId="0" fontId="141" fillId="0" borderId="20"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12" fillId="8" borderId="35" xfId="0" applyFont="1" applyFill="1" applyBorder="1" applyAlignment="1">
      <alignment horizontal="center" vertical="center"/>
    </xf>
    <xf numFmtId="0" fontId="74" fillId="8" borderId="37" xfId="0" applyFont="1" applyFill="1" applyBorder="1" applyAlignment="1">
      <alignment horizontal="center" vertical="center"/>
    </xf>
    <xf numFmtId="0" fontId="37" fillId="8" borderId="16" xfId="0" applyFont="1" applyFill="1" applyBorder="1" applyAlignment="1">
      <alignment horizontal="center" vertical="center"/>
    </xf>
    <xf numFmtId="0" fontId="37" fillId="8" borderId="32" xfId="0" applyFont="1" applyFill="1" applyBorder="1" applyAlignment="1">
      <alignment horizontal="center" vertical="center"/>
    </xf>
    <xf numFmtId="0" fontId="12" fillId="8" borderId="32" xfId="0" applyFont="1" applyFill="1" applyBorder="1" applyAlignment="1">
      <alignment horizontal="center" vertical="center"/>
    </xf>
    <xf numFmtId="0" fontId="2" fillId="12" borderId="18" xfId="0" applyFont="1" applyFill="1" applyBorder="1" applyAlignment="1">
      <alignment horizontal="center" vertical="center"/>
    </xf>
    <xf numFmtId="0" fontId="36" fillId="12" borderId="47" xfId="0" applyFont="1" applyFill="1" applyBorder="1" applyAlignment="1">
      <alignment horizontal="center" vertical="center"/>
    </xf>
    <xf numFmtId="0" fontId="2" fillId="12" borderId="20" xfId="0" applyFont="1" applyFill="1" applyBorder="1" applyAlignment="1">
      <alignment horizontal="center" vertical="center"/>
    </xf>
    <xf numFmtId="0" fontId="37" fillId="12" borderId="16" xfId="0" applyFont="1" applyFill="1" applyBorder="1" applyAlignment="1">
      <alignment horizontal="center" vertical="center"/>
    </xf>
    <xf numFmtId="0" fontId="37" fillId="12" borderId="32" xfId="0" applyFont="1" applyFill="1" applyBorder="1" applyAlignment="1">
      <alignment horizontal="center" vertical="center"/>
    </xf>
    <xf numFmtId="0" fontId="2" fillId="40" borderId="18" xfId="0" applyFont="1" applyFill="1" applyBorder="1" applyAlignment="1">
      <alignment horizontal="center" vertical="center"/>
    </xf>
    <xf numFmtId="0" fontId="36" fillId="40" borderId="47" xfId="0" applyFont="1" applyFill="1" applyBorder="1" applyAlignment="1">
      <alignment horizontal="center" vertical="center"/>
    </xf>
    <xf numFmtId="0" fontId="2" fillId="40" borderId="20" xfId="0" applyFont="1" applyFill="1" applyBorder="1" applyAlignment="1">
      <alignment horizontal="center" vertical="center"/>
    </xf>
    <xf numFmtId="0" fontId="37" fillId="40" borderId="16" xfId="0" applyFont="1" applyFill="1" applyBorder="1" applyAlignment="1">
      <alignment horizontal="center" vertical="center"/>
    </xf>
    <xf numFmtId="0" fontId="37" fillId="40" borderId="32" xfId="0" applyFont="1" applyFill="1" applyBorder="1" applyAlignment="1">
      <alignment horizontal="center" vertical="center"/>
    </xf>
    <xf numFmtId="176" fontId="37" fillId="0" borderId="25" xfId="0" applyNumberFormat="1" applyFont="1" applyFill="1" applyBorder="1" applyAlignment="1">
      <alignment horizontal="center" vertical="center"/>
    </xf>
    <xf numFmtId="0" fontId="12" fillId="12" borderId="46" xfId="0" applyFont="1" applyFill="1" applyBorder="1" applyAlignment="1">
      <alignment horizontal="center" vertical="center"/>
    </xf>
    <xf numFmtId="0" fontId="12" fillId="40" borderId="46" xfId="0" applyFont="1" applyFill="1" applyBorder="1" applyAlignment="1">
      <alignment horizontal="center" vertical="center"/>
    </xf>
    <xf numFmtId="0" fontId="7" fillId="28" borderId="8" xfId="0" applyFont="1" applyFill="1" applyBorder="1" applyAlignment="1">
      <alignment horizontal="center" vertical="center"/>
    </xf>
    <xf numFmtId="0" fontId="12" fillId="9" borderId="25" xfId="0" applyNumberFormat="1" applyFont="1" applyFill="1" applyBorder="1" applyAlignment="1">
      <alignment horizontal="center" vertical="center"/>
    </xf>
    <xf numFmtId="0" fontId="2" fillId="9" borderId="27" xfId="0" applyNumberFormat="1" applyFont="1" applyFill="1" applyBorder="1" applyAlignment="1">
      <alignment vertical="center"/>
    </xf>
    <xf numFmtId="0" fontId="36" fillId="9" borderId="28" xfId="0" applyNumberFormat="1" applyFont="1" applyFill="1" applyBorder="1" applyAlignment="1">
      <alignment horizontal="center" vertical="center"/>
    </xf>
    <xf numFmtId="0" fontId="2" fillId="9" borderId="29" xfId="0" applyNumberFormat="1" applyFont="1" applyFill="1" applyBorder="1" applyAlignment="1">
      <alignment vertical="center"/>
    </xf>
    <xf numFmtId="0" fontId="37" fillId="9" borderId="10" xfId="0" applyNumberFormat="1" applyFont="1" applyFill="1" applyBorder="1" applyAlignment="1">
      <alignment horizontal="center" vertical="center"/>
    </xf>
    <xf numFmtId="0" fontId="37" fillId="9" borderId="25" xfId="0" applyNumberFormat="1" applyFont="1" applyFill="1" applyBorder="1" applyAlignment="1">
      <alignment horizontal="center" vertical="center"/>
    </xf>
    <xf numFmtId="0" fontId="12" fillId="5" borderId="25" xfId="0" applyNumberFormat="1" applyFont="1" applyFill="1" applyBorder="1" applyAlignment="1">
      <alignment horizontal="center" vertical="center"/>
    </xf>
    <xf numFmtId="0" fontId="2" fillId="5" borderId="27" xfId="0" applyNumberFormat="1" applyFont="1" applyFill="1" applyBorder="1" applyAlignment="1">
      <alignment vertical="center"/>
    </xf>
    <xf numFmtId="0" fontId="36" fillId="5" borderId="28" xfId="0" applyNumberFormat="1" applyFont="1" applyFill="1" applyBorder="1" applyAlignment="1">
      <alignment horizontal="center" vertical="center"/>
    </xf>
    <xf numFmtId="0" fontId="2" fillId="5" borderId="29" xfId="0" applyNumberFormat="1" applyFont="1" applyFill="1" applyBorder="1" applyAlignment="1">
      <alignment vertical="center"/>
    </xf>
    <xf numFmtId="0" fontId="37" fillId="5" borderId="10" xfId="0" applyNumberFormat="1" applyFont="1" applyFill="1" applyBorder="1" applyAlignment="1">
      <alignment horizontal="center" vertical="center"/>
    </xf>
    <xf numFmtId="0" fontId="37" fillId="5" borderId="25" xfId="0" applyNumberFormat="1" applyFont="1" applyFill="1" applyBorder="1" applyAlignment="1">
      <alignment horizontal="center" vertical="center"/>
    </xf>
    <xf numFmtId="0" fontId="12" fillId="0" borderId="26" xfId="0" applyNumberFormat="1" applyFont="1" applyFill="1" applyBorder="1" applyAlignment="1">
      <alignment horizontal="center" vertical="center"/>
    </xf>
    <xf numFmtId="0" fontId="2" fillId="0" borderId="9" xfId="0" applyNumberFormat="1" applyFont="1" applyFill="1" applyBorder="1" applyAlignment="1">
      <alignment vertical="center"/>
    </xf>
    <xf numFmtId="0" fontId="36" fillId="0" borderId="45" xfId="0" applyNumberFormat="1" applyFont="1" applyFill="1" applyBorder="1" applyAlignment="1">
      <alignment horizontal="center" vertical="center"/>
    </xf>
    <xf numFmtId="0" fontId="2" fillId="0" borderId="0" xfId="0" applyNumberFormat="1" applyFont="1" applyFill="1" applyBorder="1" applyAlignment="1">
      <alignment vertical="center"/>
    </xf>
    <xf numFmtId="0" fontId="37" fillId="0" borderId="12" xfId="0" applyNumberFormat="1" applyFont="1" applyFill="1" applyBorder="1" applyAlignment="1">
      <alignment horizontal="center" vertical="center"/>
    </xf>
    <xf numFmtId="0" fontId="37" fillId="0" borderId="26" xfId="0" applyNumberFormat="1" applyFont="1" applyFill="1" applyBorder="1" applyAlignment="1">
      <alignment horizontal="center" vertical="center"/>
    </xf>
    <xf numFmtId="0" fontId="12" fillId="8" borderId="26" xfId="0" applyNumberFormat="1" applyFont="1" applyFill="1" applyBorder="1" applyAlignment="1">
      <alignment horizontal="center" vertical="center"/>
    </xf>
    <xf numFmtId="0" fontId="2" fillId="8" borderId="9" xfId="0" applyNumberFormat="1" applyFont="1" applyFill="1" applyBorder="1" applyAlignment="1">
      <alignment vertical="center"/>
    </xf>
    <xf numFmtId="0" fontId="36" fillId="8" borderId="45" xfId="0" applyNumberFormat="1" applyFont="1" applyFill="1" applyBorder="1" applyAlignment="1">
      <alignment horizontal="center" vertical="center"/>
    </xf>
    <xf numFmtId="0" fontId="2" fillId="8" borderId="0" xfId="0" applyNumberFormat="1" applyFont="1" applyFill="1" applyBorder="1" applyAlignment="1">
      <alignment vertical="center"/>
    </xf>
    <xf numFmtId="0" fontId="37" fillId="8" borderId="12" xfId="0" applyNumberFormat="1" applyFont="1" applyFill="1" applyBorder="1" applyAlignment="1">
      <alignment horizontal="center" vertical="center"/>
    </xf>
    <xf numFmtId="0" fontId="37" fillId="8" borderId="26" xfId="0" applyNumberFormat="1" applyFont="1" applyFill="1" applyBorder="1" applyAlignment="1">
      <alignment horizontal="center" vertical="center"/>
    </xf>
    <xf numFmtId="0" fontId="12" fillId="0" borderId="3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0" fontId="36" fillId="0" borderId="33" xfId="0" applyNumberFormat="1" applyFont="1" applyFill="1" applyBorder="1" applyAlignment="1">
      <alignment horizontal="center" vertical="center"/>
    </xf>
    <xf numFmtId="0" fontId="37" fillId="0" borderId="10" xfId="0" applyNumberFormat="1" applyFont="1" applyFill="1" applyBorder="1" applyAlignment="1">
      <alignment horizontal="center" vertical="center"/>
    </xf>
    <xf numFmtId="0" fontId="37" fillId="0" borderId="25" xfId="0" applyNumberFormat="1" applyFont="1" applyFill="1" applyBorder="1" applyAlignment="1">
      <alignment horizontal="center" vertical="center"/>
    </xf>
    <xf numFmtId="0" fontId="12" fillId="9" borderId="32" xfId="0" applyNumberFormat="1" applyFont="1" applyFill="1" applyBorder="1" applyAlignment="1">
      <alignment horizontal="center" vertical="center"/>
    </xf>
    <xf numFmtId="0" fontId="2" fillId="9" borderId="9" xfId="0" applyNumberFormat="1" applyFont="1" applyFill="1" applyBorder="1" applyAlignment="1">
      <alignment vertical="center"/>
    </xf>
    <xf numFmtId="0" fontId="36" fillId="9" borderId="37" xfId="0" applyNumberFormat="1" applyFont="1" applyFill="1" applyBorder="1" applyAlignment="1">
      <alignment horizontal="center" vertical="center"/>
    </xf>
    <xf numFmtId="0" fontId="2" fillId="9" borderId="0" xfId="0" applyNumberFormat="1" applyFont="1" applyFill="1" applyBorder="1" applyAlignment="1">
      <alignment vertical="center"/>
    </xf>
    <xf numFmtId="0" fontId="37" fillId="9" borderId="16" xfId="0" applyNumberFormat="1" applyFont="1" applyFill="1" applyBorder="1" applyAlignment="1">
      <alignment horizontal="center" vertical="center"/>
    </xf>
    <xf numFmtId="0" fontId="37" fillId="9" borderId="32" xfId="0" applyNumberFormat="1" applyFont="1" applyFill="1" applyBorder="1" applyAlignment="1">
      <alignment horizontal="center" vertical="center"/>
    </xf>
    <xf numFmtId="0" fontId="12" fillId="5" borderId="46" xfId="0" applyNumberFormat="1" applyFont="1" applyFill="1" applyBorder="1" applyAlignment="1">
      <alignment horizontal="center" vertical="center"/>
    </xf>
    <xf numFmtId="0" fontId="2" fillId="5" borderId="18" xfId="0" applyNumberFormat="1" applyFont="1" applyFill="1" applyBorder="1" applyAlignment="1">
      <alignment vertical="center"/>
    </xf>
    <xf numFmtId="0" fontId="36" fillId="5" borderId="47" xfId="0" applyNumberFormat="1" applyFont="1" applyFill="1" applyBorder="1" applyAlignment="1">
      <alignment horizontal="center" vertical="center"/>
    </xf>
    <xf numFmtId="0" fontId="2" fillId="5" borderId="20" xfId="0" applyNumberFormat="1" applyFont="1" applyFill="1" applyBorder="1" applyAlignment="1">
      <alignment vertical="center"/>
    </xf>
    <xf numFmtId="0" fontId="37" fillId="5" borderId="16" xfId="0" applyNumberFormat="1" applyFont="1" applyFill="1" applyBorder="1" applyAlignment="1">
      <alignment horizontal="center" vertical="center"/>
    </xf>
    <xf numFmtId="0" fontId="37" fillId="5" borderId="32" xfId="0" applyNumberFormat="1" applyFont="1" applyFill="1" applyBorder="1" applyAlignment="1">
      <alignment horizontal="center" vertical="center"/>
    </xf>
    <xf numFmtId="0" fontId="79" fillId="5" borderId="4" xfId="0" applyFont="1" applyFill="1" applyBorder="1" applyAlignment="1">
      <alignment horizontal="center" vertical="center"/>
    </xf>
    <xf numFmtId="0" fontId="7" fillId="39" borderId="8" xfId="0" applyFont="1" applyFill="1" applyBorder="1" applyAlignment="1">
      <alignment horizontal="center" vertical="center"/>
    </xf>
    <xf numFmtId="0" fontId="42" fillId="5" borderId="1" xfId="0" applyFont="1" applyFill="1" applyBorder="1" applyAlignment="1">
      <alignment horizontal="center" vertical="center"/>
    </xf>
    <xf numFmtId="0" fontId="138" fillId="5" borderId="4" xfId="0" applyFont="1" applyFill="1" applyBorder="1" applyAlignment="1">
      <alignment horizontal="center" vertical="center"/>
    </xf>
    <xf numFmtId="0" fontId="3" fillId="5" borderId="8" xfId="0" applyFont="1" applyFill="1" applyBorder="1" applyAlignment="1">
      <alignment horizontal="center" vertical="center"/>
    </xf>
    <xf numFmtId="0" fontId="5" fillId="4" borderId="8" xfId="0" applyFont="1" applyFill="1" applyBorder="1" applyAlignment="1">
      <alignment horizontal="center" vertical="center"/>
    </xf>
    <xf numFmtId="0" fontId="45" fillId="8" borderId="44" xfId="0" applyFont="1" applyFill="1" applyBorder="1" applyAlignment="1">
      <alignment horizontal="center" vertical="center"/>
    </xf>
    <xf numFmtId="0" fontId="37" fillId="8" borderId="17" xfId="0" applyFont="1" applyFill="1" applyBorder="1" applyAlignment="1">
      <alignment horizontal="center" vertical="center"/>
    </xf>
    <xf numFmtId="0" fontId="100" fillId="8" borderId="32" xfId="0" applyFont="1" applyFill="1" applyBorder="1" applyAlignment="1">
      <alignment horizontal="center" vertical="center"/>
    </xf>
    <xf numFmtId="0" fontId="25" fillId="8" borderId="23" xfId="0" applyFont="1" applyFill="1" applyBorder="1" applyAlignment="1">
      <alignment horizontal="center" vertical="center"/>
    </xf>
    <xf numFmtId="0" fontId="37" fillId="12" borderId="17" xfId="0" applyFont="1" applyFill="1" applyBorder="1" applyAlignment="1">
      <alignment horizontal="center" vertical="center"/>
    </xf>
    <xf numFmtId="0" fontId="2" fillId="12" borderId="19" xfId="0" applyFont="1" applyFill="1" applyBorder="1" applyAlignment="1">
      <alignment horizontal="center" vertical="center"/>
    </xf>
    <xf numFmtId="0" fontId="45" fillId="40" borderId="39" xfId="0" applyFont="1" applyFill="1" applyBorder="1" applyAlignment="1">
      <alignment horizontal="center" vertical="center"/>
    </xf>
    <xf numFmtId="0" fontId="37" fillId="40" borderId="17" xfId="0" applyFont="1" applyFill="1" applyBorder="1" applyAlignment="1">
      <alignment horizontal="center" vertical="center"/>
    </xf>
    <xf numFmtId="0" fontId="2" fillId="40" borderId="19" xfId="0" applyFont="1" applyFill="1" applyBorder="1" applyAlignment="1">
      <alignment horizontal="center" vertical="center"/>
    </xf>
    <xf numFmtId="0" fontId="43" fillId="40" borderId="1" xfId="0" applyFont="1" applyFill="1" applyBorder="1" applyAlignment="1">
      <alignment horizontal="center" vertical="center"/>
    </xf>
    <xf numFmtId="0" fontId="0" fillId="5" borderId="0" xfId="0" applyFill="1" applyAlignment="1">
      <alignment vertical="center"/>
    </xf>
    <xf numFmtId="0" fontId="100" fillId="8" borderId="25" xfId="0" applyFont="1" applyFill="1" applyBorder="1" applyAlignment="1">
      <alignment horizontal="center" vertical="center"/>
    </xf>
    <xf numFmtId="0" fontId="0" fillId="8" borderId="0" xfId="0" applyFill="1" applyAlignment="1">
      <alignment vertical="center"/>
    </xf>
    <xf numFmtId="0" fontId="25" fillId="8" borderId="1" xfId="0" applyFont="1" applyFill="1" applyBorder="1" applyAlignment="1">
      <alignment horizontal="center" vertical="center"/>
    </xf>
    <xf numFmtId="176" fontId="37" fillId="0" borderId="10" xfId="0" applyNumberFormat="1" applyFont="1" applyFill="1" applyBorder="1" applyAlignment="1">
      <alignment horizontal="center" vertical="center"/>
    </xf>
    <xf numFmtId="176" fontId="37" fillId="0" borderId="11" xfId="0" applyNumberFormat="1" applyFont="1" applyFill="1" applyBorder="1" applyAlignment="1">
      <alignment horizontal="center" vertical="center"/>
    </xf>
    <xf numFmtId="0" fontId="0" fillId="12" borderId="0" xfId="0" applyFill="1" applyAlignment="1">
      <alignment vertical="center"/>
    </xf>
    <xf numFmtId="0" fontId="0" fillId="40" borderId="0" xfId="0" applyFill="1" applyAlignment="1">
      <alignment vertical="center"/>
    </xf>
    <xf numFmtId="0" fontId="2" fillId="4" borderId="38" xfId="0" applyFont="1" applyFill="1" applyBorder="1" applyAlignment="1">
      <alignment horizontal="center" vertical="center"/>
    </xf>
    <xf numFmtId="0" fontId="45" fillId="9" borderId="39" xfId="0" applyNumberFormat="1" applyFont="1" applyFill="1" applyBorder="1" applyAlignment="1">
      <alignment horizontal="center" vertical="center"/>
    </xf>
    <xf numFmtId="0" fontId="37" fillId="9" borderId="11" xfId="0" applyNumberFormat="1" applyFont="1" applyFill="1" applyBorder="1" applyAlignment="1">
      <alignment horizontal="center" vertical="center"/>
    </xf>
    <xf numFmtId="0" fontId="2" fillId="9" borderId="40" xfId="0" applyNumberFormat="1" applyFont="1" applyFill="1" applyBorder="1" applyAlignment="1">
      <alignment vertical="center"/>
    </xf>
    <xf numFmtId="0" fontId="43" fillId="9" borderId="1" xfId="0" applyNumberFormat="1" applyFont="1" applyFill="1" applyBorder="1" applyAlignment="1">
      <alignment horizontal="center" vertical="center"/>
    </xf>
    <xf numFmtId="0" fontId="45" fillId="5" borderId="39" xfId="0" applyNumberFormat="1" applyFont="1" applyFill="1" applyBorder="1" applyAlignment="1">
      <alignment horizontal="center" vertical="center"/>
    </xf>
    <xf numFmtId="0" fontId="37" fillId="5" borderId="11" xfId="0" applyNumberFormat="1" applyFont="1" applyFill="1" applyBorder="1" applyAlignment="1">
      <alignment horizontal="center" vertical="center"/>
    </xf>
    <xf numFmtId="0" fontId="2" fillId="5" borderId="40" xfId="0" applyNumberFormat="1" applyFont="1" applyFill="1" applyBorder="1" applyAlignment="1">
      <alignment vertical="center"/>
    </xf>
    <xf numFmtId="0" fontId="43" fillId="5" borderId="1" xfId="0" applyNumberFormat="1" applyFont="1" applyFill="1" applyBorder="1" applyAlignment="1">
      <alignment horizontal="center" vertical="center"/>
    </xf>
    <xf numFmtId="0" fontId="45" fillId="0" borderId="41" xfId="0" applyNumberFormat="1" applyFont="1" applyFill="1" applyBorder="1" applyAlignment="1">
      <alignment horizontal="center" vertical="center"/>
    </xf>
    <xf numFmtId="0" fontId="37" fillId="0" borderId="13" xfId="0" applyNumberFormat="1" applyFont="1" applyFill="1" applyBorder="1" applyAlignment="1">
      <alignment horizontal="center" vertical="center"/>
    </xf>
    <xf numFmtId="0" fontId="2" fillId="0" borderId="38" xfId="0" applyNumberFormat="1" applyFont="1" applyFill="1" applyBorder="1" applyAlignment="1">
      <alignment vertical="center"/>
    </xf>
    <xf numFmtId="0" fontId="43" fillId="0" borderId="2" xfId="0" applyNumberFormat="1" applyFont="1" applyFill="1" applyBorder="1" applyAlignment="1">
      <alignment horizontal="center" vertical="center"/>
    </xf>
    <xf numFmtId="0" fontId="45" fillId="8" borderId="41" xfId="0" applyNumberFormat="1" applyFont="1" applyFill="1" applyBorder="1" applyAlignment="1">
      <alignment horizontal="center" vertical="center"/>
    </xf>
    <xf numFmtId="0" fontId="37" fillId="8" borderId="13" xfId="0" applyNumberFormat="1" applyFont="1" applyFill="1" applyBorder="1" applyAlignment="1">
      <alignment horizontal="center" vertical="center"/>
    </xf>
    <xf numFmtId="0" fontId="2" fillId="8" borderId="38" xfId="0" applyNumberFormat="1" applyFont="1" applyFill="1" applyBorder="1" applyAlignment="1">
      <alignment vertical="center"/>
    </xf>
    <xf numFmtId="0" fontId="43" fillId="8" borderId="2" xfId="0" applyNumberFormat="1" applyFont="1" applyFill="1" applyBorder="1" applyAlignment="1">
      <alignment horizontal="center" vertical="center"/>
    </xf>
    <xf numFmtId="0" fontId="121" fillId="0" borderId="8" xfId="0" applyNumberFormat="1" applyFont="1" applyFill="1" applyBorder="1" applyAlignment="1">
      <alignment horizontal="center" vertical="center"/>
    </xf>
    <xf numFmtId="0" fontId="45" fillId="0" borderId="39" xfId="0" applyNumberFormat="1" applyFont="1" applyFill="1" applyBorder="1" applyAlignment="1">
      <alignment horizontal="center" vertical="center"/>
    </xf>
    <xf numFmtId="0" fontId="37" fillId="0" borderId="11" xfId="0" applyNumberFormat="1" applyFont="1" applyFill="1" applyBorder="1" applyAlignment="1">
      <alignment horizontal="center" vertical="center"/>
    </xf>
    <xf numFmtId="0" fontId="0" fillId="0" borderId="0" xfId="0" applyNumberFormat="1" applyFill="1" applyAlignment="1">
      <alignment vertical="center"/>
    </xf>
    <xf numFmtId="0" fontId="43" fillId="0" borderId="1" xfId="0" applyNumberFormat="1" applyFont="1" applyFill="1" applyBorder="1" applyAlignment="1">
      <alignment horizontal="center" vertical="center"/>
    </xf>
    <xf numFmtId="0" fontId="45" fillId="9" borderId="44" xfId="0" applyNumberFormat="1" applyFont="1" applyFill="1" applyBorder="1" applyAlignment="1">
      <alignment horizontal="center" vertical="center"/>
    </xf>
    <xf numFmtId="0" fontId="37" fillId="9" borderId="17" xfId="0" applyNumberFormat="1" applyFont="1" applyFill="1" applyBorder="1" applyAlignment="1">
      <alignment horizontal="center" vertical="center"/>
    </xf>
    <xf numFmtId="0" fontId="2" fillId="9" borderId="38" xfId="0" applyNumberFormat="1" applyFont="1" applyFill="1" applyBorder="1" applyAlignment="1">
      <alignment vertical="center"/>
    </xf>
    <xf numFmtId="0" fontId="43" fillId="9" borderId="23" xfId="0" applyNumberFormat="1" applyFont="1" applyFill="1" applyBorder="1" applyAlignment="1">
      <alignment horizontal="center" vertical="center"/>
    </xf>
    <xf numFmtId="0" fontId="37" fillId="5" borderId="17" xfId="0" applyNumberFormat="1" applyFont="1" applyFill="1" applyBorder="1" applyAlignment="1">
      <alignment horizontal="center" vertical="center"/>
    </xf>
    <xf numFmtId="0" fontId="2" fillId="5" borderId="19" xfId="0" applyNumberFormat="1" applyFont="1" applyFill="1" applyBorder="1" applyAlignment="1">
      <alignment vertical="center"/>
    </xf>
    <xf numFmtId="0" fontId="79" fillId="5" borderId="5" xfId="0" applyFont="1" applyFill="1" applyBorder="1" applyAlignment="1">
      <alignment horizontal="center" vertical="center"/>
    </xf>
    <xf numFmtId="0" fontId="138" fillId="5" borderId="5" xfId="0" applyFont="1" applyFill="1" applyBorder="1" applyAlignment="1">
      <alignment horizontal="center" vertical="center"/>
    </xf>
    <xf numFmtId="0" fontId="142" fillId="0" borderId="4" xfId="0" applyFont="1" applyFill="1" applyBorder="1" applyAlignment="1">
      <alignment horizontal="center" vertical="center"/>
    </xf>
    <xf numFmtId="0" fontId="142" fillId="0" borderId="5" xfId="0" applyFont="1" applyFill="1" applyBorder="1" applyAlignment="1">
      <alignment horizontal="center" vertical="center"/>
    </xf>
    <xf numFmtId="0" fontId="141" fillId="0" borderId="5" xfId="0" applyFont="1" applyFill="1" applyBorder="1" applyAlignment="1">
      <alignment horizontal="center" vertical="center"/>
    </xf>
    <xf numFmtId="0" fontId="141" fillId="0" borderId="19" xfId="0" applyFont="1" applyFill="1" applyBorder="1" applyAlignment="1">
      <alignment horizontal="center" vertical="center"/>
    </xf>
    <xf numFmtId="9" fontId="12" fillId="5" borderId="14" xfId="0" applyNumberFormat="1" applyFont="1" applyFill="1" applyBorder="1" applyAlignment="1">
      <alignment horizontal="center" vertical="center"/>
    </xf>
    <xf numFmtId="9" fontId="12" fillId="5" borderId="15" xfId="0" applyNumberFormat="1" applyFont="1" applyFill="1" applyBorder="1" applyAlignment="1">
      <alignment horizontal="center" vertical="center"/>
    </xf>
    <xf numFmtId="177" fontId="12" fillId="5" borderId="15" xfId="0" applyNumberFormat="1" applyFont="1" applyFill="1" applyBorder="1" applyAlignment="1">
      <alignment horizontal="center" vertical="center"/>
    </xf>
    <xf numFmtId="0" fontId="0" fillId="5" borderId="6" xfId="0" applyFill="1" applyBorder="1" applyAlignment="1">
      <alignment vertical="center"/>
    </xf>
    <xf numFmtId="0" fontId="12" fillId="5" borderId="22" xfId="0" applyFont="1" applyFill="1" applyBorder="1" applyAlignment="1">
      <alignment horizontal="center" vertical="center"/>
    </xf>
    <xf numFmtId="0" fontId="143" fillId="9" borderId="1" xfId="0" applyFont="1" applyFill="1" applyBorder="1" applyAlignment="1">
      <alignment horizontal="center" vertical="center"/>
    </xf>
    <xf numFmtId="49" fontId="13" fillId="0" borderId="6" xfId="0" applyNumberFormat="1" applyFont="1" applyFill="1" applyBorder="1" applyAlignment="1">
      <alignment horizontal="center" vertical="center"/>
    </xf>
    <xf numFmtId="49" fontId="13" fillId="0" borderId="8" xfId="0" applyNumberFormat="1" applyFont="1" applyFill="1" applyBorder="1" applyAlignment="1">
      <alignment horizontal="center" vertical="center"/>
    </xf>
    <xf numFmtId="0" fontId="144" fillId="9" borderId="1" xfId="0" applyFont="1" applyFill="1" applyBorder="1" applyAlignment="1">
      <alignment horizontal="center" vertical="center"/>
    </xf>
    <xf numFmtId="0" fontId="13" fillId="9" borderId="8" xfId="0" applyFont="1" applyFill="1" applyBorder="1" applyAlignment="1">
      <alignment horizontal="center" vertical="center"/>
    </xf>
    <xf numFmtId="0" fontId="11" fillId="9" borderId="4" xfId="0" applyFont="1" applyFill="1" applyBorder="1" applyAlignment="1">
      <alignment horizontal="center" vertical="center"/>
    </xf>
    <xf numFmtId="0" fontId="144" fillId="9" borderId="2" xfId="0" applyFont="1" applyFill="1" applyBorder="1" applyAlignment="1">
      <alignment horizontal="center" vertical="center"/>
    </xf>
    <xf numFmtId="0" fontId="13" fillId="9" borderId="3" xfId="0" applyFont="1" applyFill="1" applyBorder="1" applyAlignment="1">
      <alignment horizontal="center" vertical="center"/>
    </xf>
    <xf numFmtId="0" fontId="13" fillId="9" borderId="5" xfId="0" applyFont="1" applyFill="1" applyBorder="1" applyAlignment="1">
      <alignment horizontal="center" vertical="center"/>
    </xf>
    <xf numFmtId="0" fontId="145" fillId="0" borderId="6" xfId="0" applyFont="1" applyFill="1" applyBorder="1" applyAlignment="1">
      <alignment horizontal="center" vertical="center"/>
    </xf>
    <xf numFmtId="0" fontId="145" fillId="0" borderId="7" xfId="0" applyFont="1" applyFill="1" applyBorder="1" applyAlignment="1">
      <alignment horizontal="center" vertical="center"/>
    </xf>
    <xf numFmtId="0" fontId="72" fillId="0" borderId="3" xfId="0" applyFont="1" applyFill="1" applyBorder="1" applyAlignment="1">
      <alignment horizontal="center" vertical="center" wrapText="1"/>
    </xf>
    <xf numFmtId="0" fontId="72" fillId="0" borderId="4" xfId="0" applyFont="1" applyFill="1" applyBorder="1" applyAlignment="1">
      <alignment horizontal="center" vertical="center" wrapText="1"/>
    </xf>
    <xf numFmtId="0" fontId="72" fillId="0" borderId="18" xfId="0" applyFont="1" applyFill="1" applyBorder="1" applyAlignment="1">
      <alignment horizontal="center" vertical="center" wrapText="1"/>
    </xf>
    <xf numFmtId="0" fontId="72" fillId="0" borderId="20" xfId="0" applyFont="1" applyFill="1" applyBorder="1" applyAlignment="1">
      <alignment horizontal="center" vertical="center" wrapText="1"/>
    </xf>
    <xf numFmtId="0" fontId="72" fillId="0" borderId="18" xfId="0" applyFont="1" applyFill="1" applyBorder="1" applyAlignment="1">
      <alignment horizontal="center" vertical="center"/>
    </xf>
    <xf numFmtId="0" fontId="72" fillId="0" borderId="20" xfId="0" applyFont="1" applyFill="1" applyBorder="1" applyAlignment="1">
      <alignment horizontal="center" vertical="center"/>
    </xf>
    <xf numFmtId="0" fontId="72" fillId="0" borderId="3" xfId="0" applyFont="1" applyFill="1" applyBorder="1" applyAlignment="1">
      <alignment horizontal="center" vertical="center"/>
    </xf>
    <xf numFmtId="0" fontId="72" fillId="0" borderId="4" xfId="0" applyFont="1" applyFill="1" applyBorder="1" applyAlignment="1">
      <alignment horizontal="center" vertical="center"/>
    </xf>
    <xf numFmtId="0" fontId="146" fillId="17" borderId="6" xfId="0" applyFont="1" applyFill="1" applyBorder="1" applyAlignment="1">
      <alignment horizontal="center" vertical="center"/>
    </xf>
    <xf numFmtId="0" fontId="146" fillId="17" borderId="7" xfId="0" applyFont="1" applyFill="1" applyBorder="1" applyAlignment="1">
      <alignment horizontal="center" vertical="center"/>
    </xf>
    <xf numFmtId="0" fontId="72" fillId="7" borderId="6" xfId="0" applyFont="1" applyFill="1" applyBorder="1" applyAlignment="1">
      <alignment horizontal="center" vertical="center"/>
    </xf>
    <xf numFmtId="0" fontId="72" fillId="7" borderId="7" xfId="0" applyFont="1" applyFill="1" applyBorder="1" applyAlignment="1">
      <alignment horizontal="center" vertical="center"/>
    </xf>
    <xf numFmtId="0" fontId="147" fillId="8" borderId="23" xfId="0" applyFont="1" applyFill="1" applyBorder="1" applyAlignment="1">
      <alignment horizontal="center" vertical="center"/>
    </xf>
    <xf numFmtId="0" fontId="147" fillId="8" borderId="18" xfId="0" applyFont="1" applyFill="1" applyBorder="1" applyAlignment="1">
      <alignment horizontal="center" vertical="center"/>
    </xf>
    <xf numFmtId="0" fontId="147" fillId="0" borderId="9" xfId="0" applyFont="1" applyFill="1" applyBorder="1" applyAlignment="1">
      <alignment horizontal="center" vertical="center"/>
    </xf>
    <xf numFmtId="0" fontId="147"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0" fillId="17" borderId="6" xfId="0" applyFill="1" applyBorder="1" applyAlignment="1">
      <alignment vertical="center"/>
    </xf>
    <xf numFmtId="49" fontId="13" fillId="5" borderId="6" xfId="0" applyNumberFormat="1" applyFont="1" applyFill="1" applyBorder="1" applyAlignment="1">
      <alignment horizontal="center" vertical="center"/>
    </xf>
    <xf numFmtId="49" fontId="13" fillId="5" borderId="8" xfId="0" applyNumberFormat="1" applyFont="1" applyFill="1" applyBorder="1" applyAlignment="1">
      <alignment horizontal="center" vertical="center"/>
    </xf>
    <xf numFmtId="0" fontId="144" fillId="5" borderId="1" xfId="0" applyFont="1" applyFill="1" applyBorder="1" applyAlignment="1">
      <alignment horizontal="center" vertical="center"/>
    </xf>
    <xf numFmtId="177" fontId="12" fillId="5" borderId="30" xfId="0" applyNumberFormat="1" applyFont="1" applyFill="1" applyBorder="1" applyAlignment="1">
      <alignment horizontal="center" vertical="center"/>
    </xf>
    <xf numFmtId="9" fontId="2" fillId="5" borderId="6" xfId="0" applyNumberFormat="1" applyFont="1" applyFill="1" applyBorder="1" applyAlignment="1">
      <alignment vertical="center"/>
    </xf>
    <xf numFmtId="9" fontId="36" fillId="5" borderId="33" xfId="0" applyNumberFormat="1" applyFont="1" applyFill="1" applyBorder="1" applyAlignment="1">
      <alignment horizontal="center" vertical="center"/>
    </xf>
    <xf numFmtId="177" fontId="2" fillId="5" borderId="7" xfId="0" applyNumberFormat="1" applyFont="1" applyFill="1" applyBorder="1" applyAlignment="1">
      <alignment vertical="center"/>
    </xf>
    <xf numFmtId="0" fontId="19" fillId="0" borderId="6" xfId="0" applyFont="1" applyFill="1" applyBorder="1" applyAlignment="1">
      <alignment vertical="center"/>
    </xf>
    <xf numFmtId="0" fontId="37" fillId="5" borderId="21" xfId="0" applyFont="1" applyFill="1" applyBorder="1" applyAlignment="1">
      <alignment horizontal="center" vertical="center"/>
    </xf>
    <xf numFmtId="0" fontId="37" fillId="5" borderId="35" xfId="0" applyFont="1" applyFill="1" applyBorder="1" applyAlignment="1">
      <alignment horizontal="center" vertical="center"/>
    </xf>
    <xf numFmtId="0" fontId="144" fillId="0" borderId="1" xfId="0" applyFont="1" applyFill="1" applyBorder="1" applyAlignment="1">
      <alignment horizontal="center" vertical="center"/>
    </xf>
    <xf numFmtId="0" fontId="144" fillId="9" borderId="6" xfId="0" applyFont="1" applyFill="1" applyBorder="1" applyAlignment="1">
      <alignment horizontal="center" vertical="center"/>
    </xf>
    <xf numFmtId="0" fontId="144" fillId="9" borderId="8" xfId="0" applyFont="1" applyFill="1" applyBorder="1" applyAlignment="1">
      <alignment horizontal="center" vertical="center"/>
    </xf>
    <xf numFmtId="0" fontId="13" fillId="9" borderId="4" xfId="0" applyFont="1" applyFill="1" applyBorder="1" applyAlignment="1">
      <alignment horizontal="center" vertical="center"/>
    </xf>
    <xf numFmtId="0" fontId="144" fillId="0" borderId="2" xfId="0" applyFont="1" applyFill="1" applyBorder="1" applyAlignment="1">
      <alignment horizontal="center" vertical="center"/>
    </xf>
    <xf numFmtId="0" fontId="2" fillId="8" borderId="18" xfId="0" applyFont="1" applyFill="1" applyBorder="1" applyAlignment="1">
      <alignment horizontal="center" vertical="center"/>
    </xf>
    <xf numFmtId="0" fontId="36" fillId="8" borderId="37" xfId="0" applyFont="1" applyFill="1" applyBorder="1" applyAlignment="1">
      <alignment horizontal="center" vertical="center"/>
    </xf>
    <xf numFmtId="0" fontId="2" fillId="8" borderId="20" xfId="0" applyFont="1" applyFill="1" applyBorder="1" applyAlignment="1">
      <alignment horizontal="center" vertical="center"/>
    </xf>
    <xf numFmtId="0" fontId="36" fillId="0" borderId="0" xfId="0" applyFont="1" applyFill="1" applyBorder="1" applyAlignment="1">
      <alignment horizontal="center" vertical="center"/>
    </xf>
    <xf numFmtId="0" fontId="37" fillId="0" borderId="0" xfId="0" applyFont="1" applyFill="1" applyBorder="1" applyAlignment="1">
      <alignment horizontal="center" vertical="center"/>
    </xf>
    <xf numFmtId="0" fontId="19" fillId="17" borderId="6" xfId="0" applyFont="1" applyFill="1" applyBorder="1" applyAlignment="1">
      <alignment vertical="center"/>
    </xf>
    <xf numFmtId="0" fontId="2" fillId="5" borderId="18" xfId="0" applyFont="1" applyFill="1" applyBorder="1" applyAlignment="1">
      <alignment horizontal="center" vertical="center"/>
    </xf>
    <xf numFmtId="0" fontId="2" fillId="5" borderId="20" xfId="0" applyFont="1" applyFill="1" applyBorder="1" applyAlignment="1">
      <alignment horizontal="center" vertical="center"/>
    </xf>
    <xf numFmtId="0" fontId="144" fillId="5" borderId="6" xfId="0" applyFont="1" applyFill="1" applyBorder="1" applyAlignment="1">
      <alignment horizontal="center" vertical="center"/>
    </xf>
    <xf numFmtId="0" fontId="144" fillId="5" borderId="8" xfId="0" applyFon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177" fontId="45" fillId="5" borderId="39" xfId="0" applyNumberFormat="1" applyFont="1" applyFill="1" applyBorder="1" applyAlignment="1">
      <alignment horizontal="center" vertical="center"/>
    </xf>
    <xf numFmtId="177" fontId="37" fillId="5" borderId="10" xfId="0" applyNumberFormat="1" applyFont="1" applyFill="1" applyBorder="1" applyAlignment="1">
      <alignment horizontal="center" vertical="center"/>
    </xf>
    <xf numFmtId="177" fontId="37" fillId="5" borderId="11" xfId="0" applyNumberFormat="1" applyFont="1" applyFill="1" applyBorder="1" applyAlignment="1">
      <alignment horizontal="center" vertical="center"/>
    </xf>
    <xf numFmtId="9" fontId="2" fillId="5" borderId="8" xfId="0" applyNumberFormat="1" applyFont="1" applyFill="1" applyBorder="1" applyAlignment="1">
      <alignment vertical="center"/>
    </xf>
    <xf numFmtId="0" fontId="19" fillId="0" borderId="7" xfId="0" applyFont="1" applyFill="1" applyBorder="1" applyAlignment="1">
      <alignment vertical="center"/>
    </xf>
    <xf numFmtId="0" fontId="37" fillId="5" borderId="22" xfId="0" applyFont="1" applyFill="1" applyBorder="1" applyAlignment="1">
      <alignment horizontal="center" vertical="center"/>
    </xf>
    <xf numFmtId="0" fontId="144" fillId="0" borderId="3" xfId="0" applyFont="1" applyFill="1" applyBorder="1" applyAlignment="1">
      <alignment horizontal="center" vertical="center"/>
    </xf>
    <xf numFmtId="0" fontId="144" fillId="0" borderId="5" xfId="0" applyFont="1" applyFill="1" applyBorder="1" applyAlignment="1">
      <alignment horizontal="center" vertical="center"/>
    </xf>
    <xf numFmtId="0" fontId="50" fillId="0" borderId="8" xfId="0" applyFont="1" applyFill="1" applyBorder="1" applyAlignment="1">
      <alignment vertical="center"/>
    </xf>
    <xf numFmtId="0" fontId="145" fillId="0" borderId="3" xfId="0" applyFont="1" applyFill="1" applyBorder="1" applyAlignment="1">
      <alignment horizontal="center" vertical="center"/>
    </xf>
    <xf numFmtId="0" fontId="145" fillId="0" borderId="4" xfId="0" applyFont="1" applyFill="1" applyBorder="1" applyAlignment="1">
      <alignment horizontal="center" vertical="center"/>
    </xf>
    <xf numFmtId="0" fontId="145" fillId="0" borderId="5" xfId="0" applyFont="1" applyFill="1" applyBorder="1" applyAlignment="1">
      <alignment horizontal="center" vertical="center"/>
    </xf>
    <xf numFmtId="0" fontId="145" fillId="0" borderId="9" xfId="0" applyFont="1" applyFill="1" applyBorder="1" applyAlignment="1">
      <alignment horizontal="center" vertical="center"/>
    </xf>
    <xf numFmtId="0" fontId="145" fillId="0" borderId="0" xfId="0" applyFont="1" applyFill="1" applyAlignment="1">
      <alignment horizontal="center" vertical="center"/>
    </xf>
    <xf numFmtId="0" fontId="145" fillId="0" borderId="38" xfId="0" applyFont="1" applyFill="1" applyBorder="1" applyAlignment="1">
      <alignment horizontal="center" vertical="center"/>
    </xf>
    <xf numFmtId="0" fontId="145" fillId="0" borderId="0" xfId="0" applyFont="1" applyFill="1" applyBorder="1" applyAlignment="1">
      <alignment horizontal="center" vertical="center"/>
    </xf>
    <xf numFmtId="0" fontId="146" fillId="17" borderId="8" xfId="0" applyFont="1" applyFill="1" applyBorder="1" applyAlignment="1">
      <alignment horizontal="center" vertical="center"/>
    </xf>
    <xf numFmtId="0" fontId="72" fillId="7" borderId="8" xfId="0" applyFont="1" applyFill="1" applyBorder="1" applyAlignment="1">
      <alignment horizontal="center" vertical="center"/>
    </xf>
    <xf numFmtId="0" fontId="76" fillId="8" borderId="16" xfId="0" applyFont="1" applyFill="1" applyBorder="1" applyAlignment="1">
      <alignment horizontal="center" vertical="center"/>
    </xf>
    <xf numFmtId="0" fontId="2" fillId="8" borderId="19" xfId="0" applyFont="1" applyFill="1" applyBorder="1" applyAlignment="1">
      <alignment horizontal="center" vertical="center"/>
    </xf>
    <xf numFmtId="0" fontId="43" fillId="8" borderId="23" xfId="0" applyFont="1" applyFill="1" applyBorder="1" applyAlignment="1">
      <alignment horizontal="center" vertical="center"/>
    </xf>
    <xf numFmtId="0" fontId="45" fillId="0" borderId="0" xfId="0" applyFont="1" applyFill="1" applyBorder="1" applyAlignment="1">
      <alignment horizontal="center" vertical="center"/>
    </xf>
    <xf numFmtId="0" fontId="76" fillId="0" borderId="0" xfId="0" applyFont="1" applyFill="1" applyBorder="1" applyAlignment="1">
      <alignment horizontal="center" vertical="center"/>
    </xf>
    <xf numFmtId="0" fontId="19" fillId="17" borderId="7" xfId="0" applyFont="1" applyFill="1" applyBorder="1" applyAlignment="1">
      <alignment vertical="center"/>
    </xf>
    <xf numFmtId="0" fontId="19" fillId="17" borderId="8" xfId="0" applyFont="1" applyFill="1" applyBorder="1" applyAlignment="1">
      <alignment vertical="center"/>
    </xf>
    <xf numFmtId="0" fontId="25" fillId="5" borderId="2" xfId="0" applyFont="1" applyFill="1" applyBorder="1" applyAlignment="1">
      <alignment horizontal="center" vertical="center"/>
    </xf>
    <xf numFmtId="0" fontId="2" fillId="5" borderId="19" xfId="0" applyFont="1" applyFill="1" applyBorder="1" applyAlignment="1">
      <alignment horizontal="center" vertical="center"/>
    </xf>
    <xf numFmtId="0" fontId="0" fillId="0" borderId="8" xfId="0" applyFill="1" applyBorder="1" applyAlignment="1">
      <alignment horizontal="center" vertical="center"/>
    </xf>
    <xf numFmtId="0" fontId="5" fillId="22" borderId="3" xfId="0" applyFont="1" applyFill="1" applyBorder="1" applyAlignment="1">
      <alignment horizontal="center" vertical="center"/>
    </xf>
    <xf numFmtId="0" fontId="5" fillId="22" borderId="4" xfId="0" applyFont="1" applyFill="1" applyBorder="1" applyAlignment="1">
      <alignment horizontal="center" vertical="center"/>
    </xf>
    <xf numFmtId="0" fontId="11" fillId="0" borderId="3" xfId="0" applyFont="1" applyFill="1" applyBorder="1" applyAlignment="1">
      <alignment horizontal="center" vertical="center" wrapText="1"/>
    </xf>
    <xf numFmtId="0" fontId="148" fillId="0" borderId="3" xfId="0" applyFont="1" applyFill="1" applyBorder="1" applyAlignment="1">
      <alignment horizontal="center" vertical="center"/>
    </xf>
    <xf numFmtId="0" fontId="148" fillId="0" borderId="4" xfId="0" applyFont="1" applyFill="1" applyBorder="1" applyAlignment="1">
      <alignment horizontal="center" vertical="center"/>
    </xf>
    <xf numFmtId="0" fontId="11" fillId="0" borderId="4"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49" fillId="5" borderId="18" xfId="0" applyFont="1" applyFill="1" applyBorder="1" applyAlignment="1">
      <alignment horizontal="center" vertical="center"/>
    </xf>
    <xf numFmtId="0" fontId="149" fillId="5" borderId="20" xfId="0" applyFont="1" applyFill="1" applyBorder="1" applyAlignment="1">
      <alignment horizontal="center" vertical="center"/>
    </xf>
    <xf numFmtId="0" fontId="93" fillId="30" borderId="1" xfId="0" applyFont="1" applyFill="1" applyBorder="1" applyAlignment="1">
      <alignment horizontal="center" vertical="center"/>
    </xf>
    <xf numFmtId="0" fontId="11" fillId="30" borderId="6" xfId="0" applyFont="1" applyFill="1" applyBorder="1" applyAlignment="1">
      <alignment horizontal="center" vertical="center"/>
    </xf>
    <xf numFmtId="0" fontId="49" fillId="30" borderId="12" xfId="0" applyFont="1" applyFill="1" applyBorder="1" applyAlignment="1">
      <alignment horizontal="center" vertical="center"/>
    </xf>
    <xf numFmtId="0" fontId="49" fillId="30" borderId="13" xfId="0" applyFont="1" applyFill="1" applyBorder="1" applyAlignment="1">
      <alignment horizontal="center" vertical="center"/>
    </xf>
    <xf numFmtId="0" fontId="150" fillId="0" borderId="6" xfId="0" applyFont="1" applyFill="1" applyBorder="1" applyAlignment="1">
      <alignment horizontal="center" vertical="center"/>
    </xf>
    <xf numFmtId="0" fontId="150" fillId="0" borderId="7" xfId="0" applyFont="1" applyFill="1" applyBorder="1" applyAlignment="1">
      <alignment horizontal="center" vertical="center"/>
    </xf>
    <xf numFmtId="0" fontId="136" fillId="8" borderId="1" xfId="0" applyFont="1" applyFill="1" applyBorder="1" applyAlignment="1">
      <alignment horizontal="center" vertical="center"/>
    </xf>
    <xf numFmtId="0" fontId="151" fillId="35" borderId="3" xfId="0" applyFont="1" applyFill="1" applyBorder="1" applyAlignment="1">
      <alignment horizontal="center" vertical="center"/>
    </xf>
    <xf numFmtId="0" fontId="151" fillId="35" borderId="4" xfId="0" applyFont="1" applyFill="1" applyBorder="1" applyAlignment="1">
      <alignment horizontal="center" vertical="center"/>
    </xf>
    <xf numFmtId="0" fontId="49" fillId="30" borderId="26" xfId="0" applyFont="1" applyFill="1" applyBorder="1" applyAlignment="1">
      <alignment horizontal="center" vertical="center"/>
    </xf>
    <xf numFmtId="0" fontId="53" fillId="30" borderId="27" xfId="0" applyFont="1" applyFill="1" applyBorder="1" applyAlignment="1">
      <alignment horizontal="center" vertical="center"/>
    </xf>
    <xf numFmtId="0" fontId="54" fillId="30" borderId="28" xfId="0" applyFont="1" applyFill="1" applyBorder="1" applyAlignment="1">
      <alignment horizontal="center" vertical="center"/>
    </xf>
    <xf numFmtId="0" fontId="53" fillId="30" borderId="29" xfId="0" applyFont="1" applyFill="1" applyBorder="1" applyAlignment="1">
      <alignment horizontal="center" vertical="center"/>
    </xf>
    <xf numFmtId="0" fontId="55" fillId="30" borderId="10" xfId="0" applyFont="1" applyFill="1" applyBorder="1" applyAlignment="1">
      <alignment horizontal="center" vertical="center"/>
    </xf>
    <xf numFmtId="0" fontId="55" fillId="30" borderId="25" xfId="0" applyFont="1" applyFill="1" applyBorder="1" applyAlignment="1">
      <alignment horizontal="center" vertical="center"/>
    </xf>
    <xf numFmtId="0" fontId="150" fillId="0" borderId="8" xfId="0" applyFont="1" applyFill="1" applyBorder="1" applyAlignment="1">
      <alignment horizontal="center" vertical="center"/>
    </xf>
    <xf numFmtId="0" fontId="5" fillId="22" borderId="5" xfId="0" applyFont="1" applyFill="1" applyBorder="1" applyAlignment="1">
      <alignment horizontal="center" vertical="center"/>
    </xf>
    <xf numFmtId="0" fontId="148" fillId="0" borderId="5" xfId="0" applyFont="1" applyFill="1" applyBorder="1" applyAlignment="1">
      <alignment horizontal="center" vertical="center"/>
    </xf>
    <xf numFmtId="0" fontId="148" fillId="0" borderId="9" xfId="0" applyFont="1" applyFill="1" applyBorder="1" applyAlignment="1">
      <alignment horizontal="center" vertical="center"/>
    </xf>
    <xf numFmtId="0" fontId="148" fillId="0" borderId="0" xfId="0" applyFont="1" applyFill="1" applyAlignment="1">
      <alignment horizontal="center" vertical="center"/>
    </xf>
    <xf numFmtId="0" fontId="148" fillId="0" borderId="38" xfId="0" applyFont="1" applyFill="1" applyBorder="1" applyAlignment="1">
      <alignment horizontal="center" vertical="center"/>
    </xf>
    <xf numFmtId="0" fontId="148" fillId="0" borderId="18" xfId="0" applyFont="1" applyFill="1" applyBorder="1" applyAlignment="1">
      <alignment horizontal="center" vertical="center"/>
    </xf>
    <xf numFmtId="0" fontId="148" fillId="0" borderId="20" xfId="0" applyFont="1" applyFill="1" applyBorder="1" applyAlignment="1">
      <alignment horizontal="center" vertical="center"/>
    </xf>
    <xf numFmtId="0" fontId="148" fillId="0" borderId="19" xfId="0" applyFont="1" applyFill="1" applyBorder="1" applyAlignment="1">
      <alignment horizontal="center" vertical="center"/>
    </xf>
    <xf numFmtId="0" fontId="54" fillId="30" borderId="39" xfId="0" applyFont="1" applyFill="1" applyBorder="1" applyAlignment="1">
      <alignment horizontal="center" vertical="center"/>
    </xf>
    <xf numFmtId="0" fontId="55" fillId="30" borderId="11" xfId="0" applyFont="1" applyFill="1" applyBorder="1" applyAlignment="1">
      <alignment horizontal="center" vertical="center"/>
    </xf>
    <xf numFmtId="0" fontId="53" fillId="30" borderId="40" xfId="0" applyFont="1" applyFill="1" applyBorder="1" applyAlignment="1">
      <alignment horizontal="center" vertical="center"/>
    </xf>
    <xf numFmtId="0" fontId="54" fillId="30" borderId="1" xfId="0" applyFont="1" applyFill="1" applyBorder="1" applyAlignment="1">
      <alignment horizontal="center" vertical="center"/>
    </xf>
    <xf numFmtId="0" fontId="25" fillId="0" borderId="1" xfId="0" applyFont="1" applyFill="1" applyBorder="1" applyAlignment="1">
      <alignment horizontal="center" vertical="center"/>
    </xf>
    <xf numFmtId="0" fontId="151" fillId="35" borderId="5" xfId="0" applyFont="1" applyFill="1" applyBorder="1" applyAlignment="1">
      <alignment horizontal="center" vertical="center"/>
    </xf>
    <xf numFmtId="0" fontId="93" fillId="0" borderId="1" xfId="0" applyFont="1" applyFill="1" applyBorder="1" applyAlignment="1">
      <alignment horizontal="center" vertical="center"/>
    </xf>
    <xf numFmtId="0" fontId="28" fillId="30" borderId="1" xfId="0" applyFont="1" applyFill="1" applyBorder="1" applyAlignment="1">
      <alignment horizontal="center" vertical="center"/>
    </xf>
    <xf numFmtId="0" fontId="12" fillId="30" borderId="12" xfId="0" applyFont="1" applyFill="1" applyBorder="1" applyAlignment="1">
      <alignment horizontal="center" vertical="center"/>
    </xf>
    <xf numFmtId="0" fontId="12" fillId="30" borderId="13" xfId="0" applyFont="1" applyFill="1" applyBorder="1" applyAlignment="1">
      <alignment horizontal="center" vertical="center"/>
    </xf>
    <xf numFmtId="0" fontId="28" fillId="0" borderId="6" xfId="0" applyFont="1" applyFill="1" applyBorder="1" applyAlignment="1">
      <alignment horizontal="center" vertical="center"/>
    </xf>
    <xf numFmtId="0" fontId="47" fillId="4" borderId="9" xfId="0" applyFont="1" applyFill="1" applyBorder="1" applyAlignment="1">
      <alignment horizontal="center" vertical="center"/>
    </xf>
    <xf numFmtId="0" fontId="47" fillId="4" borderId="0" xfId="0" applyFont="1" applyFill="1" applyAlignment="1">
      <alignment horizontal="center" vertical="center"/>
    </xf>
    <xf numFmtId="0" fontId="90" fillId="22" borderId="1" xfId="0" applyFont="1" applyFill="1" applyBorder="1" applyAlignment="1">
      <alignment horizontal="center" vertical="center"/>
    </xf>
    <xf numFmtId="0" fontId="152" fillId="9" borderId="1" xfId="0" applyFont="1" applyFill="1" applyBorder="1" applyAlignment="1">
      <alignment horizontal="center" vertical="center"/>
    </xf>
    <xf numFmtId="0" fontId="27" fillId="0" borderId="2" xfId="0" applyFont="1" applyFill="1" applyBorder="1" applyAlignment="1">
      <alignment horizontal="center" vertical="center"/>
    </xf>
    <xf numFmtId="0" fontId="12" fillId="0" borderId="57" xfId="0" applyFont="1" applyFill="1" applyBorder="1" applyAlignment="1">
      <alignment horizontal="center" vertical="center"/>
    </xf>
    <xf numFmtId="0" fontId="153" fillId="5" borderId="1" xfId="0" applyFont="1" applyFill="1" applyBorder="1" applyAlignment="1">
      <alignment horizontal="center" vertical="center"/>
    </xf>
    <xf numFmtId="0" fontId="154" fillId="0" borderId="1" xfId="0" applyFont="1" applyFill="1" applyBorder="1" applyAlignment="1">
      <alignment horizontal="center" vertical="center"/>
    </xf>
    <xf numFmtId="0" fontId="155" fillId="0" borderId="1" xfId="0" applyFont="1" applyFill="1" applyBorder="1" applyAlignment="1">
      <alignment horizontal="center" vertical="center"/>
    </xf>
    <xf numFmtId="0" fontId="12" fillId="30" borderId="26" xfId="0" applyFont="1" applyFill="1" applyBorder="1" applyAlignment="1">
      <alignment horizontal="center" vertical="center"/>
    </xf>
    <xf numFmtId="0" fontId="2" fillId="30" borderId="27" xfId="0" applyFont="1" applyFill="1" applyBorder="1" applyAlignment="1">
      <alignment horizontal="center" vertical="center"/>
    </xf>
    <xf numFmtId="0" fontId="156" fillId="0" borderId="6" xfId="0" applyFont="1" applyFill="1" applyBorder="1" applyAlignment="1">
      <alignment horizontal="center" vertical="center"/>
    </xf>
    <xf numFmtId="0" fontId="157" fillId="0" borderId="7" xfId="0" applyFont="1" applyFill="1" applyBorder="1" applyAlignment="1">
      <alignment horizontal="center" vertical="center"/>
    </xf>
    <xf numFmtId="0" fontId="157" fillId="0" borderId="8" xfId="0" applyFont="1" applyFill="1" applyBorder="1" applyAlignment="1">
      <alignment horizontal="center" vertical="center"/>
    </xf>
    <xf numFmtId="0" fontId="47" fillId="4" borderId="38" xfId="0" applyFont="1" applyFill="1" applyBorder="1" applyAlignment="1">
      <alignment horizontal="center" vertical="center"/>
    </xf>
    <xf numFmtId="0" fontId="28" fillId="11" borderId="1" xfId="0" applyFont="1" applyFill="1" applyBorder="1" applyAlignment="1">
      <alignment horizontal="center" vertical="center"/>
    </xf>
    <xf numFmtId="0" fontId="28" fillId="30" borderId="23" xfId="0" applyFont="1" applyFill="1" applyBorder="1" applyAlignment="1">
      <alignment horizontal="center" vertical="center"/>
    </xf>
    <xf numFmtId="0" fontId="11" fillId="30" borderId="18" xfId="0" applyFont="1" applyFill="1" applyBorder="1" applyAlignment="1">
      <alignment horizontal="center" vertical="center"/>
    </xf>
    <xf numFmtId="0" fontId="12" fillId="30" borderId="21" xfId="0" applyFont="1" applyFill="1" applyBorder="1" applyAlignment="1">
      <alignment horizontal="center" vertical="center"/>
    </xf>
    <xf numFmtId="0" fontId="12" fillId="30" borderId="22" xfId="0" applyFont="1" applyFill="1" applyBorder="1" applyAlignment="1">
      <alignment horizontal="center" vertical="center"/>
    </xf>
    <xf numFmtId="0" fontId="144" fillId="5" borderId="11" xfId="0" applyFont="1" applyFill="1" applyBorder="1" applyAlignment="1">
      <alignment horizontal="center" vertical="center"/>
    </xf>
    <xf numFmtId="0" fontId="158" fillId="11" borderId="1" xfId="0" applyFont="1" applyFill="1" applyBorder="1" applyAlignment="1">
      <alignment horizontal="center" vertical="center"/>
    </xf>
    <xf numFmtId="0" fontId="154" fillId="11" borderId="1" xfId="0" applyFont="1" applyFill="1" applyBorder="1" applyAlignment="1">
      <alignment horizontal="center" vertical="center"/>
    </xf>
    <xf numFmtId="0" fontId="155" fillId="11" borderId="1" xfId="0" applyFont="1" applyFill="1" applyBorder="1" applyAlignment="1">
      <alignment horizontal="center" vertical="center"/>
    </xf>
    <xf numFmtId="0" fontId="10" fillId="7" borderId="1" xfId="0" applyFont="1" applyFill="1" applyBorder="1" applyAlignment="1">
      <alignment horizontal="center" vertical="center"/>
    </xf>
    <xf numFmtId="0" fontId="12" fillId="30" borderId="35" xfId="0" applyFont="1" applyFill="1" applyBorder="1" applyAlignment="1">
      <alignment horizontal="center" vertical="center"/>
    </xf>
    <xf numFmtId="0" fontId="36" fillId="30" borderId="36" xfId="0" applyFont="1" applyFill="1" applyBorder="1" applyAlignment="1">
      <alignment horizontal="center" vertical="center"/>
    </xf>
    <xf numFmtId="0" fontId="37" fillId="30" borderId="21" xfId="0" applyFont="1" applyFill="1" applyBorder="1" applyAlignment="1">
      <alignment horizontal="center" vertical="center"/>
    </xf>
    <xf numFmtId="0" fontId="37" fillId="30" borderId="35" xfId="0" applyFont="1" applyFill="1" applyBorder="1" applyAlignment="1">
      <alignment horizontal="center" vertical="center"/>
    </xf>
    <xf numFmtId="0" fontId="45" fillId="30" borderId="42" xfId="0" applyFont="1" applyFill="1" applyBorder="1" applyAlignment="1">
      <alignment horizontal="center" vertical="center"/>
    </xf>
    <xf numFmtId="0" fontId="37" fillId="30" borderId="22" xfId="0" applyFont="1" applyFill="1" applyBorder="1" applyAlignment="1">
      <alignment horizontal="center" vertical="center"/>
    </xf>
    <xf numFmtId="0" fontId="43" fillId="30" borderId="43" xfId="0" applyFont="1" applyFill="1" applyBorder="1" applyAlignment="1">
      <alignment horizontal="center" vertical="center"/>
    </xf>
    <xf numFmtId="0" fontId="93" fillId="9" borderId="6" xfId="0" applyFont="1" applyFill="1" applyBorder="1" applyAlignment="1">
      <alignment horizontal="center" vertical="center"/>
    </xf>
    <xf numFmtId="0" fontId="93" fillId="31" borderId="1" xfId="0" applyFont="1" applyFill="1" applyBorder="1" applyAlignment="1">
      <alignment horizontal="center" vertical="center"/>
    </xf>
    <xf numFmtId="0" fontId="103" fillId="0" borderId="1" xfId="0" applyFont="1" applyFill="1" applyBorder="1" applyAlignment="1">
      <alignment horizontal="center" vertical="center"/>
    </xf>
    <xf numFmtId="0" fontId="104" fillId="0" borderId="1" xfId="0" applyFont="1" applyFill="1" applyBorder="1" applyAlignment="1">
      <alignment horizontal="center" vertical="center"/>
    </xf>
    <xf numFmtId="0" fontId="7" fillId="16" borderId="6" xfId="0" applyFont="1" applyFill="1" applyBorder="1" applyAlignment="1">
      <alignment horizontal="center" vertical="center"/>
    </xf>
    <xf numFmtId="0" fontId="7" fillId="16" borderId="7" xfId="0" applyFont="1" applyFill="1" applyBorder="1" applyAlignment="1">
      <alignment horizontal="center" vertical="center"/>
    </xf>
    <xf numFmtId="0" fontId="27" fillId="8" borderId="2" xfId="0" applyFont="1" applyFill="1" applyBorder="1" applyAlignment="1">
      <alignment horizontal="center" vertical="center"/>
    </xf>
    <xf numFmtId="0" fontId="28" fillId="0" borderId="1" xfId="0" applyFont="1" applyFill="1" applyBorder="1" applyAlignment="1">
      <alignment horizontal="center" vertical="center"/>
    </xf>
    <xf numFmtId="0" fontId="28" fillId="9" borderId="1" xfId="0" applyFont="1" applyFill="1" applyBorder="1" applyAlignment="1">
      <alignment horizontal="center" vertical="center"/>
    </xf>
    <xf numFmtId="0" fontId="159" fillId="0" borderId="1" xfId="0" applyFont="1" applyFill="1" applyBorder="1" applyAlignment="1">
      <alignment horizontal="center" vertical="center"/>
    </xf>
    <xf numFmtId="0" fontId="160" fillId="0" borderId="1" xfId="0" applyFont="1" applyFill="1" applyBorder="1" applyAlignment="1">
      <alignment horizontal="center" vertical="center"/>
    </xf>
    <xf numFmtId="0" fontId="161" fillId="0" borderId="1" xfId="0" applyFont="1" applyFill="1" applyBorder="1" applyAlignment="1">
      <alignment horizontal="center" vertical="center"/>
    </xf>
    <xf numFmtId="0" fontId="39" fillId="31" borderId="1" xfId="0" applyFont="1" applyFill="1" applyBorder="1" applyAlignment="1">
      <alignment horizontal="center" vertical="center"/>
    </xf>
    <xf numFmtId="0" fontId="104" fillId="0" borderId="6" xfId="0" applyFont="1" applyFill="1" applyBorder="1" applyAlignment="1">
      <alignment horizontal="center" vertical="center"/>
    </xf>
    <xf numFmtId="0" fontId="11" fillId="0" borderId="9" xfId="0" applyFont="1" applyFill="1" applyBorder="1" applyAlignment="1">
      <alignment horizontal="center" vertical="center" wrapText="1"/>
    </xf>
    <xf numFmtId="0" fontId="11" fillId="0" borderId="0" xfId="0" applyFont="1" applyFill="1" applyAlignment="1">
      <alignment horizontal="center" vertical="center" wrapText="1"/>
    </xf>
    <xf numFmtId="0" fontId="11" fillId="5" borderId="9" xfId="0" applyFont="1" applyFill="1" applyBorder="1" applyAlignment="1">
      <alignment horizontal="center" vertical="center" wrapText="1"/>
    </xf>
    <xf numFmtId="0" fontId="11" fillId="5" borderId="0" xfId="0" applyFont="1" applyFill="1" applyAlignment="1">
      <alignment horizontal="center" vertical="center" wrapText="1"/>
    </xf>
    <xf numFmtId="0" fontId="7" fillId="16" borderId="8" xfId="0" applyFont="1" applyFill="1" applyBorder="1" applyAlignment="1">
      <alignment horizontal="center" vertical="center"/>
    </xf>
    <xf numFmtId="0" fontId="2" fillId="8" borderId="9" xfId="0" applyFont="1" applyFill="1" applyBorder="1" applyAlignment="1">
      <alignment vertical="center"/>
    </xf>
    <xf numFmtId="0" fontId="36" fillId="8" borderId="45" xfId="0" applyFont="1" applyFill="1" applyBorder="1" applyAlignment="1">
      <alignment horizontal="center" vertical="center"/>
    </xf>
    <xf numFmtId="0" fontId="2" fillId="8" borderId="0" xfId="0" applyFont="1" applyFill="1" applyBorder="1" applyAlignment="1">
      <alignment vertical="center"/>
    </xf>
    <xf numFmtId="0" fontId="162" fillId="8" borderId="9" xfId="0" applyFont="1" applyFill="1" applyBorder="1" applyAlignment="1">
      <alignment vertical="center"/>
    </xf>
    <xf numFmtId="0" fontId="162" fillId="8" borderId="0" xfId="0" applyFont="1" applyFill="1" applyBorder="1" applyAlignment="1">
      <alignment vertical="center"/>
    </xf>
    <xf numFmtId="0" fontId="11" fillId="0" borderId="5"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5" borderId="38" xfId="0" applyFont="1" applyFill="1" applyBorder="1" applyAlignment="1">
      <alignment horizontal="center" vertical="center" wrapText="1"/>
    </xf>
    <xf numFmtId="0" fontId="2" fillId="8" borderId="38" xfId="0" applyFont="1" applyFill="1" applyBorder="1" applyAlignment="1">
      <alignment vertical="center"/>
    </xf>
    <xf numFmtId="0" fontId="162" fillId="8" borderId="38" xfId="0" applyFont="1" applyFill="1" applyBorder="1" applyAlignment="1">
      <alignment vertical="center"/>
    </xf>
    <xf numFmtId="0" fontId="12" fillId="30" borderId="10" xfId="0" applyFont="1" applyFill="1" applyBorder="1" applyAlignment="1">
      <alignment horizontal="center" vertical="center"/>
    </xf>
    <xf numFmtId="0" fontId="12" fillId="30" borderId="11" xfId="0" applyFont="1" applyFill="1" applyBorder="1" applyAlignment="1">
      <alignment horizontal="center" vertical="center"/>
    </xf>
    <xf numFmtId="0" fontId="7" fillId="38" borderId="6" xfId="0" applyFont="1" applyFill="1" applyBorder="1" applyAlignment="1">
      <alignment horizontal="center" vertical="center"/>
    </xf>
    <xf numFmtId="0" fontId="7" fillId="38" borderId="7" xfId="0" applyFont="1" applyFill="1" applyBorder="1" applyAlignment="1">
      <alignment horizontal="center" vertical="center"/>
    </xf>
    <xf numFmtId="0" fontId="49" fillId="0" borderId="10" xfId="0" applyFont="1" applyFill="1" applyBorder="1" applyAlignment="1">
      <alignment horizontal="center" vertical="center"/>
    </xf>
    <xf numFmtId="0" fontId="49" fillId="0" borderId="11" xfId="0" applyFont="1" applyFill="1" applyBorder="1" applyAlignment="1">
      <alignment horizontal="center" vertical="center"/>
    </xf>
    <xf numFmtId="0" fontId="49" fillId="0" borderId="24" xfId="0" applyFont="1" applyFill="1" applyBorder="1" applyAlignment="1">
      <alignment horizontal="center" vertical="center"/>
    </xf>
    <xf numFmtId="0" fontId="163" fillId="11" borderId="55" xfId="0" applyFont="1" applyFill="1" applyBorder="1" applyAlignment="1">
      <alignment horizontal="center" vertical="center"/>
    </xf>
    <xf numFmtId="0" fontId="49" fillId="0" borderId="31" xfId="0" applyFont="1" applyFill="1" applyBorder="1" applyAlignment="1">
      <alignment horizontal="center" vertical="center"/>
    </xf>
    <xf numFmtId="0" fontId="49" fillId="9" borderId="10" xfId="0" applyFont="1" applyFill="1" applyBorder="1" applyAlignment="1">
      <alignment horizontal="center" vertical="center"/>
    </xf>
    <xf numFmtId="0" fontId="49" fillId="9" borderId="11" xfId="0" applyFont="1" applyFill="1" applyBorder="1" applyAlignment="1">
      <alignment horizontal="center" vertical="center"/>
    </xf>
    <xf numFmtId="0" fontId="49" fillId="9" borderId="24" xfId="0" applyFont="1" applyFill="1" applyBorder="1" applyAlignment="1">
      <alignment horizontal="center" vertical="center"/>
    </xf>
    <xf numFmtId="0" fontId="163" fillId="20" borderId="55" xfId="0" applyFont="1" applyFill="1" applyBorder="1" applyAlignment="1">
      <alignment horizontal="center" vertical="center"/>
    </xf>
    <xf numFmtId="0" fontId="49" fillId="9" borderId="31" xfId="0" applyFont="1" applyFill="1" applyBorder="1" applyAlignment="1">
      <alignment horizontal="center" vertical="center"/>
    </xf>
    <xf numFmtId="0" fontId="49" fillId="5" borderId="10" xfId="0" applyFont="1" applyFill="1" applyBorder="1" applyAlignment="1">
      <alignment horizontal="center" vertical="center"/>
    </xf>
    <xf numFmtId="0" fontId="49" fillId="5" borderId="11" xfId="0" applyFont="1" applyFill="1" applyBorder="1" applyAlignment="1">
      <alignment horizontal="center" vertical="center"/>
    </xf>
    <xf numFmtId="0" fontId="49" fillId="5" borderId="24" xfId="0" applyFont="1" applyFill="1" applyBorder="1" applyAlignment="1">
      <alignment horizontal="center" vertical="center"/>
    </xf>
    <xf numFmtId="0" fontId="49" fillId="9" borderId="10" xfId="0" applyNumberFormat="1" applyFont="1" applyFill="1" applyBorder="1" applyAlignment="1">
      <alignment horizontal="center" vertical="center"/>
    </xf>
    <xf numFmtId="0" fontId="163" fillId="11" borderId="56" xfId="0" applyFont="1" applyFill="1" applyBorder="1" applyAlignment="1">
      <alignment horizontal="center" vertical="center"/>
    </xf>
    <xf numFmtId="0" fontId="12" fillId="30" borderId="25" xfId="0" applyFont="1" applyFill="1" applyBorder="1" applyAlignment="1">
      <alignment horizontal="center" vertical="center"/>
    </xf>
    <xf numFmtId="0" fontId="2" fillId="30" borderId="9" xfId="0" applyFont="1" applyFill="1" applyBorder="1" applyAlignment="1">
      <alignment vertical="center"/>
    </xf>
    <xf numFmtId="0" fontId="2" fillId="30" borderId="0" xfId="0" applyFont="1" applyFill="1" applyBorder="1" applyAlignment="1">
      <alignment vertical="center"/>
    </xf>
    <xf numFmtId="0" fontId="7" fillId="38" borderId="8" xfId="0" applyFont="1" applyFill="1" applyBorder="1" applyAlignment="1">
      <alignment horizontal="center" vertical="center"/>
    </xf>
    <xf numFmtId="0" fontId="49" fillId="0" borderId="25" xfId="0" applyFont="1" applyFill="1" applyBorder="1" applyAlignment="1">
      <alignment horizontal="center" vertical="center"/>
    </xf>
    <xf numFmtId="0" fontId="53" fillId="0" borderId="27" xfId="0" applyFont="1" applyFill="1" applyBorder="1" applyAlignment="1">
      <alignment vertical="center"/>
    </xf>
    <xf numFmtId="0" fontId="54" fillId="0" borderId="28" xfId="0" applyFont="1" applyFill="1" applyBorder="1" applyAlignment="1">
      <alignment horizontal="center" vertical="center"/>
    </xf>
    <xf numFmtId="0" fontId="53" fillId="0" borderId="29" xfId="0" applyFont="1" applyFill="1" applyBorder="1" applyAlignment="1">
      <alignment vertical="center"/>
    </xf>
    <xf numFmtId="0" fontId="55" fillId="0" borderId="6" xfId="0" applyFont="1" applyFill="1" applyBorder="1" applyAlignment="1">
      <alignment horizontal="center" vertical="center"/>
    </xf>
    <xf numFmtId="0" fontId="164" fillId="11" borderId="55" xfId="0" applyFont="1" applyFill="1" applyBorder="1" applyAlignment="1">
      <alignment horizontal="center" vertical="center"/>
    </xf>
    <xf numFmtId="0" fontId="49" fillId="9" borderId="25" xfId="0" applyFont="1" applyFill="1" applyBorder="1" applyAlignment="1">
      <alignment horizontal="center" vertical="center"/>
    </xf>
    <xf numFmtId="0" fontId="53" fillId="9" borderId="27" xfId="0" applyFont="1" applyFill="1" applyBorder="1" applyAlignment="1">
      <alignment vertical="center"/>
    </xf>
    <xf numFmtId="0" fontId="54" fillId="9" borderId="28" xfId="0" applyFont="1" applyFill="1" applyBorder="1" applyAlignment="1">
      <alignment horizontal="center" vertical="center"/>
    </xf>
    <xf numFmtId="0" fontId="53" fillId="9" borderId="29" xfId="0" applyFont="1" applyFill="1" applyBorder="1" applyAlignment="1">
      <alignment vertical="center"/>
    </xf>
    <xf numFmtId="0" fontId="55" fillId="9" borderId="6" xfId="0" applyFont="1" applyFill="1" applyBorder="1" applyAlignment="1">
      <alignment horizontal="center" vertical="center"/>
    </xf>
    <xf numFmtId="0" fontId="164" fillId="20" borderId="55" xfId="0" applyFont="1" applyFill="1" applyBorder="1" applyAlignment="1">
      <alignment horizontal="center" vertical="center"/>
    </xf>
    <xf numFmtId="0" fontId="49" fillId="5" borderId="25" xfId="0" applyFont="1" applyFill="1" applyBorder="1" applyAlignment="1">
      <alignment horizontal="center" vertical="center"/>
    </xf>
    <xf numFmtId="0" fontId="53" fillId="5" borderId="9" xfId="0" applyFont="1" applyFill="1" applyBorder="1" applyAlignment="1">
      <alignment vertical="center"/>
    </xf>
    <xf numFmtId="0" fontId="54" fillId="5" borderId="33" xfId="0" applyFont="1" applyFill="1" applyBorder="1" applyAlignment="1">
      <alignment horizontal="center" vertical="center"/>
    </xf>
    <xf numFmtId="0" fontId="53" fillId="5" borderId="0" xfId="0" applyFont="1" applyFill="1" applyBorder="1" applyAlignment="1">
      <alignment vertical="center"/>
    </xf>
    <xf numFmtId="0" fontId="55" fillId="5" borderId="6" xfId="0" applyFont="1" applyFill="1" applyBorder="1" applyAlignment="1">
      <alignment horizontal="center" vertical="center"/>
    </xf>
    <xf numFmtId="0" fontId="53" fillId="9" borderId="18" xfId="0" applyFont="1" applyFill="1" applyBorder="1" applyAlignment="1">
      <alignment vertical="center"/>
    </xf>
    <xf numFmtId="0" fontId="53" fillId="9" borderId="20" xfId="0" applyFont="1" applyFill="1" applyBorder="1" applyAlignment="1">
      <alignment vertical="center"/>
    </xf>
    <xf numFmtId="0" fontId="164" fillId="11" borderId="56" xfId="0" applyFont="1" applyFill="1" applyBorder="1" applyAlignment="1">
      <alignment horizontal="center" vertical="center"/>
    </xf>
    <xf numFmtId="0" fontId="2" fillId="30" borderId="38" xfId="0" applyFont="1" applyFill="1" applyBorder="1" applyAlignment="1">
      <alignment vertical="center"/>
    </xf>
    <xf numFmtId="0" fontId="53" fillId="0" borderId="40" xfId="0" applyFont="1" applyFill="1" applyBorder="1" applyAlignment="1">
      <alignment vertical="center"/>
    </xf>
    <xf numFmtId="0" fontId="53" fillId="9" borderId="40" xfId="0" applyFont="1" applyFill="1" applyBorder="1" applyAlignment="1">
      <alignment vertical="center"/>
    </xf>
    <xf numFmtId="0" fontId="53" fillId="5" borderId="38" xfId="0" applyFont="1" applyFill="1" applyBorder="1" applyAlignment="1">
      <alignment vertical="center"/>
    </xf>
    <xf numFmtId="0" fontId="53" fillId="9" borderId="19" xfId="0" applyFont="1" applyFill="1" applyBorder="1" applyAlignment="1">
      <alignment vertical="center"/>
    </xf>
    <xf numFmtId="9" fontId="14" fillId="5" borderId="1" xfId="11" applyFont="1" applyFill="1" applyBorder="1" applyAlignment="1">
      <alignment horizontal="center" vertical="center"/>
    </xf>
    <xf numFmtId="177" fontId="15" fillId="5" borderId="1" xfId="11" applyNumberFormat="1" applyFont="1" applyFill="1" applyBorder="1" applyAlignment="1">
      <alignment horizontal="center" vertical="center"/>
    </xf>
    <xf numFmtId="9" fontId="15" fillId="5" borderId="1" xfId="11" applyNumberFormat="1" applyFont="1" applyFill="1" applyBorder="1" applyAlignment="1">
      <alignment horizontal="center" vertical="center"/>
    </xf>
    <xf numFmtId="177" fontId="165" fillId="5" borderId="1" xfId="11" applyNumberFormat="1" applyFont="1" applyFill="1" applyBorder="1" applyAlignment="1">
      <alignment horizontal="center" vertical="center"/>
    </xf>
    <xf numFmtId="177" fontId="166" fillId="5" borderId="1" xfId="11" applyNumberFormat="1" applyFont="1" applyFill="1" applyBorder="1" applyAlignment="1">
      <alignment horizontal="center" vertical="center"/>
    </xf>
    <xf numFmtId="9" fontId="14" fillId="11" borderId="1" xfId="11" applyFont="1" applyFill="1" applyBorder="1" applyAlignment="1">
      <alignment horizontal="center" vertical="center"/>
    </xf>
    <xf numFmtId="177" fontId="15" fillId="11" borderId="1" xfId="11" applyNumberFormat="1" applyFont="1" applyFill="1" applyBorder="1" applyAlignment="1">
      <alignment horizontal="center" vertical="center"/>
    </xf>
    <xf numFmtId="9" fontId="15" fillId="11" borderId="1" xfId="11" applyNumberFormat="1" applyFont="1" applyFill="1" applyBorder="1" applyAlignment="1">
      <alignment horizontal="center" vertical="center"/>
    </xf>
    <xf numFmtId="177" fontId="16" fillId="11" borderId="1" xfId="11" applyNumberFormat="1" applyFont="1" applyFill="1" applyBorder="1" applyAlignment="1">
      <alignment horizontal="center" vertical="center"/>
    </xf>
    <xf numFmtId="177" fontId="166" fillId="11" borderId="1" xfId="11" applyNumberFormat="1" applyFont="1" applyFill="1" applyBorder="1" applyAlignment="1">
      <alignment horizontal="center" vertical="center"/>
    </xf>
    <xf numFmtId="9" fontId="69" fillId="5" borderId="1" xfId="11" applyNumberFormat="1" applyFont="1" applyFill="1" applyBorder="1" applyAlignment="1">
      <alignment horizontal="center" vertical="center"/>
    </xf>
    <xf numFmtId="9" fontId="17" fillId="5" borderId="1" xfId="11" applyNumberFormat="1" applyFont="1" applyFill="1" applyBorder="1" applyAlignment="1">
      <alignment horizontal="center" vertical="center"/>
    </xf>
    <xf numFmtId="0" fontId="13" fillId="11" borderId="2" xfId="0" applyFont="1" applyFill="1" applyBorder="1" applyAlignment="1">
      <alignment horizontal="center" vertical="center"/>
    </xf>
    <xf numFmtId="0" fontId="12" fillId="11" borderId="12" xfId="0" applyFont="1" applyFill="1" applyBorder="1" applyAlignment="1">
      <alignment horizontal="center" vertical="center"/>
    </xf>
    <xf numFmtId="0" fontId="12" fillId="11"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58" fillId="5" borderId="6" xfId="0" applyFont="1" applyFill="1" applyBorder="1" applyAlignment="1">
      <alignment horizontal="center" vertical="center"/>
    </xf>
    <xf numFmtId="0" fontId="58" fillId="5" borderId="7" xfId="0" applyFont="1" applyFill="1" applyBorder="1" applyAlignment="1">
      <alignment horizontal="center" vertical="center"/>
    </xf>
    <xf numFmtId="0" fontId="58" fillId="5"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167" fillId="33" borderId="1" xfId="11" applyNumberFormat="1" applyFont="1" applyFill="1" applyBorder="1" applyAlignment="1">
      <alignment horizontal="center" vertical="center"/>
    </xf>
    <xf numFmtId="0" fontId="108" fillId="33" borderId="1" xfId="11" applyNumberFormat="1" applyFont="1" applyFill="1" applyBorder="1" applyAlignment="1">
      <alignment horizontal="center" vertical="center"/>
    </xf>
    <xf numFmtId="0" fontId="109" fillId="33" borderId="1" xfId="11" applyNumberFormat="1" applyFont="1" applyFill="1" applyBorder="1" applyAlignment="1">
      <alignment horizontal="center" vertical="center"/>
    </xf>
    <xf numFmtId="0" fontId="110" fillId="33" borderId="1" xfId="11" applyNumberFormat="1" applyFont="1" applyFill="1" applyBorder="1" applyAlignment="1">
      <alignment horizontal="center" vertical="center"/>
    </xf>
    <xf numFmtId="0" fontId="167" fillId="11" borderId="1" xfId="11" applyNumberFormat="1" applyFont="1" applyFill="1" applyBorder="1" applyAlignment="1">
      <alignment horizontal="center" vertical="center"/>
    </xf>
    <xf numFmtId="0" fontId="108" fillId="11" borderId="1" xfId="11" applyNumberFormat="1" applyFont="1" applyFill="1" applyBorder="1" applyAlignment="1">
      <alignment horizontal="center" vertical="center"/>
    </xf>
    <xf numFmtId="0" fontId="109" fillId="11" borderId="1" xfId="11" applyNumberFormat="1" applyFont="1" applyFill="1" applyBorder="1" applyAlignment="1">
      <alignment horizontal="center" vertical="center"/>
    </xf>
    <xf numFmtId="0" fontId="110" fillId="11" borderId="1" xfId="11" applyNumberFormat="1" applyFont="1" applyFill="1" applyBorder="1" applyAlignment="1">
      <alignment horizontal="center" vertical="center"/>
    </xf>
    <xf numFmtId="0" fontId="167" fillId="34" borderId="1" xfId="11" applyNumberFormat="1" applyFont="1" applyFill="1" applyBorder="1" applyAlignment="1">
      <alignment horizontal="center" vertical="center"/>
    </xf>
    <xf numFmtId="0" fontId="108" fillId="34" borderId="1" xfId="11" applyNumberFormat="1" applyFont="1" applyFill="1" applyBorder="1" applyAlignment="1">
      <alignment horizontal="center" vertical="center"/>
    </xf>
    <xf numFmtId="0" fontId="109" fillId="34" borderId="1" xfId="11" applyNumberFormat="1" applyFont="1" applyFill="1" applyBorder="1" applyAlignment="1">
      <alignment horizontal="center" vertical="center"/>
    </xf>
    <xf numFmtId="0" fontId="110" fillId="34" borderId="1" xfId="11" applyNumberFormat="1" applyFont="1" applyFill="1" applyBorder="1" applyAlignment="1">
      <alignment horizontal="center" vertical="center"/>
    </xf>
    <xf numFmtId="0" fontId="167" fillId="9" borderId="1" xfId="11" applyNumberFormat="1" applyFont="1" applyFill="1" applyBorder="1" applyAlignment="1">
      <alignment horizontal="center" vertical="center"/>
    </xf>
    <xf numFmtId="0" fontId="108" fillId="9" borderId="1" xfId="11" applyNumberFormat="1" applyFont="1" applyFill="1" applyBorder="1" applyAlignment="1">
      <alignment horizontal="center" vertical="center"/>
    </xf>
    <xf numFmtId="0" fontId="109" fillId="9" borderId="1" xfId="11" applyNumberFormat="1" applyFont="1" applyFill="1" applyBorder="1" applyAlignment="1">
      <alignment horizontal="center" vertical="center"/>
    </xf>
    <xf numFmtId="0" fontId="110" fillId="9" borderId="1" xfId="11" applyNumberFormat="1" applyFont="1" applyFill="1" applyBorder="1" applyAlignment="1">
      <alignment horizontal="center" vertical="center"/>
    </xf>
    <xf numFmtId="0" fontId="2" fillId="2" borderId="3" xfId="0" applyFont="1" applyFill="1" applyBorder="1" applyAlignment="1">
      <alignment vertical="center"/>
    </xf>
    <xf numFmtId="0" fontId="168" fillId="5" borderId="3" xfId="0" applyFont="1" applyFill="1" applyBorder="1" applyAlignment="1">
      <alignment horizontal="center" vertical="center"/>
    </xf>
    <xf numFmtId="0" fontId="169" fillId="5" borderId="4" xfId="0" applyFont="1" applyFill="1" applyBorder="1" applyAlignment="1">
      <alignment horizontal="center" vertical="center"/>
    </xf>
    <xf numFmtId="177" fontId="170" fillId="5" borderId="1" xfId="11" applyNumberFormat="1" applyFont="1" applyFill="1" applyBorder="1" applyAlignment="1">
      <alignment horizontal="center" vertical="center"/>
    </xf>
    <xf numFmtId="9" fontId="39" fillId="5" borderId="1" xfId="11" applyNumberFormat="1" applyFont="1" applyFill="1" applyBorder="1" applyAlignment="1">
      <alignment horizontal="center" vertical="center"/>
    </xf>
    <xf numFmtId="177" fontId="170" fillId="11" borderId="1" xfId="11" applyNumberFormat="1" applyFont="1" applyFill="1" applyBorder="1" applyAlignment="1">
      <alignment horizontal="center" vertical="center"/>
    </xf>
    <xf numFmtId="9" fontId="39" fillId="11" borderId="1" xfId="11" applyNumberFormat="1"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71" fillId="5" borderId="1" xfId="11" applyNumberFormat="1" applyFont="1" applyFill="1" applyBorder="1" applyAlignment="1">
      <alignment horizontal="center" vertical="center"/>
    </xf>
    <xf numFmtId="0" fontId="12" fillId="11" borderId="26" xfId="0" applyFont="1" applyFill="1" applyBorder="1" applyAlignment="1">
      <alignment horizontal="center" vertical="center"/>
    </xf>
    <xf numFmtId="0" fontId="2" fillId="11" borderId="9" xfId="0" applyFont="1" applyFill="1" applyBorder="1" applyAlignment="1">
      <alignment vertical="center"/>
    </xf>
    <xf numFmtId="0" fontId="36" fillId="11" borderId="45" xfId="0" applyFont="1" applyFill="1" applyBorder="1" applyAlignment="1">
      <alignment horizontal="center" vertical="center"/>
    </xf>
    <xf numFmtId="0" fontId="2" fillId="11" borderId="0" xfId="0" applyFont="1" applyFill="1" applyBorder="1" applyAlignment="1">
      <alignment vertical="center"/>
    </xf>
    <xf numFmtId="0" fontId="37" fillId="11" borderId="12" xfId="0" applyFont="1" applyFill="1" applyBorder="1" applyAlignment="1">
      <alignment horizontal="center" vertical="center"/>
    </xf>
    <xf numFmtId="0" fontId="37" fillId="11" borderId="26" xfId="0" applyFont="1" applyFill="1" applyBorder="1" applyAlignment="1">
      <alignment horizontal="center" vertical="center"/>
    </xf>
    <xf numFmtId="0" fontId="11" fillId="5" borderId="1" xfId="0" applyFont="1" applyFill="1" applyBorder="1" applyAlignment="1">
      <alignment horizontal="left" vertical="center"/>
    </xf>
    <xf numFmtId="0" fontId="168" fillId="5" borderId="9" xfId="0" applyFont="1" applyFill="1" applyBorder="1" applyAlignment="1">
      <alignment horizontal="center" vertical="center"/>
    </xf>
    <xf numFmtId="0" fontId="168" fillId="5" borderId="0" xfId="0" applyFont="1" applyFill="1" applyAlignment="1">
      <alignment horizontal="center" vertical="center"/>
    </xf>
    <xf numFmtId="0" fontId="113" fillId="33" borderId="1" xfId="11" applyNumberFormat="1" applyFont="1" applyFill="1" applyBorder="1" applyAlignment="1">
      <alignment horizontal="center" vertical="center"/>
    </xf>
    <xf numFmtId="0" fontId="114" fillId="33" borderId="1" xfId="11" applyNumberFormat="1" applyFont="1" applyFill="1" applyBorder="1" applyAlignment="1">
      <alignment horizontal="center" vertical="center"/>
    </xf>
    <xf numFmtId="0" fontId="13" fillId="5" borderId="9" xfId="0" applyFont="1" applyFill="1" applyBorder="1" applyAlignment="1">
      <alignment horizontal="left" vertical="center"/>
    </xf>
    <xf numFmtId="0" fontId="13" fillId="5" borderId="0" xfId="0" applyFont="1" applyFill="1" applyAlignment="1">
      <alignment horizontal="left" vertical="center"/>
    </xf>
    <xf numFmtId="0" fontId="113" fillId="11" borderId="1" xfId="11" applyNumberFormat="1" applyFont="1" applyFill="1" applyBorder="1" applyAlignment="1">
      <alignment horizontal="center" vertical="center"/>
    </xf>
    <xf numFmtId="0" fontId="114" fillId="11" borderId="1" xfId="11" applyNumberFormat="1" applyFont="1" applyFill="1" applyBorder="1" applyAlignment="1">
      <alignment horizontal="center" vertical="center"/>
    </xf>
    <xf numFmtId="0" fontId="113" fillId="34" borderId="1" xfId="11" applyNumberFormat="1" applyFont="1" applyFill="1" applyBorder="1" applyAlignment="1">
      <alignment horizontal="center" vertical="center"/>
    </xf>
    <xf numFmtId="0" fontId="114" fillId="34" borderId="1" xfId="11" applyNumberFormat="1" applyFont="1" applyFill="1" applyBorder="1" applyAlignment="1">
      <alignment horizontal="center" vertical="center"/>
    </xf>
    <xf numFmtId="0" fontId="113" fillId="9" borderId="1" xfId="11" applyNumberFormat="1" applyFont="1" applyFill="1" applyBorder="1" applyAlignment="1">
      <alignment horizontal="center" vertical="center"/>
    </xf>
    <xf numFmtId="0" fontId="114" fillId="9" borderId="1" xfId="11" applyNumberFormat="1" applyFont="1" applyFill="1" applyBorder="1" applyAlignment="1">
      <alignment horizontal="center" vertical="center"/>
    </xf>
    <xf numFmtId="0" fontId="11" fillId="5" borderId="18" xfId="0" applyFont="1" applyFill="1" applyBorder="1" applyAlignment="1">
      <alignment horizontal="left" vertical="center"/>
    </xf>
    <xf numFmtId="0" fontId="11" fillId="5" borderId="20" xfId="0" applyFont="1" applyFill="1" applyBorder="1" applyAlignment="1">
      <alignment horizontal="left" vertical="center"/>
    </xf>
    <xf numFmtId="0" fontId="44" fillId="2" borderId="2" xfId="0" applyFont="1" applyFill="1" applyBorder="1" applyAlignment="1">
      <alignment horizontal="center" vertical="center"/>
    </xf>
    <xf numFmtId="0" fontId="169" fillId="5" borderId="5" xfId="0" applyFont="1" applyFill="1" applyBorder="1" applyAlignment="1">
      <alignment horizontal="center" vertical="center"/>
    </xf>
    <xf numFmtId="0" fontId="11" fillId="5" borderId="6" xfId="0" applyFont="1" applyFill="1" applyBorder="1" applyAlignment="1">
      <alignment horizontal="left" vertical="center"/>
    </xf>
    <xf numFmtId="0" fontId="11" fillId="5" borderId="7" xfId="0" applyFont="1" applyFill="1" applyBorder="1" applyAlignment="1">
      <alignment horizontal="left" vertical="center"/>
    </xf>
    <xf numFmtId="0" fontId="11" fillId="5" borderId="8" xfId="0" applyFont="1" applyFill="1" applyBorder="1" applyAlignment="1">
      <alignment horizontal="left" vertical="center"/>
    </xf>
    <xf numFmtId="0" fontId="45" fillId="11" borderId="41" xfId="0" applyFont="1" applyFill="1" applyBorder="1" applyAlignment="1">
      <alignment horizontal="center" vertical="center"/>
    </xf>
    <xf numFmtId="0" fontId="37" fillId="11" borderId="13" xfId="0" applyFont="1" applyFill="1" applyBorder="1" applyAlignment="1">
      <alignment horizontal="center" vertical="center"/>
    </xf>
    <xf numFmtId="0" fontId="2" fillId="11" borderId="38" xfId="0" applyFont="1" applyFill="1" applyBorder="1" applyAlignment="1">
      <alignment vertical="center"/>
    </xf>
    <xf numFmtId="0" fontId="43" fillId="11" borderId="2"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38" xfId="0" applyFont="1" applyFill="1" applyBorder="1" applyAlignment="1">
      <alignment horizontal="center" vertical="center"/>
    </xf>
    <xf numFmtId="0" fontId="168" fillId="5" borderId="38" xfId="0" applyFont="1" applyFill="1" applyBorder="1" applyAlignment="1">
      <alignment horizontal="center" vertical="center"/>
    </xf>
    <xf numFmtId="0" fontId="13" fillId="5" borderId="38" xfId="0" applyFont="1" applyFill="1" applyBorder="1" applyAlignment="1">
      <alignment horizontal="left" vertical="center"/>
    </xf>
    <xf numFmtId="0" fontId="11" fillId="5" borderId="19"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9" Type="http://schemas.openxmlformats.org/officeDocument/2006/relationships/image" Target="media/image100.png"/><Relationship Id="rId98" Type="http://schemas.openxmlformats.org/officeDocument/2006/relationships/image" Target="media/image99.png"/><Relationship Id="rId97" Type="http://schemas.openxmlformats.org/officeDocument/2006/relationships/image" Target="media/image98.png"/><Relationship Id="rId96" Type="http://schemas.openxmlformats.org/officeDocument/2006/relationships/image" Target="media/image97.png"/><Relationship Id="rId95" Type="http://schemas.openxmlformats.org/officeDocument/2006/relationships/image" Target="media/image96.png"/><Relationship Id="rId94" Type="http://schemas.openxmlformats.org/officeDocument/2006/relationships/image" Target="media/image95.png"/><Relationship Id="rId93" Type="http://schemas.openxmlformats.org/officeDocument/2006/relationships/image" Target="media/image94.png"/><Relationship Id="rId92" Type="http://schemas.openxmlformats.org/officeDocument/2006/relationships/image" Target="media/image93.png"/><Relationship Id="rId91" Type="http://schemas.openxmlformats.org/officeDocument/2006/relationships/image" Target="media/image92.png"/><Relationship Id="rId90" Type="http://schemas.openxmlformats.org/officeDocument/2006/relationships/image" Target="media/image91.png"/><Relationship Id="rId9" Type="http://schemas.openxmlformats.org/officeDocument/2006/relationships/image" Target="media/image10.png"/><Relationship Id="rId89" Type="http://schemas.openxmlformats.org/officeDocument/2006/relationships/image" Target="media/image90.png"/><Relationship Id="rId88" Type="http://schemas.openxmlformats.org/officeDocument/2006/relationships/image" Target="media/image89.png"/><Relationship Id="rId87" Type="http://schemas.openxmlformats.org/officeDocument/2006/relationships/image" Target="media/image88.png"/><Relationship Id="rId86" Type="http://schemas.openxmlformats.org/officeDocument/2006/relationships/image" Target="media/image87.png"/><Relationship Id="rId85" Type="http://schemas.openxmlformats.org/officeDocument/2006/relationships/image" Target="media/image86.png"/><Relationship Id="rId84" Type="http://schemas.openxmlformats.org/officeDocument/2006/relationships/image" Target="media/image85.png"/><Relationship Id="rId83" Type="http://schemas.openxmlformats.org/officeDocument/2006/relationships/image" Target="media/image84.png"/><Relationship Id="rId82" Type="http://schemas.openxmlformats.org/officeDocument/2006/relationships/image" Target="media/image83.png"/><Relationship Id="rId81" Type="http://schemas.openxmlformats.org/officeDocument/2006/relationships/image" Target="media/image82.png"/><Relationship Id="rId80" Type="http://schemas.openxmlformats.org/officeDocument/2006/relationships/image" Target="media/image81.png"/><Relationship Id="rId8" Type="http://schemas.openxmlformats.org/officeDocument/2006/relationships/image" Target="media/image9.png"/><Relationship Id="rId79" Type="http://schemas.openxmlformats.org/officeDocument/2006/relationships/image" Target="media/image80.png"/><Relationship Id="rId78" Type="http://schemas.openxmlformats.org/officeDocument/2006/relationships/image" Target="media/image79.png"/><Relationship Id="rId77" Type="http://schemas.openxmlformats.org/officeDocument/2006/relationships/image" Target="media/image78.png"/><Relationship Id="rId76" Type="http://schemas.openxmlformats.org/officeDocument/2006/relationships/image" Target="media/image77.png"/><Relationship Id="rId75" Type="http://schemas.openxmlformats.org/officeDocument/2006/relationships/image" Target="media/image76.png"/><Relationship Id="rId74" Type="http://schemas.openxmlformats.org/officeDocument/2006/relationships/image" Target="media/image75.png"/><Relationship Id="rId73" Type="http://schemas.openxmlformats.org/officeDocument/2006/relationships/image" Target="media/image74.png"/><Relationship Id="rId72" Type="http://schemas.openxmlformats.org/officeDocument/2006/relationships/image" Target="media/image73.png"/><Relationship Id="rId71" Type="http://schemas.openxmlformats.org/officeDocument/2006/relationships/image" Target="media/image72.png"/><Relationship Id="rId70" Type="http://schemas.openxmlformats.org/officeDocument/2006/relationships/image" Target="media/image71.png"/><Relationship Id="rId7" Type="http://schemas.openxmlformats.org/officeDocument/2006/relationships/image" Target="media/image8.png"/><Relationship Id="rId69" Type="http://schemas.openxmlformats.org/officeDocument/2006/relationships/image" Target="media/image70.png"/><Relationship Id="rId68" Type="http://schemas.openxmlformats.org/officeDocument/2006/relationships/image" Target="media/image69.png"/><Relationship Id="rId67" Type="http://schemas.openxmlformats.org/officeDocument/2006/relationships/image" Target="media/image68.png"/><Relationship Id="rId66" Type="http://schemas.openxmlformats.org/officeDocument/2006/relationships/image" Target="media/image67.png"/><Relationship Id="rId65" Type="http://schemas.openxmlformats.org/officeDocument/2006/relationships/image" Target="media/image66.png"/><Relationship Id="rId64" Type="http://schemas.openxmlformats.org/officeDocument/2006/relationships/image" Target="media/image65.png"/><Relationship Id="rId63" Type="http://schemas.openxmlformats.org/officeDocument/2006/relationships/image" Target="media/image64.png"/><Relationship Id="rId62" Type="http://schemas.openxmlformats.org/officeDocument/2006/relationships/image" Target="media/image63.png"/><Relationship Id="rId61" Type="http://schemas.openxmlformats.org/officeDocument/2006/relationships/image" Target="media/image62.png"/><Relationship Id="rId60" Type="http://schemas.openxmlformats.org/officeDocument/2006/relationships/image" Target="media/image61.png"/><Relationship Id="rId6" Type="http://schemas.openxmlformats.org/officeDocument/2006/relationships/image" Target="media/image7.png"/><Relationship Id="rId59" Type="http://schemas.openxmlformats.org/officeDocument/2006/relationships/image" Target="media/image60.png"/><Relationship Id="rId58" Type="http://schemas.openxmlformats.org/officeDocument/2006/relationships/image" Target="media/image59.png"/><Relationship Id="rId57" Type="http://schemas.openxmlformats.org/officeDocument/2006/relationships/image" Target="media/image58.png"/><Relationship Id="rId56" Type="http://schemas.openxmlformats.org/officeDocument/2006/relationships/image" Target="media/image57.png"/><Relationship Id="rId55" Type="http://schemas.openxmlformats.org/officeDocument/2006/relationships/image" Target="media/image56.png"/><Relationship Id="rId54" Type="http://schemas.openxmlformats.org/officeDocument/2006/relationships/image" Target="media/image55.png"/><Relationship Id="rId53" Type="http://schemas.openxmlformats.org/officeDocument/2006/relationships/image" Target="media/image54.png"/><Relationship Id="rId52" Type="http://schemas.openxmlformats.org/officeDocument/2006/relationships/image" Target="media/image53.png"/><Relationship Id="rId51" Type="http://schemas.openxmlformats.org/officeDocument/2006/relationships/image" Target="media/image52.png"/><Relationship Id="rId50" Type="http://schemas.openxmlformats.org/officeDocument/2006/relationships/image" Target="media/image51.png"/><Relationship Id="rId5" Type="http://schemas.openxmlformats.org/officeDocument/2006/relationships/image" Target="media/image6.png"/><Relationship Id="rId49" Type="http://schemas.openxmlformats.org/officeDocument/2006/relationships/image" Target="media/image50.png"/><Relationship Id="rId48" Type="http://schemas.openxmlformats.org/officeDocument/2006/relationships/image" Target="media/image49.png"/><Relationship Id="rId47" Type="http://schemas.openxmlformats.org/officeDocument/2006/relationships/image" Target="media/image48.png"/><Relationship Id="rId46" Type="http://schemas.openxmlformats.org/officeDocument/2006/relationships/image" Target="media/image47.png"/><Relationship Id="rId45" Type="http://schemas.openxmlformats.org/officeDocument/2006/relationships/image" Target="media/image46.png"/><Relationship Id="rId44" Type="http://schemas.openxmlformats.org/officeDocument/2006/relationships/image" Target="media/image45.png"/><Relationship Id="rId43" Type="http://schemas.openxmlformats.org/officeDocument/2006/relationships/image" Target="media/image44.png"/><Relationship Id="rId42" Type="http://schemas.openxmlformats.org/officeDocument/2006/relationships/image" Target="media/image43.png"/><Relationship Id="rId41" Type="http://schemas.openxmlformats.org/officeDocument/2006/relationships/image" Target="media/image42.png"/><Relationship Id="rId40" Type="http://schemas.openxmlformats.org/officeDocument/2006/relationships/image" Target="media/image41.png"/><Relationship Id="rId4" Type="http://schemas.openxmlformats.org/officeDocument/2006/relationships/image" Target="media/image5.png"/><Relationship Id="rId39" Type="http://schemas.openxmlformats.org/officeDocument/2006/relationships/image" Target="media/image40.png"/><Relationship Id="rId38" Type="http://schemas.openxmlformats.org/officeDocument/2006/relationships/image" Target="media/image39.png"/><Relationship Id="rId37" Type="http://schemas.openxmlformats.org/officeDocument/2006/relationships/image" Target="media/image38.png"/><Relationship Id="rId36" Type="http://schemas.openxmlformats.org/officeDocument/2006/relationships/image" Target="media/image37.png"/><Relationship Id="rId35" Type="http://schemas.openxmlformats.org/officeDocument/2006/relationships/image" Target="media/image36.png"/><Relationship Id="rId34" Type="http://schemas.openxmlformats.org/officeDocument/2006/relationships/image" Target="media/image35.png"/><Relationship Id="rId33" Type="http://schemas.openxmlformats.org/officeDocument/2006/relationships/image" Target="media/image34.png"/><Relationship Id="rId32" Type="http://schemas.openxmlformats.org/officeDocument/2006/relationships/image" Target="media/image33.png"/><Relationship Id="rId317" Type="http://schemas.openxmlformats.org/officeDocument/2006/relationships/image" Target="media/image318.png"/><Relationship Id="rId316" Type="http://schemas.openxmlformats.org/officeDocument/2006/relationships/image" Target="media/image317.png"/><Relationship Id="rId315" Type="http://schemas.openxmlformats.org/officeDocument/2006/relationships/image" Target="media/image316.png"/><Relationship Id="rId314" Type="http://schemas.openxmlformats.org/officeDocument/2006/relationships/image" Target="media/image315.png"/><Relationship Id="rId313" Type="http://schemas.openxmlformats.org/officeDocument/2006/relationships/image" Target="media/image314.png"/><Relationship Id="rId312" Type="http://schemas.openxmlformats.org/officeDocument/2006/relationships/image" Target="media/image313.png"/><Relationship Id="rId311" Type="http://schemas.openxmlformats.org/officeDocument/2006/relationships/image" Target="media/image312.png"/><Relationship Id="rId310" Type="http://schemas.openxmlformats.org/officeDocument/2006/relationships/image" Target="media/image311.png"/><Relationship Id="rId31" Type="http://schemas.openxmlformats.org/officeDocument/2006/relationships/image" Target="media/image32.png"/><Relationship Id="rId309" Type="http://schemas.openxmlformats.org/officeDocument/2006/relationships/image" Target="media/image310.png"/><Relationship Id="rId308" Type="http://schemas.openxmlformats.org/officeDocument/2006/relationships/image" Target="media/image309.png"/><Relationship Id="rId307" Type="http://schemas.openxmlformats.org/officeDocument/2006/relationships/image" Target="media/image308.png"/><Relationship Id="rId306" Type="http://schemas.openxmlformats.org/officeDocument/2006/relationships/image" Target="media/image307.png"/><Relationship Id="rId305" Type="http://schemas.openxmlformats.org/officeDocument/2006/relationships/image" Target="media/image306.png"/><Relationship Id="rId304" Type="http://schemas.openxmlformats.org/officeDocument/2006/relationships/image" Target="media/image305.png"/><Relationship Id="rId303" Type="http://schemas.openxmlformats.org/officeDocument/2006/relationships/image" Target="media/image304.png"/><Relationship Id="rId302" Type="http://schemas.openxmlformats.org/officeDocument/2006/relationships/image" Target="media/image303.png"/><Relationship Id="rId301" Type="http://schemas.openxmlformats.org/officeDocument/2006/relationships/image" Target="media/image302.png"/><Relationship Id="rId300" Type="http://schemas.openxmlformats.org/officeDocument/2006/relationships/image" Target="media/image301.png"/><Relationship Id="rId30" Type="http://schemas.openxmlformats.org/officeDocument/2006/relationships/image" Target="media/image31.png"/><Relationship Id="rId3" Type="http://schemas.openxmlformats.org/officeDocument/2006/relationships/image" Target="media/image4.png"/><Relationship Id="rId299" Type="http://schemas.openxmlformats.org/officeDocument/2006/relationships/image" Target="media/image300.png"/><Relationship Id="rId298" Type="http://schemas.openxmlformats.org/officeDocument/2006/relationships/image" Target="media/image299.png"/><Relationship Id="rId297" Type="http://schemas.openxmlformats.org/officeDocument/2006/relationships/image" Target="media/image298.png"/><Relationship Id="rId296" Type="http://schemas.openxmlformats.org/officeDocument/2006/relationships/image" Target="media/image297.png"/><Relationship Id="rId295" Type="http://schemas.openxmlformats.org/officeDocument/2006/relationships/image" Target="media/image296.png"/><Relationship Id="rId294" Type="http://schemas.openxmlformats.org/officeDocument/2006/relationships/image" Target="media/image295.png"/><Relationship Id="rId293" Type="http://schemas.openxmlformats.org/officeDocument/2006/relationships/image" Target="media/image294.png"/><Relationship Id="rId292" Type="http://schemas.openxmlformats.org/officeDocument/2006/relationships/image" Target="media/image293.png"/><Relationship Id="rId291" Type="http://schemas.openxmlformats.org/officeDocument/2006/relationships/image" Target="media/image292.png"/><Relationship Id="rId290" Type="http://schemas.openxmlformats.org/officeDocument/2006/relationships/image" Target="media/image291.png"/><Relationship Id="rId29" Type="http://schemas.openxmlformats.org/officeDocument/2006/relationships/image" Target="media/image30.png"/><Relationship Id="rId289" Type="http://schemas.openxmlformats.org/officeDocument/2006/relationships/image" Target="media/image290.png"/><Relationship Id="rId288" Type="http://schemas.openxmlformats.org/officeDocument/2006/relationships/image" Target="media/image289.png"/><Relationship Id="rId287" Type="http://schemas.openxmlformats.org/officeDocument/2006/relationships/image" Target="media/image288.png"/><Relationship Id="rId286" Type="http://schemas.openxmlformats.org/officeDocument/2006/relationships/image" Target="media/image287.png"/><Relationship Id="rId285" Type="http://schemas.openxmlformats.org/officeDocument/2006/relationships/image" Target="media/image286.png"/><Relationship Id="rId284" Type="http://schemas.openxmlformats.org/officeDocument/2006/relationships/image" Target="media/image285.png"/><Relationship Id="rId283" Type="http://schemas.openxmlformats.org/officeDocument/2006/relationships/image" Target="media/image284.png"/><Relationship Id="rId282" Type="http://schemas.openxmlformats.org/officeDocument/2006/relationships/image" Target="media/image283.png"/><Relationship Id="rId281" Type="http://schemas.openxmlformats.org/officeDocument/2006/relationships/image" Target="media/image282.png"/><Relationship Id="rId280" Type="http://schemas.openxmlformats.org/officeDocument/2006/relationships/image" Target="media/image281.png"/><Relationship Id="rId28" Type="http://schemas.openxmlformats.org/officeDocument/2006/relationships/image" Target="media/image29.png"/><Relationship Id="rId279" Type="http://schemas.openxmlformats.org/officeDocument/2006/relationships/image" Target="media/image280.png"/><Relationship Id="rId278" Type="http://schemas.openxmlformats.org/officeDocument/2006/relationships/image" Target="media/image279.png"/><Relationship Id="rId277" Type="http://schemas.openxmlformats.org/officeDocument/2006/relationships/image" Target="media/image278.png"/><Relationship Id="rId276" Type="http://schemas.openxmlformats.org/officeDocument/2006/relationships/image" Target="media/image277.png"/><Relationship Id="rId275" Type="http://schemas.openxmlformats.org/officeDocument/2006/relationships/image" Target="media/image276.png"/><Relationship Id="rId274" Type="http://schemas.openxmlformats.org/officeDocument/2006/relationships/image" Target="media/image275.png"/><Relationship Id="rId273" Type="http://schemas.openxmlformats.org/officeDocument/2006/relationships/image" Target="media/image274.png"/><Relationship Id="rId272" Type="http://schemas.openxmlformats.org/officeDocument/2006/relationships/image" Target="media/image273.png"/><Relationship Id="rId271" Type="http://schemas.openxmlformats.org/officeDocument/2006/relationships/image" Target="media/image272.png"/><Relationship Id="rId270" Type="http://schemas.openxmlformats.org/officeDocument/2006/relationships/image" Target="media/image271.png"/><Relationship Id="rId27" Type="http://schemas.openxmlformats.org/officeDocument/2006/relationships/image" Target="media/image28.png"/><Relationship Id="rId269" Type="http://schemas.openxmlformats.org/officeDocument/2006/relationships/image" Target="media/image270.png"/><Relationship Id="rId268" Type="http://schemas.openxmlformats.org/officeDocument/2006/relationships/image" Target="media/image269.png"/><Relationship Id="rId267" Type="http://schemas.openxmlformats.org/officeDocument/2006/relationships/image" Target="media/image268.png"/><Relationship Id="rId266" Type="http://schemas.openxmlformats.org/officeDocument/2006/relationships/image" Target="media/image267.png"/><Relationship Id="rId265" Type="http://schemas.openxmlformats.org/officeDocument/2006/relationships/image" Target="media/image266.png"/><Relationship Id="rId264" Type="http://schemas.openxmlformats.org/officeDocument/2006/relationships/image" Target="media/image265.png"/><Relationship Id="rId263" Type="http://schemas.openxmlformats.org/officeDocument/2006/relationships/image" Target="media/image264.png"/><Relationship Id="rId262" Type="http://schemas.openxmlformats.org/officeDocument/2006/relationships/image" Target="media/image263.png"/><Relationship Id="rId261" Type="http://schemas.openxmlformats.org/officeDocument/2006/relationships/image" Target="media/image262.png"/><Relationship Id="rId260" Type="http://schemas.openxmlformats.org/officeDocument/2006/relationships/image" Target="media/image261.png"/><Relationship Id="rId26" Type="http://schemas.openxmlformats.org/officeDocument/2006/relationships/image" Target="media/image27.png"/><Relationship Id="rId259" Type="http://schemas.openxmlformats.org/officeDocument/2006/relationships/image" Target="media/image260.png"/><Relationship Id="rId258" Type="http://schemas.openxmlformats.org/officeDocument/2006/relationships/image" Target="media/image259.png"/><Relationship Id="rId257" Type="http://schemas.openxmlformats.org/officeDocument/2006/relationships/image" Target="media/image258.png"/><Relationship Id="rId256" Type="http://schemas.openxmlformats.org/officeDocument/2006/relationships/image" Target="media/image257.png"/><Relationship Id="rId255" Type="http://schemas.openxmlformats.org/officeDocument/2006/relationships/image" Target="media/image256.png"/><Relationship Id="rId254" Type="http://schemas.openxmlformats.org/officeDocument/2006/relationships/image" Target="media/image255.png"/><Relationship Id="rId253" Type="http://schemas.openxmlformats.org/officeDocument/2006/relationships/image" Target="media/image254.png"/><Relationship Id="rId252" Type="http://schemas.openxmlformats.org/officeDocument/2006/relationships/image" Target="media/image253.png"/><Relationship Id="rId251" Type="http://schemas.openxmlformats.org/officeDocument/2006/relationships/image" Target="media/image252.png"/><Relationship Id="rId250" Type="http://schemas.openxmlformats.org/officeDocument/2006/relationships/image" Target="media/image251.png"/><Relationship Id="rId25" Type="http://schemas.openxmlformats.org/officeDocument/2006/relationships/image" Target="media/image26.png"/><Relationship Id="rId249" Type="http://schemas.openxmlformats.org/officeDocument/2006/relationships/image" Target="media/image250.png"/><Relationship Id="rId248" Type="http://schemas.openxmlformats.org/officeDocument/2006/relationships/image" Target="media/image249.png"/><Relationship Id="rId247" Type="http://schemas.openxmlformats.org/officeDocument/2006/relationships/image" Target="media/image248.png"/><Relationship Id="rId246" Type="http://schemas.openxmlformats.org/officeDocument/2006/relationships/image" Target="media/image247.png"/><Relationship Id="rId245" Type="http://schemas.openxmlformats.org/officeDocument/2006/relationships/image" Target="media/image246.png"/><Relationship Id="rId244" Type="http://schemas.openxmlformats.org/officeDocument/2006/relationships/image" Target="media/image245.png"/><Relationship Id="rId243" Type="http://schemas.openxmlformats.org/officeDocument/2006/relationships/image" Target="media/image244.png"/><Relationship Id="rId242" Type="http://schemas.openxmlformats.org/officeDocument/2006/relationships/image" Target="media/image243.png"/><Relationship Id="rId241" Type="http://schemas.openxmlformats.org/officeDocument/2006/relationships/image" Target="media/image242.png"/><Relationship Id="rId240" Type="http://schemas.openxmlformats.org/officeDocument/2006/relationships/image" Target="media/image241.png"/><Relationship Id="rId24" Type="http://schemas.openxmlformats.org/officeDocument/2006/relationships/image" Target="media/image25.png"/><Relationship Id="rId239" Type="http://schemas.openxmlformats.org/officeDocument/2006/relationships/image" Target="media/image240.png"/><Relationship Id="rId238" Type="http://schemas.openxmlformats.org/officeDocument/2006/relationships/image" Target="media/image239.png"/><Relationship Id="rId237" Type="http://schemas.openxmlformats.org/officeDocument/2006/relationships/image" Target="media/image238.png"/><Relationship Id="rId236" Type="http://schemas.openxmlformats.org/officeDocument/2006/relationships/image" Target="media/image237.png"/><Relationship Id="rId235" Type="http://schemas.openxmlformats.org/officeDocument/2006/relationships/image" Target="media/image236.png"/><Relationship Id="rId234" Type="http://schemas.openxmlformats.org/officeDocument/2006/relationships/image" Target="media/image235.png"/><Relationship Id="rId233" Type="http://schemas.openxmlformats.org/officeDocument/2006/relationships/image" Target="media/image234.png"/><Relationship Id="rId232" Type="http://schemas.openxmlformats.org/officeDocument/2006/relationships/image" Target="media/image233.png"/><Relationship Id="rId231" Type="http://schemas.openxmlformats.org/officeDocument/2006/relationships/image" Target="media/image232.png"/><Relationship Id="rId230" Type="http://schemas.openxmlformats.org/officeDocument/2006/relationships/image" Target="media/image231.png"/><Relationship Id="rId23" Type="http://schemas.openxmlformats.org/officeDocument/2006/relationships/image" Target="media/image24.png"/><Relationship Id="rId229" Type="http://schemas.openxmlformats.org/officeDocument/2006/relationships/image" Target="media/image230.png"/><Relationship Id="rId228" Type="http://schemas.openxmlformats.org/officeDocument/2006/relationships/image" Target="media/image229.png"/><Relationship Id="rId227" Type="http://schemas.openxmlformats.org/officeDocument/2006/relationships/image" Target="media/image228.png"/><Relationship Id="rId226" Type="http://schemas.openxmlformats.org/officeDocument/2006/relationships/image" Target="media/image227.png"/><Relationship Id="rId225" Type="http://schemas.openxmlformats.org/officeDocument/2006/relationships/image" Target="media/image226.png"/><Relationship Id="rId224" Type="http://schemas.openxmlformats.org/officeDocument/2006/relationships/image" Target="media/image225.png"/><Relationship Id="rId223" Type="http://schemas.openxmlformats.org/officeDocument/2006/relationships/image" Target="media/image224.png"/><Relationship Id="rId222" Type="http://schemas.openxmlformats.org/officeDocument/2006/relationships/image" Target="media/image223.png"/><Relationship Id="rId221" Type="http://schemas.openxmlformats.org/officeDocument/2006/relationships/image" Target="media/image222.png"/><Relationship Id="rId220" Type="http://schemas.openxmlformats.org/officeDocument/2006/relationships/image" Target="media/image221.png"/><Relationship Id="rId22" Type="http://schemas.openxmlformats.org/officeDocument/2006/relationships/image" Target="media/image23.png"/><Relationship Id="rId219" Type="http://schemas.openxmlformats.org/officeDocument/2006/relationships/image" Target="media/image220.png"/><Relationship Id="rId218" Type="http://schemas.openxmlformats.org/officeDocument/2006/relationships/image" Target="media/image219.png"/><Relationship Id="rId217" Type="http://schemas.openxmlformats.org/officeDocument/2006/relationships/image" Target="media/image218.png"/><Relationship Id="rId216" Type="http://schemas.openxmlformats.org/officeDocument/2006/relationships/image" Target="media/image217.png"/><Relationship Id="rId215" Type="http://schemas.openxmlformats.org/officeDocument/2006/relationships/image" Target="media/image216.png"/><Relationship Id="rId214" Type="http://schemas.openxmlformats.org/officeDocument/2006/relationships/image" Target="media/image215.png"/><Relationship Id="rId213" Type="http://schemas.openxmlformats.org/officeDocument/2006/relationships/image" Target="media/image214.png"/><Relationship Id="rId212" Type="http://schemas.openxmlformats.org/officeDocument/2006/relationships/image" Target="media/image213.png"/><Relationship Id="rId211" Type="http://schemas.openxmlformats.org/officeDocument/2006/relationships/image" Target="media/image212.png"/><Relationship Id="rId210" Type="http://schemas.openxmlformats.org/officeDocument/2006/relationships/image" Target="media/image211.png"/><Relationship Id="rId21" Type="http://schemas.openxmlformats.org/officeDocument/2006/relationships/image" Target="media/image22.png"/><Relationship Id="rId209" Type="http://schemas.openxmlformats.org/officeDocument/2006/relationships/image" Target="media/image210.png"/><Relationship Id="rId208" Type="http://schemas.openxmlformats.org/officeDocument/2006/relationships/image" Target="media/image209.png"/><Relationship Id="rId207" Type="http://schemas.openxmlformats.org/officeDocument/2006/relationships/image" Target="media/image208.png"/><Relationship Id="rId206" Type="http://schemas.openxmlformats.org/officeDocument/2006/relationships/image" Target="media/image207.png"/><Relationship Id="rId205" Type="http://schemas.openxmlformats.org/officeDocument/2006/relationships/image" Target="media/image206.png"/><Relationship Id="rId204" Type="http://schemas.openxmlformats.org/officeDocument/2006/relationships/image" Target="media/image205.png"/><Relationship Id="rId203" Type="http://schemas.openxmlformats.org/officeDocument/2006/relationships/image" Target="media/image204.png"/><Relationship Id="rId202" Type="http://schemas.openxmlformats.org/officeDocument/2006/relationships/image" Target="media/image203.png"/><Relationship Id="rId201" Type="http://schemas.openxmlformats.org/officeDocument/2006/relationships/image" Target="media/image202.png"/><Relationship Id="rId200" Type="http://schemas.openxmlformats.org/officeDocument/2006/relationships/image" Target="media/image201.png"/><Relationship Id="rId20" Type="http://schemas.openxmlformats.org/officeDocument/2006/relationships/image" Target="media/image21.png"/><Relationship Id="rId2" Type="http://schemas.openxmlformats.org/officeDocument/2006/relationships/image" Target="media/image3.png"/><Relationship Id="rId199" Type="http://schemas.openxmlformats.org/officeDocument/2006/relationships/image" Target="media/image200.png"/><Relationship Id="rId198" Type="http://schemas.openxmlformats.org/officeDocument/2006/relationships/image" Target="media/image199.png"/><Relationship Id="rId197" Type="http://schemas.openxmlformats.org/officeDocument/2006/relationships/image" Target="media/image198.png"/><Relationship Id="rId196" Type="http://schemas.openxmlformats.org/officeDocument/2006/relationships/image" Target="media/image197.png"/><Relationship Id="rId195" Type="http://schemas.openxmlformats.org/officeDocument/2006/relationships/image" Target="media/image196.png"/><Relationship Id="rId194" Type="http://schemas.openxmlformats.org/officeDocument/2006/relationships/image" Target="media/image195.png"/><Relationship Id="rId193" Type="http://schemas.openxmlformats.org/officeDocument/2006/relationships/image" Target="media/image194.png"/><Relationship Id="rId192" Type="http://schemas.openxmlformats.org/officeDocument/2006/relationships/image" Target="media/image193.png"/><Relationship Id="rId191" Type="http://schemas.openxmlformats.org/officeDocument/2006/relationships/image" Target="media/image192.png"/><Relationship Id="rId190" Type="http://schemas.openxmlformats.org/officeDocument/2006/relationships/image" Target="media/image191.png"/><Relationship Id="rId19" Type="http://schemas.openxmlformats.org/officeDocument/2006/relationships/image" Target="media/image20.png"/><Relationship Id="rId189" Type="http://schemas.openxmlformats.org/officeDocument/2006/relationships/image" Target="media/image190.png"/><Relationship Id="rId188" Type="http://schemas.openxmlformats.org/officeDocument/2006/relationships/image" Target="media/image189.png"/><Relationship Id="rId187" Type="http://schemas.openxmlformats.org/officeDocument/2006/relationships/image" Target="media/image188.png"/><Relationship Id="rId186" Type="http://schemas.openxmlformats.org/officeDocument/2006/relationships/image" Target="media/image187.png"/><Relationship Id="rId185" Type="http://schemas.openxmlformats.org/officeDocument/2006/relationships/image" Target="media/image186.png"/><Relationship Id="rId184" Type="http://schemas.openxmlformats.org/officeDocument/2006/relationships/image" Target="media/image185.png"/><Relationship Id="rId183" Type="http://schemas.openxmlformats.org/officeDocument/2006/relationships/image" Target="media/image184.png"/><Relationship Id="rId182" Type="http://schemas.openxmlformats.org/officeDocument/2006/relationships/image" Target="media/image183.png"/><Relationship Id="rId181" Type="http://schemas.openxmlformats.org/officeDocument/2006/relationships/image" Target="media/image182.png"/><Relationship Id="rId180" Type="http://schemas.openxmlformats.org/officeDocument/2006/relationships/image" Target="media/image181.png"/><Relationship Id="rId18" Type="http://schemas.openxmlformats.org/officeDocument/2006/relationships/image" Target="media/image19.png"/><Relationship Id="rId179" Type="http://schemas.openxmlformats.org/officeDocument/2006/relationships/image" Target="media/image180.png"/><Relationship Id="rId178" Type="http://schemas.openxmlformats.org/officeDocument/2006/relationships/image" Target="media/image179.png"/><Relationship Id="rId177" Type="http://schemas.openxmlformats.org/officeDocument/2006/relationships/image" Target="media/image178.png"/><Relationship Id="rId176" Type="http://schemas.openxmlformats.org/officeDocument/2006/relationships/image" Target="media/image177.png"/><Relationship Id="rId175" Type="http://schemas.openxmlformats.org/officeDocument/2006/relationships/image" Target="media/image176.png"/><Relationship Id="rId174" Type="http://schemas.openxmlformats.org/officeDocument/2006/relationships/image" Target="media/image175.png"/><Relationship Id="rId173" Type="http://schemas.openxmlformats.org/officeDocument/2006/relationships/image" Target="media/image174.png"/><Relationship Id="rId172" Type="http://schemas.openxmlformats.org/officeDocument/2006/relationships/image" Target="media/image173.png"/><Relationship Id="rId171" Type="http://schemas.openxmlformats.org/officeDocument/2006/relationships/image" Target="media/image172.png"/><Relationship Id="rId170" Type="http://schemas.openxmlformats.org/officeDocument/2006/relationships/image" Target="media/image171.png"/><Relationship Id="rId17" Type="http://schemas.openxmlformats.org/officeDocument/2006/relationships/image" Target="media/image18.png"/><Relationship Id="rId169" Type="http://schemas.openxmlformats.org/officeDocument/2006/relationships/image" Target="media/image170.png"/><Relationship Id="rId168" Type="http://schemas.openxmlformats.org/officeDocument/2006/relationships/image" Target="media/image169.png"/><Relationship Id="rId167" Type="http://schemas.openxmlformats.org/officeDocument/2006/relationships/image" Target="media/image168.png"/><Relationship Id="rId166" Type="http://schemas.openxmlformats.org/officeDocument/2006/relationships/image" Target="media/image167.png"/><Relationship Id="rId165" Type="http://schemas.openxmlformats.org/officeDocument/2006/relationships/image" Target="media/image166.png"/><Relationship Id="rId164" Type="http://schemas.openxmlformats.org/officeDocument/2006/relationships/image" Target="media/image165.png"/><Relationship Id="rId163" Type="http://schemas.openxmlformats.org/officeDocument/2006/relationships/image" Target="media/image164.png"/><Relationship Id="rId162" Type="http://schemas.openxmlformats.org/officeDocument/2006/relationships/image" Target="media/image163.png"/><Relationship Id="rId161" Type="http://schemas.openxmlformats.org/officeDocument/2006/relationships/image" Target="media/image162.png"/><Relationship Id="rId160" Type="http://schemas.openxmlformats.org/officeDocument/2006/relationships/image" Target="media/image161.png"/><Relationship Id="rId16" Type="http://schemas.openxmlformats.org/officeDocument/2006/relationships/image" Target="media/image17.png"/><Relationship Id="rId159" Type="http://schemas.openxmlformats.org/officeDocument/2006/relationships/image" Target="media/image160.png"/><Relationship Id="rId158" Type="http://schemas.openxmlformats.org/officeDocument/2006/relationships/image" Target="media/image159.png"/><Relationship Id="rId157" Type="http://schemas.openxmlformats.org/officeDocument/2006/relationships/image" Target="media/image158.png"/><Relationship Id="rId156" Type="http://schemas.openxmlformats.org/officeDocument/2006/relationships/image" Target="media/image157.png"/><Relationship Id="rId155" Type="http://schemas.openxmlformats.org/officeDocument/2006/relationships/image" Target="media/image156.png"/><Relationship Id="rId154" Type="http://schemas.openxmlformats.org/officeDocument/2006/relationships/image" Target="media/image155.png"/><Relationship Id="rId153" Type="http://schemas.openxmlformats.org/officeDocument/2006/relationships/image" Target="media/image154.png"/><Relationship Id="rId152" Type="http://schemas.openxmlformats.org/officeDocument/2006/relationships/image" Target="media/image153.png"/><Relationship Id="rId151" Type="http://schemas.openxmlformats.org/officeDocument/2006/relationships/image" Target="media/image152.png"/><Relationship Id="rId150" Type="http://schemas.openxmlformats.org/officeDocument/2006/relationships/image" Target="media/image151.png"/><Relationship Id="rId15" Type="http://schemas.openxmlformats.org/officeDocument/2006/relationships/image" Target="media/image16.png"/><Relationship Id="rId149" Type="http://schemas.openxmlformats.org/officeDocument/2006/relationships/image" Target="media/image150.png"/><Relationship Id="rId148" Type="http://schemas.openxmlformats.org/officeDocument/2006/relationships/image" Target="media/image149.png"/><Relationship Id="rId147" Type="http://schemas.openxmlformats.org/officeDocument/2006/relationships/image" Target="media/image148.png"/><Relationship Id="rId146" Type="http://schemas.openxmlformats.org/officeDocument/2006/relationships/image" Target="media/image147.png"/><Relationship Id="rId145" Type="http://schemas.openxmlformats.org/officeDocument/2006/relationships/image" Target="media/image146.png"/><Relationship Id="rId144" Type="http://schemas.openxmlformats.org/officeDocument/2006/relationships/image" Target="media/image145.png"/><Relationship Id="rId143" Type="http://schemas.openxmlformats.org/officeDocument/2006/relationships/image" Target="media/image144.png"/><Relationship Id="rId142" Type="http://schemas.openxmlformats.org/officeDocument/2006/relationships/image" Target="media/image143.png"/><Relationship Id="rId141" Type="http://schemas.openxmlformats.org/officeDocument/2006/relationships/image" Target="media/image142.png"/><Relationship Id="rId140" Type="http://schemas.openxmlformats.org/officeDocument/2006/relationships/image" Target="media/image141.png"/><Relationship Id="rId14" Type="http://schemas.openxmlformats.org/officeDocument/2006/relationships/image" Target="media/image15.png"/><Relationship Id="rId139" Type="http://schemas.openxmlformats.org/officeDocument/2006/relationships/image" Target="media/image140.png"/><Relationship Id="rId138" Type="http://schemas.openxmlformats.org/officeDocument/2006/relationships/image" Target="media/image139.png"/><Relationship Id="rId137" Type="http://schemas.openxmlformats.org/officeDocument/2006/relationships/image" Target="media/image138.png"/><Relationship Id="rId136" Type="http://schemas.openxmlformats.org/officeDocument/2006/relationships/image" Target="media/image137.png"/><Relationship Id="rId135" Type="http://schemas.openxmlformats.org/officeDocument/2006/relationships/image" Target="media/image136.png"/><Relationship Id="rId134" Type="http://schemas.openxmlformats.org/officeDocument/2006/relationships/image" Target="media/image135.png"/><Relationship Id="rId133" Type="http://schemas.openxmlformats.org/officeDocument/2006/relationships/image" Target="media/image134.png"/><Relationship Id="rId132" Type="http://schemas.openxmlformats.org/officeDocument/2006/relationships/image" Target="media/image133.png"/><Relationship Id="rId131" Type="http://schemas.openxmlformats.org/officeDocument/2006/relationships/image" Target="media/image132.png"/><Relationship Id="rId130" Type="http://schemas.openxmlformats.org/officeDocument/2006/relationships/image" Target="media/image131.png"/><Relationship Id="rId13" Type="http://schemas.openxmlformats.org/officeDocument/2006/relationships/image" Target="media/image14.png"/><Relationship Id="rId129" Type="http://schemas.openxmlformats.org/officeDocument/2006/relationships/image" Target="media/image130.png"/><Relationship Id="rId128" Type="http://schemas.openxmlformats.org/officeDocument/2006/relationships/image" Target="media/image129.png"/><Relationship Id="rId127" Type="http://schemas.openxmlformats.org/officeDocument/2006/relationships/image" Target="media/image128.png"/><Relationship Id="rId126" Type="http://schemas.openxmlformats.org/officeDocument/2006/relationships/image" Target="media/image127.png"/><Relationship Id="rId125" Type="http://schemas.openxmlformats.org/officeDocument/2006/relationships/image" Target="media/image126.png"/><Relationship Id="rId124" Type="http://schemas.openxmlformats.org/officeDocument/2006/relationships/image" Target="media/image125.png"/><Relationship Id="rId123" Type="http://schemas.openxmlformats.org/officeDocument/2006/relationships/image" Target="media/image124.png"/><Relationship Id="rId122" Type="http://schemas.openxmlformats.org/officeDocument/2006/relationships/image" Target="media/image123.png"/><Relationship Id="rId121" Type="http://schemas.openxmlformats.org/officeDocument/2006/relationships/image" Target="media/image122.png"/><Relationship Id="rId120" Type="http://schemas.openxmlformats.org/officeDocument/2006/relationships/image" Target="media/image121.png"/><Relationship Id="rId12" Type="http://schemas.openxmlformats.org/officeDocument/2006/relationships/image" Target="media/image13.png"/><Relationship Id="rId119" Type="http://schemas.openxmlformats.org/officeDocument/2006/relationships/image" Target="media/image120.png"/><Relationship Id="rId118" Type="http://schemas.openxmlformats.org/officeDocument/2006/relationships/image" Target="media/image119.png"/><Relationship Id="rId117" Type="http://schemas.openxmlformats.org/officeDocument/2006/relationships/image" Target="media/image118.png"/><Relationship Id="rId116" Type="http://schemas.openxmlformats.org/officeDocument/2006/relationships/image" Target="media/image117.png"/><Relationship Id="rId115" Type="http://schemas.openxmlformats.org/officeDocument/2006/relationships/image" Target="media/image116.png"/><Relationship Id="rId114" Type="http://schemas.openxmlformats.org/officeDocument/2006/relationships/image" Target="media/image115.png"/><Relationship Id="rId113" Type="http://schemas.openxmlformats.org/officeDocument/2006/relationships/image" Target="media/image114.png"/><Relationship Id="rId112" Type="http://schemas.openxmlformats.org/officeDocument/2006/relationships/image" Target="media/image113.png"/><Relationship Id="rId111" Type="http://schemas.openxmlformats.org/officeDocument/2006/relationships/image" Target="media/image112.png"/><Relationship Id="rId110" Type="http://schemas.openxmlformats.org/officeDocument/2006/relationships/image" Target="media/image111.png"/><Relationship Id="rId11" Type="http://schemas.openxmlformats.org/officeDocument/2006/relationships/image" Target="media/image12.png"/><Relationship Id="rId109" Type="http://schemas.openxmlformats.org/officeDocument/2006/relationships/image" Target="media/image110.png"/><Relationship Id="rId108" Type="http://schemas.openxmlformats.org/officeDocument/2006/relationships/image" Target="media/image109.png"/><Relationship Id="rId107" Type="http://schemas.openxmlformats.org/officeDocument/2006/relationships/image" Target="media/image108.png"/><Relationship Id="rId106" Type="http://schemas.openxmlformats.org/officeDocument/2006/relationships/image" Target="media/image107.png"/><Relationship Id="rId105" Type="http://schemas.openxmlformats.org/officeDocument/2006/relationships/image" Target="media/image106.png"/><Relationship Id="rId104" Type="http://schemas.openxmlformats.org/officeDocument/2006/relationships/image" Target="media/image105.png"/><Relationship Id="rId103" Type="http://schemas.openxmlformats.org/officeDocument/2006/relationships/image" Target="media/image104.png"/><Relationship Id="rId102" Type="http://schemas.openxmlformats.org/officeDocument/2006/relationships/image" Target="media/image103.png"/><Relationship Id="rId101" Type="http://schemas.openxmlformats.org/officeDocument/2006/relationships/image" Target="media/image102.png"/><Relationship Id="rId100" Type="http://schemas.openxmlformats.org/officeDocument/2006/relationships/image" Target="media/image101.png"/><Relationship Id="rId10" Type="http://schemas.openxmlformats.org/officeDocument/2006/relationships/image" Target="media/image11.png"/><Relationship Id="rId1" Type="http://schemas.openxmlformats.org/officeDocument/2006/relationships/image" Target="media/image2.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0/cellImage" Target="cellimag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image" Target="../media/image1.png"/></Relationships>
</file>

<file path=xl/worksheets/_rels/sheet1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2.xml.rels><?xml version="1.0" encoding="UTF-8" standalone="yes"?>
<Relationships xmlns="http://schemas.openxmlformats.org/package/2006/relationships"><Relationship Id="rId1" Type="http://schemas.openxmlformats.org/officeDocument/2006/relationships/image" Target="../media/image1.png"/></Relationships>
</file>

<file path=xl/worksheets/_rels/sheet13.xml.rels><?xml version="1.0" encoding="UTF-8" standalone="yes"?>
<Relationships xmlns="http://schemas.openxmlformats.org/package/2006/relationships"><Relationship Id="rId1" Type="http://schemas.openxmlformats.org/officeDocument/2006/relationships/image" Target="../media/image1.png"/></Relationships>
</file>

<file path=xl/worksheets/_rels/sheet14.xml.rels><?xml version="1.0" encoding="UTF-8" standalone="yes"?>
<Relationships xmlns="http://schemas.openxmlformats.org/package/2006/relationships"><Relationship Id="rId1" Type="http://schemas.openxmlformats.org/officeDocument/2006/relationships/image" Target="../media/image1.png"/></Relationships>
</file>

<file path=xl/worksheets/_rels/sheet15.xml.rels><?xml version="1.0" encoding="UTF-8" standalone="yes"?>
<Relationships xmlns="http://schemas.openxmlformats.org/package/2006/relationships"><Relationship Id="rId1" Type="http://schemas.openxmlformats.org/officeDocument/2006/relationships/image" Target="../media/image1.png"/></Relationships>
</file>

<file path=xl/worksheets/_rels/sheet16.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image" Target="../media/image1.png"/></Relationships>
</file>

<file path=xl/worksheets/_rels/sheet3.xml.rels><?xml version="1.0" encoding="UTF-8" standalone="yes"?>
<Relationships xmlns="http://schemas.openxmlformats.org/package/2006/relationships"><Relationship Id="rId1" Type="http://schemas.openxmlformats.org/officeDocument/2006/relationships/image" Target="../media/image1.png"/></Relationships>
</file>

<file path=xl/worksheets/_rels/sheet4.xml.rels><?xml version="1.0" encoding="UTF-8" standalone="yes"?>
<Relationships xmlns="http://schemas.openxmlformats.org/package/2006/relationships"><Relationship Id="rId1" Type="http://schemas.openxmlformats.org/officeDocument/2006/relationships/image" Target="../media/image1.png"/></Relationships>
</file>

<file path=xl/worksheets/_rels/sheet5.xml.rels><?xml version="1.0" encoding="UTF-8" standalone="yes"?>
<Relationships xmlns="http://schemas.openxmlformats.org/package/2006/relationships"><Relationship Id="rId1" Type="http://schemas.openxmlformats.org/officeDocument/2006/relationships/image" Target="../media/image1.png"/></Relationships>
</file>

<file path=xl/worksheets/_rels/sheet6.xml.rels><?xml version="1.0" encoding="UTF-8" standalone="yes"?>
<Relationships xmlns="http://schemas.openxmlformats.org/package/2006/relationships"><Relationship Id="rId1" Type="http://schemas.openxmlformats.org/officeDocument/2006/relationships/image" Target="../media/image1.png"/></Relationships>
</file>

<file path=xl/worksheets/_rels/sheet7.xml.rels><?xml version="1.0" encoding="UTF-8" standalone="yes"?>
<Relationships xmlns="http://schemas.openxmlformats.org/package/2006/relationships"><Relationship Id="rId1" Type="http://schemas.openxmlformats.org/officeDocument/2006/relationships/image" Target="../media/image1.png"/></Relationships>
</file>

<file path=xl/worksheets/_rels/sheet8.xml.rels><?xml version="1.0" encoding="UTF-8" standalone="yes"?>
<Relationships xmlns="http://schemas.openxmlformats.org/package/2006/relationships"><Relationship Id="rId1" Type="http://schemas.openxmlformats.org/officeDocument/2006/relationships/image" Target="../media/image1.png"/></Relationships>
</file>

<file path=xl/worksheets/_rels/sheet9.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4"/>
  <sheetViews>
    <sheetView topLeftCell="A13" workbookViewId="0">
      <selection activeCell="L26" sqref="L26:X33"/>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4" width="9" style="1"/>
  </cols>
  <sheetData>
    <row r="1" ht="85" customHeight="1" spans="1:24">
      <c r="A1" s="2">
        <v>0</v>
      </c>
      <c r="B1" s="2"/>
      <c r="C1" s="2"/>
      <c r="D1" s="3" t="s">
        <v>0</v>
      </c>
      <c r="E1" s="2"/>
      <c r="F1" s="2"/>
      <c r="G1" s="2"/>
      <c r="H1" s="2"/>
      <c r="I1" s="2"/>
      <c r="J1" s="2"/>
      <c r="K1" s="2"/>
      <c r="L1" s="2"/>
      <c r="M1" s="2"/>
      <c r="N1" s="2"/>
      <c r="O1" s="2"/>
      <c r="P1" s="2"/>
      <c r="Q1" s="2"/>
      <c r="R1" s="2"/>
      <c r="S1" s="2"/>
      <c r="T1" s="2"/>
      <c r="U1" s="2">
        <v>0</v>
      </c>
      <c r="V1" s="2"/>
      <c r="W1" s="2"/>
      <c r="X1" s="2"/>
    </row>
    <row r="2" ht="21" customHeight="1" spans="1:24">
      <c r="A2" s="5"/>
      <c r="B2" s="6" t="s">
        <v>1</v>
      </c>
      <c r="C2" s="7"/>
      <c r="D2" s="8"/>
      <c r="E2" s="9"/>
      <c r="F2" s="6" t="s">
        <v>2</v>
      </c>
      <c r="G2" s="7"/>
      <c r="H2" s="8"/>
      <c r="I2" s="1620"/>
      <c r="J2" s="6" t="s">
        <v>3</v>
      </c>
      <c r="K2" s="7"/>
      <c r="L2" s="7"/>
      <c r="M2" s="7"/>
      <c r="N2" s="7"/>
      <c r="O2" s="7"/>
      <c r="P2" s="7"/>
      <c r="Q2" s="7"/>
      <c r="R2" s="7"/>
      <c r="S2" s="7"/>
      <c r="T2" s="7"/>
      <c r="U2" s="7"/>
      <c r="V2" s="8"/>
      <c r="W2" s="1652"/>
      <c r="X2" s="1652"/>
    </row>
    <row r="3" ht="21" customHeight="1" spans="1:24">
      <c r="A3" s="12"/>
      <c r="B3" s="13"/>
      <c r="C3" s="13"/>
      <c r="D3" s="13"/>
      <c r="E3" s="13"/>
      <c r="F3" s="13"/>
      <c r="G3" s="13"/>
      <c r="H3" s="13"/>
      <c r="I3" s="13"/>
      <c r="J3" s="13"/>
      <c r="K3" s="13"/>
      <c r="L3" s="13"/>
      <c r="M3" s="13"/>
      <c r="N3" s="13"/>
      <c r="O3" s="13"/>
      <c r="P3" s="13"/>
      <c r="Q3" s="13"/>
      <c r="R3" s="13"/>
      <c r="S3" s="13"/>
      <c r="T3" s="13"/>
      <c r="U3" s="13"/>
      <c r="V3" s="13"/>
      <c r="W3" s="13"/>
      <c r="X3" s="232"/>
    </row>
    <row r="4" ht="21" spans="1:24">
      <c r="A4" s="59" t="s">
        <v>4</v>
      </c>
      <c r="B4" s="60"/>
      <c r="C4" s="61">
        <v>0</v>
      </c>
      <c r="D4" s="62">
        <v>1</v>
      </c>
      <c r="E4" s="62">
        <v>2</v>
      </c>
      <c r="F4" s="63">
        <v>3</v>
      </c>
      <c r="G4" s="62">
        <v>4</v>
      </c>
      <c r="H4" s="64">
        <v>5</v>
      </c>
      <c r="I4" s="62">
        <v>6</v>
      </c>
      <c r="J4" s="174">
        <v>7</v>
      </c>
      <c r="K4" s="175">
        <v>8</v>
      </c>
      <c r="L4" s="1621"/>
      <c r="M4" s="1622"/>
      <c r="N4" s="1622"/>
      <c r="O4" s="1622"/>
      <c r="P4" s="1622"/>
      <c r="Q4" s="1622"/>
      <c r="R4" s="1622"/>
      <c r="S4" s="1622"/>
      <c r="T4" s="1622"/>
      <c r="U4" s="1622"/>
      <c r="V4" s="1622"/>
      <c r="W4" s="1622"/>
      <c r="X4" s="1653"/>
    </row>
    <row r="5" ht="21" spans="1:24">
      <c r="A5" s="25" t="s">
        <v>5</v>
      </c>
      <c r="B5" s="25"/>
      <c r="C5" s="1582">
        <v>0</v>
      </c>
      <c r="D5" s="1583">
        <v>0.035</v>
      </c>
      <c r="E5" s="1584">
        <v>0.07</v>
      </c>
      <c r="F5" s="1585">
        <v>0.105</v>
      </c>
      <c r="G5" s="1583">
        <v>0.175</v>
      </c>
      <c r="H5" s="1586">
        <v>0.245</v>
      </c>
      <c r="I5" s="1584">
        <v>0.35</v>
      </c>
      <c r="J5" s="1623">
        <v>0.455</v>
      </c>
      <c r="K5" s="1624">
        <v>0.7</v>
      </c>
      <c r="L5" s="279"/>
      <c r="M5" s="280"/>
      <c r="N5" s="280"/>
      <c r="O5" s="280"/>
      <c r="P5" s="280"/>
      <c r="Q5" s="280"/>
      <c r="R5" s="280"/>
      <c r="S5" s="280"/>
      <c r="T5" s="280"/>
      <c r="U5" s="280"/>
      <c r="V5" s="280"/>
      <c r="W5" s="280"/>
      <c r="X5" s="281"/>
    </row>
    <row r="6" ht="21" spans="1:24">
      <c r="A6" s="65" t="s">
        <v>6</v>
      </c>
      <c r="B6" s="65"/>
      <c r="C6" s="1587">
        <v>0</v>
      </c>
      <c r="D6" s="1588">
        <v>0.015</v>
      </c>
      <c r="E6" s="1589">
        <v>0.03</v>
      </c>
      <c r="F6" s="1590">
        <v>0.045</v>
      </c>
      <c r="G6" s="1588">
        <v>0.075</v>
      </c>
      <c r="H6" s="1591">
        <v>0.105</v>
      </c>
      <c r="I6" s="1589">
        <v>0.15</v>
      </c>
      <c r="J6" s="1625">
        <v>0.195</v>
      </c>
      <c r="K6" s="1626">
        <v>0.3</v>
      </c>
      <c r="L6" s="550"/>
      <c r="M6" s="657"/>
      <c r="N6" s="657"/>
      <c r="O6" s="657"/>
      <c r="P6" s="657"/>
      <c r="Q6" s="657"/>
      <c r="R6" s="657"/>
      <c r="S6" s="657"/>
      <c r="T6" s="657"/>
      <c r="U6" s="657"/>
      <c r="V6" s="657"/>
      <c r="W6" s="657"/>
      <c r="X6" s="678"/>
    </row>
    <row r="7" ht="21" customHeight="1" spans="1:24">
      <c r="A7" s="12"/>
      <c r="B7" s="13"/>
      <c r="C7" s="13"/>
      <c r="D7" s="13"/>
      <c r="E7" s="13"/>
      <c r="F7" s="13"/>
      <c r="G7" s="13"/>
      <c r="H7" s="13"/>
      <c r="I7" s="13"/>
      <c r="J7" s="13"/>
      <c r="K7" s="13"/>
      <c r="L7" s="13"/>
      <c r="M7" s="13"/>
      <c r="N7" s="13"/>
      <c r="O7" s="13"/>
      <c r="P7" s="13"/>
      <c r="Q7" s="13"/>
      <c r="R7" s="13"/>
      <c r="S7" s="13"/>
      <c r="T7" s="13"/>
      <c r="U7" s="13"/>
      <c r="V7" s="13"/>
      <c r="W7" s="13"/>
      <c r="X7" s="232"/>
    </row>
    <row r="8" ht="42" customHeight="1" spans="1:24">
      <c r="A8" s="134"/>
      <c r="B8" s="233"/>
      <c r="C8" s="233"/>
      <c r="D8" s="233"/>
      <c r="E8" s="233"/>
      <c r="F8" s="234"/>
      <c r="G8" s="71" t="s">
        <v>7</v>
      </c>
      <c r="H8" s="72"/>
      <c r="I8" s="72"/>
      <c r="J8" s="72"/>
      <c r="K8" s="72"/>
      <c r="L8" s="72"/>
      <c r="M8" s="72"/>
      <c r="N8" s="72"/>
      <c r="O8" s="180"/>
      <c r="P8" s="134"/>
      <c r="Q8" s="233"/>
      <c r="R8" s="233"/>
      <c r="S8" s="233"/>
      <c r="T8" s="233"/>
      <c r="U8" s="233"/>
      <c r="V8" s="233"/>
      <c r="W8" s="233"/>
      <c r="X8" s="234"/>
    </row>
    <row r="9" ht="21" customHeight="1" spans="1:24">
      <c r="A9" s="714"/>
      <c r="B9" s="715"/>
      <c r="C9" s="715"/>
      <c r="D9" s="715"/>
      <c r="E9" s="715"/>
      <c r="F9" s="715"/>
      <c r="G9" s="715"/>
      <c r="H9" s="715"/>
      <c r="I9" s="715"/>
      <c r="J9" s="715"/>
      <c r="K9" s="715"/>
      <c r="L9" s="715"/>
      <c r="M9" s="715"/>
      <c r="N9" s="715"/>
      <c r="O9" s="715"/>
      <c r="P9" s="715"/>
      <c r="Q9" s="715"/>
      <c r="R9" s="715"/>
      <c r="S9" s="715"/>
      <c r="T9" s="715"/>
      <c r="U9" s="715"/>
      <c r="V9" s="715"/>
      <c r="W9" s="715"/>
      <c r="X9" s="749"/>
    </row>
    <row r="10" ht="21" customHeight="1" spans="1:24">
      <c r="A10" s="21" t="s">
        <v>8</v>
      </c>
      <c r="B10" s="22"/>
      <c r="C10" s="23">
        <v>0</v>
      </c>
      <c r="D10" s="24">
        <v>1</v>
      </c>
      <c r="E10" s="24">
        <v>2</v>
      </c>
      <c r="F10" s="24">
        <v>3</v>
      </c>
      <c r="G10" s="24">
        <v>4</v>
      </c>
      <c r="H10" s="24">
        <v>5</v>
      </c>
      <c r="I10" s="24">
        <v>6</v>
      </c>
      <c r="J10" s="24">
        <v>7</v>
      </c>
      <c r="K10" s="135">
        <v>8</v>
      </c>
      <c r="L10" s="136">
        <v>9</v>
      </c>
      <c r="M10" s="137"/>
      <c r="N10" s="137"/>
      <c r="O10" s="139">
        <v>10</v>
      </c>
      <c r="P10" s="140">
        <v>11</v>
      </c>
      <c r="Q10" s="236">
        <v>12</v>
      </c>
      <c r="R10" s="236"/>
      <c r="S10" s="236"/>
      <c r="T10" s="139">
        <v>13</v>
      </c>
      <c r="U10" s="237">
        <v>14</v>
      </c>
      <c r="V10" s="140">
        <v>15</v>
      </c>
      <c r="W10" s="137">
        <v>16</v>
      </c>
      <c r="X10" s="138"/>
    </row>
    <row r="11" ht="21" customHeight="1" spans="1:24">
      <c r="A11" s="26" t="s">
        <v>9</v>
      </c>
      <c r="B11" s="315"/>
      <c r="C11" s="113">
        <v>17</v>
      </c>
      <c r="D11" s="307">
        <v>20</v>
      </c>
      <c r="E11" s="307">
        <v>23</v>
      </c>
      <c r="F11" s="307">
        <v>26</v>
      </c>
      <c r="G11" s="307">
        <v>29</v>
      </c>
      <c r="H11" s="307">
        <v>32</v>
      </c>
      <c r="I11" s="307">
        <v>35</v>
      </c>
      <c r="J11" s="307">
        <v>41</v>
      </c>
      <c r="K11" s="312">
        <v>51</v>
      </c>
      <c r="L11" s="364"/>
      <c r="M11" s="143">
        <v>63</v>
      </c>
      <c r="N11" s="144"/>
      <c r="O11" s="145">
        <v>87</v>
      </c>
      <c r="P11" s="146">
        <v>111</v>
      </c>
      <c r="Q11" s="144"/>
      <c r="R11" s="238">
        <v>135</v>
      </c>
      <c r="S11" s="144"/>
      <c r="T11" s="145">
        <v>158</v>
      </c>
      <c r="U11" s="239">
        <v>185</v>
      </c>
      <c r="V11" s="146">
        <v>210</v>
      </c>
      <c r="W11" s="240"/>
      <c r="X11" s="241">
        <v>235</v>
      </c>
    </row>
    <row r="12" ht="21" customHeight="1" spans="1:24">
      <c r="A12" s="25" t="s">
        <v>10</v>
      </c>
      <c r="B12" s="25"/>
      <c r="C12" s="34" t="s">
        <v>11</v>
      </c>
      <c r="D12" s="756"/>
      <c r="E12" s="1592">
        <v>0.2</v>
      </c>
      <c r="F12" s="34" t="s">
        <v>12</v>
      </c>
      <c r="G12" s="756"/>
      <c r="H12" s="1593">
        <v>0.15</v>
      </c>
      <c r="I12" s="34" t="s">
        <v>13</v>
      </c>
      <c r="J12" s="756"/>
      <c r="K12" s="1624">
        <v>0</v>
      </c>
      <c r="L12" s="1627" t="s">
        <v>14</v>
      </c>
      <c r="M12" s="1628"/>
      <c r="N12" s="1628"/>
      <c r="O12" s="1629"/>
      <c r="P12" s="1630">
        <v>35</v>
      </c>
      <c r="Q12" s="1654" t="s">
        <v>15</v>
      </c>
      <c r="R12" s="1655"/>
      <c r="S12" s="1655"/>
      <c r="T12" s="1655"/>
      <c r="U12" s="1655"/>
      <c r="V12" s="1655"/>
      <c r="W12" s="1655"/>
      <c r="X12" s="1656"/>
    </row>
    <row r="13" ht="21" customHeight="1" spans="1:24">
      <c r="A13" s="1594" t="s">
        <v>16</v>
      </c>
      <c r="B13" s="1594"/>
      <c r="C13" s="1595">
        <f>INT(((INT(C11*(1+$E$12))*(1+$H$12))*(1+$K$12))+$P$12)</f>
        <v>58</v>
      </c>
      <c r="D13" s="1596">
        <f>INT(((INT(D11*(1+$E$12))*(1+$H$12))*(1+$K$12))+$P$12)</f>
        <v>62</v>
      </c>
      <c r="E13" s="1596">
        <f>INT(((INT(E11*(1+$E$12))*(1+$H$12))*(1+$K$12))+$P$12)</f>
        <v>66</v>
      </c>
      <c r="F13" s="1596">
        <f>INT(((INT(F11*(1+$E$12))*(1+$H$12))*(1+$K$12))+$P$12)</f>
        <v>70</v>
      </c>
      <c r="G13" s="1596">
        <f>INT(((INT(G11*(1+$E$12))*(1+$H$12))*(1+$K$12))+$P$12)</f>
        <v>74</v>
      </c>
      <c r="H13" s="1596">
        <f>INT(((INT(H11*(1+$E$12))*(1+$H$12))*(1+$K$12))+$P$12)</f>
        <v>78</v>
      </c>
      <c r="I13" s="1596">
        <f>INT(((INT(I11*(1+$E$12))*(1+$H$12))*(1+$K$12))+$P$12)</f>
        <v>83</v>
      </c>
      <c r="J13" s="1596">
        <f>INT(((INT(J11*(1+$E$12))*(1+$H$12))*(1+$K$12))+$P$12)</f>
        <v>91</v>
      </c>
      <c r="K13" s="1631">
        <f>INT(((INT(K11*(1+$E$12))*(1+$H$12))*(1+$K$12))+$P$12)</f>
        <v>105</v>
      </c>
      <c r="L13" s="1632"/>
      <c r="M13" s="1633">
        <f>INT(((INT(M11*(1+$E$12))*(1+$H$12))*(1+$K$12))+$P$12)</f>
        <v>121</v>
      </c>
      <c r="N13" s="1634"/>
      <c r="O13" s="1635">
        <f>INT(((INT(O11*(1+$E$12))*(1+$H$12))*(1+$K$12))+$P$12)</f>
        <v>154</v>
      </c>
      <c r="P13" s="1636">
        <f>INT(((INT(P11*(1+$E$12))*(1+$H$12))*(1+$K$12))+$P$12)</f>
        <v>187</v>
      </c>
      <c r="Q13" s="1634"/>
      <c r="R13" s="1657">
        <f>INT(((INT(R11*(1+$E$12))*(1+$H$12))*(1+$K$12))+$P$12)</f>
        <v>221</v>
      </c>
      <c r="S13" s="1634"/>
      <c r="T13" s="1635">
        <f>INT(((INT(T11*(1+$E$12))*(1+$H$12))*(1+$K$12))+$P$12)</f>
        <v>252</v>
      </c>
      <c r="U13" s="1658">
        <f>INT(((INT(U11*(1+$E$12))*(1+$H$12))*(1+$K$12))+$P$12)</f>
        <v>290</v>
      </c>
      <c r="V13" s="1636">
        <f>INT(((INT(V11*(1+$E$12))*(1+$H$12))*(1+$K$12))+$P$12)</f>
        <v>324</v>
      </c>
      <c r="W13" s="1659"/>
      <c r="X13" s="1660">
        <f>INT(((INT(X11*(1+$E$12))*(1+$H$12))*(1+$K$12))+$P$12)</f>
        <v>359</v>
      </c>
    </row>
    <row r="14" ht="21" customHeight="1" spans="1:24">
      <c r="A14" s="12"/>
      <c r="B14" s="13"/>
      <c r="C14" s="13"/>
      <c r="D14" s="13"/>
      <c r="E14" s="13"/>
      <c r="F14" s="13"/>
      <c r="G14" s="13"/>
      <c r="H14" s="13"/>
      <c r="I14" s="13"/>
      <c r="J14" s="13"/>
      <c r="K14" s="13"/>
      <c r="L14" s="13"/>
      <c r="M14" s="13"/>
      <c r="N14" s="13"/>
      <c r="O14" s="13"/>
      <c r="P14" s="13"/>
      <c r="Q14" s="13"/>
      <c r="R14" s="13"/>
      <c r="S14" s="13"/>
      <c r="T14" s="13"/>
      <c r="U14" s="13"/>
      <c r="V14" s="13"/>
      <c r="W14" s="13"/>
      <c r="X14" s="232"/>
    </row>
    <row r="15" ht="44" customHeight="1" spans="1:24">
      <c r="A15" s="134"/>
      <c r="B15" s="233"/>
      <c r="C15" s="233"/>
      <c r="D15" s="233"/>
      <c r="E15" s="233"/>
      <c r="F15" s="234"/>
      <c r="G15" s="435" t="s">
        <v>17</v>
      </c>
      <c r="H15" s="436"/>
      <c r="I15" s="436"/>
      <c r="J15" s="436"/>
      <c r="K15" s="436"/>
      <c r="L15" s="436"/>
      <c r="M15" s="436"/>
      <c r="N15" s="436"/>
      <c r="O15" s="442"/>
      <c r="P15" s="134"/>
      <c r="Q15" s="233"/>
      <c r="R15" s="233"/>
      <c r="S15" s="233"/>
      <c r="T15" s="233"/>
      <c r="U15" s="233"/>
      <c r="V15" s="233"/>
      <c r="W15" s="233"/>
      <c r="X15" s="234"/>
    </row>
    <row r="16" ht="21" customHeight="1" spans="1:24">
      <c r="A16" s="714"/>
      <c r="B16" s="715"/>
      <c r="C16" s="715"/>
      <c r="D16" s="715"/>
      <c r="E16" s="715"/>
      <c r="F16" s="715"/>
      <c r="G16" s="715"/>
      <c r="H16" s="715"/>
      <c r="I16" s="715"/>
      <c r="J16" s="715"/>
      <c r="K16" s="715"/>
      <c r="L16" s="715"/>
      <c r="M16" s="715"/>
      <c r="N16" s="715"/>
      <c r="O16" s="715"/>
      <c r="P16" s="715"/>
      <c r="Q16" s="715"/>
      <c r="R16" s="715"/>
      <c r="S16" s="715"/>
      <c r="T16" s="715"/>
      <c r="U16" s="715"/>
      <c r="V16" s="715"/>
      <c r="W16" s="715"/>
      <c r="X16" s="749"/>
    </row>
    <row r="17" ht="21" customHeight="1" spans="1:24">
      <c r="A17" s="59" t="s">
        <v>18</v>
      </c>
      <c r="B17" s="60"/>
      <c r="C17" s="61">
        <v>0</v>
      </c>
      <c r="D17" s="62">
        <v>1</v>
      </c>
      <c r="E17" s="62">
        <v>2</v>
      </c>
      <c r="F17" s="63">
        <v>3</v>
      </c>
      <c r="G17" s="62">
        <v>4</v>
      </c>
      <c r="H17" s="64">
        <v>5</v>
      </c>
      <c r="I17" s="62">
        <v>6</v>
      </c>
      <c r="J17" s="174">
        <v>7</v>
      </c>
      <c r="K17" s="175">
        <v>8</v>
      </c>
      <c r="L17" s="25"/>
      <c r="M17" s="25"/>
      <c r="N17" s="25"/>
      <c r="O17" s="25"/>
      <c r="P17" s="25"/>
      <c r="Q17" s="25"/>
      <c r="R17" s="25"/>
      <c r="S17" s="25"/>
      <c r="T17" s="25"/>
      <c r="U17" s="25"/>
      <c r="V17" s="25"/>
      <c r="W17" s="25"/>
      <c r="X17" s="25"/>
    </row>
    <row r="18" ht="21" customHeight="1" spans="1:24">
      <c r="A18" s="25" t="s">
        <v>9</v>
      </c>
      <c r="B18" s="25"/>
      <c r="C18" s="89">
        <v>2.5</v>
      </c>
      <c r="D18" s="90">
        <v>2.45</v>
      </c>
      <c r="E18" s="90">
        <v>2.4</v>
      </c>
      <c r="F18" s="91">
        <v>2.35</v>
      </c>
      <c r="G18" s="90">
        <v>2.3</v>
      </c>
      <c r="H18" s="92">
        <v>2.25</v>
      </c>
      <c r="I18" s="90">
        <v>2.2</v>
      </c>
      <c r="J18" s="206">
        <v>2.15</v>
      </c>
      <c r="K18" s="658">
        <v>1.95</v>
      </c>
      <c r="L18" s="1637" t="s">
        <v>19</v>
      </c>
      <c r="M18" s="1637"/>
      <c r="N18" s="1637"/>
      <c r="O18" s="1637"/>
      <c r="P18" s="1637"/>
      <c r="Q18" s="1637"/>
      <c r="R18" s="1637"/>
      <c r="S18" s="1637"/>
      <c r="T18" s="1637"/>
      <c r="U18" s="1637"/>
      <c r="V18" s="1637"/>
      <c r="W18" s="1637"/>
      <c r="X18" s="1637"/>
    </row>
    <row r="19" ht="21" customHeight="1" spans="1:24">
      <c r="A19" s="25" t="s">
        <v>10</v>
      </c>
      <c r="B19" s="25"/>
      <c r="C19" s="34" t="s">
        <v>20</v>
      </c>
      <c r="D19" s="756"/>
      <c r="E19" s="1592">
        <v>0.1</v>
      </c>
      <c r="F19" s="34" t="s">
        <v>21</v>
      </c>
      <c r="G19" s="756"/>
      <c r="H19" s="1593">
        <v>0</v>
      </c>
      <c r="I19" s="34" t="s">
        <v>22</v>
      </c>
      <c r="J19" s="756"/>
      <c r="K19" s="1624">
        <v>0</v>
      </c>
      <c r="L19" s="1637" t="s">
        <v>23</v>
      </c>
      <c r="M19" s="1637"/>
      <c r="N19" s="1637"/>
      <c r="O19" s="1637"/>
      <c r="P19" s="1637"/>
      <c r="Q19" s="1637"/>
      <c r="R19" s="1637"/>
      <c r="S19" s="1637"/>
      <c r="T19" s="1637"/>
      <c r="U19" s="1637"/>
      <c r="V19" s="1637"/>
      <c r="W19" s="1637"/>
      <c r="X19" s="1637"/>
    </row>
    <row r="20" ht="21" customHeight="1" spans="1:24">
      <c r="A20" s="65" t="s">
        <v>16</v>
      </c>
      <c r="B20" s="65"/>
      <c r="C20" s="66">
        <f>(C18*20-INT(C18*20*$E$19)-INT(C18*20*$H$19)-INT(C18*20*$K$19))/20</f>
        <v>2.25</v>
      </c>
      <c r="D20" s="67">
        <f>(D18*20-INT(D18*20*$E$19)-INT(D18*20*$H$19)-INT(D18*20*$K$19))/20</f>
        <v>2.25</v>
      </c>
      <c r="E20" s="67">
        <f>(E18*20-INT(E18*20*$E$19)-INT(E18*20*$H$19)-INT(E18*20*$K$19))/20</f>
        <v>2.2</v>
      </c>
      <c r="F20" s="93">
        <f>(F18*20-INT(F18*20*$E$19)-INT(F18*20*$H$19)-INT(F18*20*$K$19))/20</f>
        <v>2.15</v>
      </c>
      <c r="G20" s="67">
        <f>(G18*20-INT(G18*20*$E$19)-INT(G18*20*$H$19)-INT(G18*20*$K$19))/20</f>
        <v>2.1</v>
      </c>
      <c r="H20" s="69">
        <f>(H18*20-INT(H18*20*$E$19)-INT(H18*20*$H$19)-INT(H18*20*$K$19))/20</f>
        <v>2.05</v>
      </c>
      <c r="I20" s="67">
        <f>(I18*20-INT(I18*20*$E$19)-INT(I18*20*$H$19)-INT(I18*20*$K$19))/20</f>
        <v>2</v>
      </c>
      <c r="J20" s="178">
        <f>(J18*20-INT(J18*20*$E$19)-INT(J18*20*$H$19)-INT(J18*20*$K$19))/20</f>
        <v>1.95</v>
      </c>
      <c r="K20" s="179">
        <f>(K18*20-INT(K18*20*$E$19)-INT(K18*20*$H$19)-INT(K18*20*$K$19))/20</f>
        <v>1.8</v>
      </c>
      <c r="L20" s="1637" t="s">
        <v>24</v>
      </c>
      <c r="M20" s="1637"/>
      <c r="N20" s="1637"/>
      <c r="O20" s="1637"/>
      <c r="P20" s="1637"/>
      <c r="Q20" s="1637"/>
      <c r="R20" s="1637"/>
      <c r="S20" s="1637"/>
      <c r="T20" s="1637"/>
      <c r="U20" s="1637"/>
      <c r="V20" s="1637"/>
      <c r="W20" s="1637"/>
      <c r="X20" s="1637"/>
    </row>
    <row r="21" ht="22.5" spans="1:24">
      <c r="A21" s="1597"/>
      <c r="B21" s="1598"/>
      <c r="C21" s="1598"/>
      <c r="D21" s="1598"/>
      <c r="E21" s="1598"/>
      <c r="F21" s="1598"/>
      <c r="G21" s="1598"/>
      <c r="H21" s="1598"/>
      <c r="I21" s="1598"/>
      <c r="J21" s="1598"/>
      <c r="K21" s="1598"/>
      <c r="L21" s="1598"/>
      <c r="M21" s="1598"/>
      <c r="N21" s="1598"/>
      <c r="O21" s="1598"/>
      <c r="P21" s="1598"/>
      <c r="Q21" s="1598"/>
      <c r="R21" s="1598"/>
      <c r="S21" s="1598"/>
      <c r="T21" s="1598"/>
      <c r="U21" s="1598"/>
      <c r="V21" s="1598"/>
      <c r="W21" s="1598"/>
      <c r="X21" s="1661"/>
    </row>
    <row r="22" ht="44" customHeight="1" spans="1:24">
      <c r="A22" s="1599"/>
      <c r="B22" s="1600"/>
      <c r="C22" s="1600"/>
      <c r="D22" s="1600"/>
      <c r="E22" s="1600"/>
      <c r="F22" s="1601"/>
      <c r="G22" s="126" t="s">
        <v>25</v>
      </c>
      <c r="H22" s="127"/>
      <c r="I22" s="127"/>
      <c r="J22" s="127"/>
      <c r="K22" s="127"/>
      <c r="L22" s="127"/>
      <c r="M22" s="127"/>
      <c r="N22" s="127"/>
      <c r="O22" s="220"/>
      <c r="P22" s="134"/>
      <c r="Q22" s="233"/>
      <c r="R22" s="233"/>
      <c r="S22" s="233"/>
      <c r="T22" s="233"/>
      <c r="U22" s="233"/>
      <c r="V22" s="233"/>
      <c r="W22" s="233"/>
      <c r="X22" s="234"/>
    </row>
    <row r="23" ht="22.5" spans="1:24">
      <c r="A23" s="1602"/>
      <c r="B23" s="1603"/>
      <c r="C23" s="1603"/>
      <c r="D23" s="1603"/>
      <c r="E23" s="1603"/>
      <c r="F23" s="1603"/>
      <c r="G23" s="1603"/>
      <c r="H23" s="1603"/>
      <c r="I23" s="1603"/>
      <c r="J23" s="1603"/>
      <c r="K23" s="1603"/>
      <c r="L23" s="1603"/>
      <c r="M23" s="1603"/>
      <c r="N23" s="1603"/>
      <c r="O23" s="1603"/>
      <c r="P23" s="1603"/>
      <c r="Q23" s="1603"/>
      <c r="R23" s="1603"/>
      <c r="S23" s="1603"/>
      <c r="T23" s="1603"/>
      <c r="U23" s="1603"/>
      <c r="V23" s="1603"/>
      <c r="W23" s="1603"/>
      <c r="X23" s="1662"/>
    </row>
    <row r="24" ht="21" customHeight="1" spans="1:24">
      <c r="A24" s="768" t="s">
        <v>26</v>
      </c>
      <c r="B24" s="769" t="s">
        <v>27</v>
      </c>
      <c r="C24" s="769"/>
      <c r="D24" s="769"/>
      <c r="E24" s="769"/>
      <c r="F24" s="769"/>
      <c r="G24" s="769"/>
      <c r="H24" s="769"/>
      <c r="I24" s="769"/>
      <c r="J24" s="769"/>
      <c r="K24" s="769"/>
      <c r="L24" s="1638"/>
      <c r="M24" s="1639"/>
      <c r="N24" s="1639"/>
      <c r="O24" s="1639"/>
      <c r="P24" s="1639"/>
      <c r="Q24" s="1639"/>
      <c r="R24" s="1639"/>
      <c r="S24" s="1639"/>
      <c r="T24" s="1639"/>
      <c r="U24" s="1639"/>
      <c r="V24" s="1639"/>
      <c r="W24" s="1639"/>
      <c r="X24" s="1663"/>
    </row>
    <row r="25" ht="21" customHeight="1" spans="1:24">
      <c r="A25" s="770" t="s">
        <v>28</v>
      </c>
      <c r="B25" s="771" t="s">
        <v>29</v>
      </c>
      <c r="C25" s="772">
        <v>0</v>
      </c>
      <c r="D25" s="773">
        <v>1</v>
      </c>
      <c r="E25" s="773">
        <v>2</v>
      </c>
      <c r="F25" s="774">
        <v>3</v>
      </c>
      <c r="G25" s="773">
        <v>4</v>
      </c>
      <c r="H25" s="775">
        <v>5</v>
      </c>
      <c r="I25" s="773">
        <v>6</v>
      </c>
      <c r="J25" s="819">
        <v>7</v>
      </c>
      <c r="K25" s="820">
        <v>8</v>
      </c>
      <c r="L25" s="1638"/>
      <c r="M25" s="1639"/>
      <c r="N25" s="1639"/>
      <c r="O25" s="1639"/>
      <c r="P25" s="1639"/>
      <c r="Q25" s="1639"/>
      <c r="R25" s="1639"/>
      <c r="S25" s="1639"/>
      <c r="T25" s="1639"/>
      <c r="U25" s="1639"/>
      <c r="V25" s="1639"/>
      <c r="W25" s="1639"/>
      <c r="X25" s="1663"/>
    </row>
    <row r="26" ht="21" customHeight="1" spans="1:24">
      <c r="A26" s="770"/>
      <c r="B26" s="776">
        <v>0</v>
      </c>
      <c r="C26" s="1604">
        <f>INT($K$34*C5+$K$34*$C$6)</f>
        <v>0</v>
      </c>
      <c r="D26" s="1605">
        <f>INT($K$34*D5+$K$34*$C$6)</f>
        <v>3</v>
      </c>
      <c r="E26" s="1605">
        <f>INT($K$34*E5+$K$34*$C$6)</f>
        <v>7</v>
      </c>
      <c r="F26" s="1606">
        <f>INT($K$34*F5+$K$34*$C$6)</f>
        <v>11</v>
      </c>
      <c r="G26" s="1605">
        <f>INT($K$34*G5+$K$34*$C$6)</f>
        <v>19</v>
      </c>
      <c r="H26" s="1607">
        <f>INT($K$34*H5+$K$34*$C$6)</f>
        <v>27</v>
      </c>
      <c r="I26" s="1605">
        <f>INT($K$34*I5+$K$34*$C$6)</f>
        <v>39</v>
      </c>
      <c r="J26" s="1640">
        <f>INT($K$34*J5+$K$34*$C$6)</f>
        <v>51</v>
      </c>
      <c r="K26" s="1641">
        <f>INT($K$34*K5+$K$34*$C$6)</f>
        <v>79</v>
      </c>
      <c r="L26" s="1642" t="s">
        <v>30</v>
      </c>
      <c r="M26" s="1643"/>
      <c r="N26" s="1643"/>
      <c r="O26" s="1643"/>
      <c r="P26" s="1643"/>
      <c r="Q26" s="1643"/>
      <c r="R26" s="1643"/>
      <c r="S26" s="1643"/>
      <c r="T26" s="1643"/>
      <c r="U26" s="1643"/>
      <c r="V26" s="1643"/>
      <c r="W26" s="1643"/>
      <c r="X26" s="1664"/>
    </row>
    <row r="27" ht="21" customHeight="1" spans="1:24">
      <c r="A27" s="770"/>
      <c r="B27" s="781">
        <v>1</v>
      </c>
      <c r="C27" s="1608">
        <f>INT($K$34*C5+$K$34*$D$6)</f>
        <v>1</v>
      </c>
      <c r="D27" s="1609">
        <f>INT($K$34*D5+$K$34*$D$6)</f>
        <v>5</v>
      </c>
      <c r="E27" s="1609">
        <f>INT($K$34*E5+$K$34*$D$6)</f>
        <v>9</v>
      </c>
      <c r="F27" s="1610">
        <f>INT($K$34*F5+$K$34*$D$6)</f>
        <v>13</v>
      </c>
      <c r="G27" s="1609">
        <f>INT($K$34*G5+$K$34*$D$6)</f>
        <v>21</v>
      </c>
      <c r="H27" s="1611">
        <f>INT($K$34*H5+$K$34*$D$6)</f>
        <v>29</v>
      </c>
      <c r="I27" s="1609">
        <f>INT($K$34*I5+$K$34*$D$6)</f>
        <v>41</v>
      </c>
      <c r="J27" s="1644">
        <f>INT($K$34*J5+$K$34*$D$6)</f>
        <v>53</v>
      </c>
      <c r="K27" s="1645">
        <f>INT($K$34*K5+$K$34*$D$6)</f>
        <v>81</v>
      </c>
      <c r="L27" s="1642"/>
      <c r="M27" s="1643"/>
      <c r="N27" s="1643"/>
      <c r="O27" s="1643"/>
      <c r="P27" s="1643"/>
      <c r="Q27" s="1643"/>
      <c r="R27" s="1643"/>
      <c r="S27" s="1643"/>
      <c r="T27" s="1643"/>
      <c r="U27" s="1643"/>
      <c r="V27" s="1643"/>
      <c r="W27" s="1643"/>
      <c r="X27" s="1664"/>
    </row>
    <row r="28" ht="21" customHeight="1" spans="1:24">
      <c r="A28" s="770"/>
      <c r="B28" s="781">
        <v>2</v>
      </c>
      <c r="C28" s="1608">
        <f>INT($K$34*C5+$K$34*$E$6)</f>
        <v>3</v>
      </c>
      <c r="D28" s="1609">
        <f>INT($K$34*D5+$K$34*$E$6)</f>
        <v>7</v>
      </c>
      <c r="E28" s="1609">
        <f>INT($K$34*E5+$K$34*$E$6)</f>
        <v>11</v>
      </c>
      <c r="F28" s="1610">
        <f>INT($K$34*F5+$K$34*$E$6)</f>
        <v>15</v>
      </c>
      <c r="G28" s="1609">
        <f>INT($K$34*G5+$K$34*$E$6)</f>
        <v>23</v>
      </c>
      <c r="H28" s="1611">
        <f>INT($K$34*H5+$K$34*$E$6)</f>
        <v>31</v>
      </c>
      <c r="I28" s="1609">
        <f>INT($K$34*I5+$K$34*$E$6)</f>
        <v>43</v>
      </c>
      <c r="J28" s="1644">
        <f>INT($K$34*J5+$K$34*$E$6)</f>
        <v>55</v>
      </c>
      <c r="K28" s="1645">
        <f>INT($K$34*K5+$K$34*$E$6)</f>
        <v>83</v>
      </c>
      <c r="L28" s="1642"/>
      <c r="M28" s="1643"/>
      <c r="N28" s="1643"/>
      <c r="O28" s="1643"/>
      <c r="P28" s="1643"/>
      <c r="Q28" s="1643"/>
      <c r="R28" s="1643"/>
      <c r="S28" s="1643"/>
      <c r="T28" s="1643"/>
      <c r="U28" s="1643"/>
      <c r="V28" s="1643"/>
      <c r="W28" s="1643"/>
      <c r="X28" s="1664"/>
    </row>
    <row r="29" ht="21" customHeight="1" spans="1:24">
      <c r="A29" s="770"/>
      <c r="B29" s="781">
        <v>3</v>
      </c>
      <c r="C29" s="1608">
        <f t="shared" ref="C29:K29" si="0">INT($K$34*C5+$K$34*$F$6)</f>
        <v>5</v>
      </c>
      <c r="D29" s="1609">
        <f t="shared" si="0"/>
        <v>9</v>
      </c>
      <c r="E29" s="1609">
        <f t="shared" si="0"/>
        <v>13</v>
      </c>
      <c r="F29" s="1610">
        <f t="shared" si="0"/>
        <v>17</v>
      </c>
      <c r="G29" s="1609">
        <f t="shared" si="0"/>
        <v>25</v>
      </c>
      <c r="H29" s="1611">
        <f t="shared" si="0"/>
        <v>33</v>
      </c>
      <c r="I29" s="1609">
        <f t="shared" si="0"/>
        <v>45</v>
      </c>
      <c r="J29" s="1644">
        <f t="shared" si="0"/>
        <v>57</v>
      </c>
      <c r="K29" s="1645">
        <f t="shared" si="0"/>
        <v>84</v>
      </c>
      <c r="L29" s="1642"/>
      <c r="M29" s="1643"/>
      <c r="N29" s="1643"/>
      <c r="O29" s="1643"/>
      <c r="P29" s="1643"/>
      <c r="Q29" s="1643"/>
      <c r="R29" s="1643"/>
      <c r="S29" s="1643"/>
      <c r="T29" s="1643"/>
      <c r="U29" s="1643"/>
      <c r="V29" s="1643"/>
      <c r="W29" s="1643"/>
      <c r="X29" s="1664"/>
    </row>
    <row r="30" ht="21" customHeight="1" spans="1:24">
      <c r="A30" s="770"/>
      <c r="B30" s="786">
        <v>4</v>
      </c>
      <c r="C30" s="1612">
        <f t="shared" ref="C30:K30" si="1">INT($K$34*C5+$K$34*$G$6)</f>
        <v>8</v>
      </c>
      <c r="D30" s="1613">
        <f t="shared" si="1"/>
        <v>12</v>
      </c>
      <c r="E30" s="1613">
        <f t="shared" si="1"/>
        <v>16</v>
      </c>
      <c r="F30" s="1614">
        <f t="shared" si="1"/>
        <v>20</v>
      </c>
      <c r="G30" s="1613">
        <f t="shared" si="1"/>
        <v>28</v>
      </c>
      <c r="H30" s="1615">
        <f t="shared" si="1"/>
        <v>36</v>
      </c>
      <c r="I30" s="1613">
        <f t="shared" si="1"/>
        <v>48</v>
      </c>
      <c r="J30" s="1646">
        <f t="shared" si="1"/>
        <v>60</v>
      </c>
      <c r="K30" s="1647">
        <f t="shared" si="1"/>
        <v>88</v>
      </c>
      <c r="L30" s="1642"/>
      <c r="M30" s="1643"/>
      <c r="N30" s="1643"/>
      <c r="O30" s="1643"/>
      <c r="P30" s="1643"/>
      <c r="Q30" s="1643"/>
      <c r="R30" s="1643"/>
      <c r="S30" s="1643"/>
      <c r="T30" s="1643"/>
      <c r="U30" s="1643"/>
      <c r="V30" s="1643"/>
      <c r="W30" s="1643"/>
      <c r="X30" s="1664"/>
    </row>
    <row r="31" ht="21" customHeight="1" spans="1:24">
      <c r="A31" s="770"/>
      <c r="B31" s="786">
        <v>5</v>
      </c>
      <c r="C31" s="1612">
        <f t="shared" ref="C31:K31" si="2">INT($K$34*C5+$K$34*$H$6)</f>
        <v>11</v>
      </c>
      <c r="D31" s="1613">
        <f t="shared" si="2"/>
        <v>15</v>
      </c>
      <c r="E31" s="1613">
        <f t="shared" si="2"/>
        <v>19</v>
      </c>
      <c r="F31" s="1614">
        <f t="shared" si="2"/>
        <v>23</v>
      </c>
      <c r="G31" s="1613">
        <f t="shared" si="2"/>
        <v>31</v>
      </c>
      <c r="H31" s="1615">
        <f t="shared" si="2"/>
        <v>39</v>
      </c>
      <c r="I31" s="1613">
        <f t="shared" si="2"/>
        <v>51</v>
      </c>
      <c r="J31" s="1646">
        <f t="shared" si="2"/>
        <v>63</v>
      </c>
      <c r="K31" s="1647">
        <f t="shared" si="2"/>
        <v>91</v>
      </c>
      <c r="L31" s="1642"/>
      <c r="M31" s="1643"/>
      <c r="N31" s="1643"/>
      <c r="O31" s="1643"/>
      <c r="P31" s="1643"/>
      <c r="Q31" s="1643"/>
      <c r="R31" s="1643"/>
      <c r="S31" s="1643"/>
      <c r="T31" s="1643"/>
      <c r="U31" s="1643"/>
      <c r="V31" s="1643"/>
      <c r="W31" s="1643"/>
      <c r="X31" s="1664"/>
    </row>
    <row r="32" ht="21" customHeight="1" spans="1:24">
      <c r="A32" s="770"/>
      <c r="B32" s="791">
        <v>6</v>
      </c>
      <c r="C32" s="1616">
        <f t="shared" ref="C32:K32" si="3">INT($K$34*C5+$K$34*$I$6)</f>
        <v>17</v>
      </c>
      <c r="D32" s="1617">
        <f t="shared" si="3"/>
        <v>21</v>
      </c>
      <c r="E32" s="1617">
        <f t="shared" si="3"/>
        <v>25</v>
      </c>
      <c r="F32" s="1618">
        <f t="shared" si="3"/>
        <v>29</v>
      </c>
      <c r="G32" s="1617">
        <f t="shared" si="3"/>
        <v>37</v>
      </c>
      <c r="H32" s="1619">
        <f t="shared" si="3"/>
        <v>45</v>
      </c>
      <c r="I32" s="1617">
        <f t="shared" si="3"/>
        <v>57</v>
      </c>
      <c r="J32" s="1648">
        <f t="shared" si="3"/>
        <v>68</v>
      </c>
      <c r="K32" s="1649">
        <f t="shared" si="3"/>
        <v>96</v>
      </c>
      <c r="L32" s="1642"/>
      <c r="M32" s="1643"/>
      <c r="N32" s="1643"/>
      <c r="O32" s="1643"/>
      <c r="P32" s="1643"/>
      <c r="Q32" s="1643"/>
      <c r="R32" s="1643"/>
      <c r="S32" s="1643"/>
      <c r="T32" s="1643"/>
      <c r="U32" s="1643"/>
      <c r="V32" s="1643"/>
      <c r="W32" s="1643"/>
      <c r="X32" s="1664"/>
    </row>
    <row r="33" ht="21" customHeight="1" spans="1:24">
      <c r="A33" s="770"/>
      <c r="B33" s="791">
        <v>7</v>
      </c>
      <c r="C33" s="1616">
        <f t="shared" ref="C33:K33" si="4">INT($K$34*C5+$K$34*$J$6)</f>
        <v>22</v>
      </c>
      <c r="D33" s="1617">
        <f t="shared" si="4"/>
        <v>26</v>
      </c>
      <c r="E33" s="1617">
        <f t="shared" si="4"/>
        <v>30</v>
      </c>
      <c r="F33" s="1618">
        <f t="shared" si="4"/>
        <v>34</v>
      </c>
      <c r="G33" s="1617">
        <f t="shared" si="4"/>
        <v>42</v>
      </c>
      <c r="H33" s="1619">
        <f t="shared" si="4"/>
        <v>50</v>
      </c>
      <c r="I33" s="1617">
        <f t="shared" si="4"/>
        <v>62</v>
      </c>
      <c r="J33" s="1648">
        <f t="shared" si="4"/>
        <v>74</v>
      </c>
      <c r="K33" s="1649">
        <f t="shared" si="4"/>
        <v>102</v>
      </c>
      <c r="L33" s="1642"/>
      <c r="M33" s="1643"/>
      <c r="N33" s="1643"/>
      <c r="O33" s="1643"/>
      <c r="P33" s="1643"/>
      <c r="Q33" s="1643"/>
      <c r="R33" s="1643"/>
      <c r="S33" s="1643"/>
      <c r="T33" s="1643"/>
      <c r="U33" s="1643"/>
      <c r="V33" s="1643"/>
      <c r="W33" s="1643"/>
      <c r="X33" s="1664"/>
    </row>
    <row r="34" ht="21" customHeight="1" spans="1:24">
      <c r="A34" s="770"/>
      <c r="B34" s="796">
        <v>8</v>
      </c>
      <c r="C34" s="1612">
        <f t="shared" ref="C34:J34" si="5">INT($K$34*C5+$K$34*$K$6)</f>
        <v>34</v>
      </c>
      <c r="D34" s="1613">
        <f t="shared" si="5"/>
        <v>38</v>
      </c>
      <c r="E34" s="1613">
        <f t="shared" si="5"/>
        <v>42</v>
      </c>
      <c r="F34" s="1614">
        <f t="shared" si="5"/>
        <v>46</v>
      </c>
      <c r="G34" s="1613">
        <f t="shared" si="5"/>
        <v>54</v>
      </c>
      <c r="H34" s="1615">
        <f t="shared" si="5"/>
        <v>62</v>
      </c>
      <c r="I34" s="1613">
        <f t="shared" si="5"/>
        <v>74</v>
      </c>
      <c r="J34" s="1646">
        <f t="shared" si="5"/>
        <v>86</v>
      </c>
      <c r="K34" s="1647">
        <v>114</v>
      </c>
      <c r="L34" s="1650" t="s">
        <v>31</v>
      </c>
      <c r="M34" s="1651"/>
      <c r="N34" s="1651"/>
      <c r="O34" s="1651"/>
      <c r="P34" s="1651"/>
      <c r="Q34" s="1651"/>
      <c r="R34" s="1651"/>
      <c r="S34" s="1651"/>
      <c r="T34" s="1651"/>
      <c r="U34" s="1651"/>
      <c r="V34" s="1651"/>
      <c r="W34" s="1651"/>
      <c r="X34" s="1665"/>
    </row>
  </sheetData>
  <sheetProtection formatCells="0" insertHyperlinks="0" autoFilter="0"/>
  <mergeCells count="57">
    <mergeCell ref="A1:C1"/>
    <mergeCell ref="D1:T1"/>
    <mergeCell ref="U1:X1"/>
    <mergeCell ref="B2:D2"/>
    <mergeCell ref="F2:H2"/>
    <mergeCell ref="J2:V2"/>
    <mergeCell ref="W2:X2"/>
    <mergeCell ref="A3:X3"/>
    <mergeCell ref="A4:B4"/>
    <mergeCell ref="L4:X4"/>
    <mergeCell ref="A5:B5"/>
    <mergeCell ref="L5:X5"/>
    <mergeCell ref="A6:B6"/>
    <mergeCell ref="L6:X6"/>
    <mergeCell ref="A7:X7"/>
    <mergeCell ref="A8:F8"/>
    <mergeCell ref="G8:O8"/>
    <mergeCell ref="P8:X8"/>
    <mergeCell ref="A9:X9"/>
    <mergeCell ref="A10:B10"/>
    <mergeCell ref="L10:N10"/>
    <mergeCell ref="Q10:S10"/>
    <mergeCell ref="W10:X10"/>
    <mergeCell ref="A11:B11"/>
    <mergeCell ref="A12:B12"/>
    <mergeCell ref="C12:D12"/>
    <mergeCell ref="F12:G12"/>
    <mergeCell ref="I12:J12"/>
    <mergeCell ref="L12:O12"/>
    <mergeCell ref="Q12:X12"/>
    <mergeCell ref="A13:B13"/>
    <mergeCell ref="A14:X14"/>
    <mergeCell ref="A15:F15"/>
    <mergeCell ref="G15:O15"/>
    <mergeCell ref="P15:X15"/>
    <mergeCell ref="A16:X16"/>
    <mergeCell ref="A17:B17"/>
    <mergeCell ref="L17:X17"/>
    <mergeCell ref="A18:B18"/>
    <mergeCell ref="L18:X18"/>
    <mergeCell ref="A19:B19"/>
    <mergeCell ref="C19:D19"/>
    <mergeCell ref="F19:G19"/>
    <mergeCell ref="I19:J19"/>
    <mergeCell ref="L19:X19"/>
    <mergeCell ref="A20:B20"/>
    <mergeCell ref="L20:X20"/>
    <mergeCell ref="A21:X21"/>
    <mergeCell ref="A22:F22"/>
    <mergeCell ref="G22:O22"/>
    <mergeCell ref="P22:X22"/>
    <mergeCell ref="A23:X23"/>
    <mergeCell ref="B24:K24"/>
    <mergeCell ref="L34:X34"/>
    <mergeCell ref="A25:A34"/>
    <mergeCell ref="L24:X25"/>
    <mergeCell ref="L26:X33"/>
  </mergeCells>
  <pageMargins left="0.75" right="0.75" top="1" bottom="1" header="0.5" footer="0.5"/>
  <headerFooter/>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41"/>
  <sheetViews>
    <sheetView workbookViewId="0">
      <selection activeCell="G11" sqref="G11"/>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9</v>
      </c>
      <c r="B1" s="2"/>
      <c r="C1" s="2"/>
      <c r="D1" s="761" t="s">
        <v>594</v>
      </c>
      <c r="E1" s="762"/>
      <c r="F1" s="762"/>
      <c r="G1" s="763"/>
      <c r="H1" s="763"/>
      <c r="I1" s="762"/>
      <c r="J1" s="762"/>
      <c r="K1" s="763"/>
      <c r="L1" s="763"/>
      <c r="M1" s="763"/>
      <c r="N1" s="763"/>
      <c r="O1" s="763"/>
      <c r="P1" s="763"/>
      <c r="Q1" s="763"/>
      <c r="R1" s="763"/>
      <c r="S1" s="763"/>
      <c r="T1" s="763"/>
      <c r="U1" s="2">
        <v>9</v>
      </c>
      <c r="V1" s="2"/>
      <c r="W1" s="2"/>
      <c r="X1" s="2"/>
    </row>
    <row r="2" ht="21" customHeight="1" spans="1:24">
      <c r="A2" s="5"/>
      <c r="B2" s="6" t="s">
        <v>1</v>
      </c>
      <c r="C2" s="7"/>
      <c r="D2" s="8"/>
      <c r="E2" s="9"/>
      <c r="F2" s="6" t="s">
        <v>556</v>
      </c>
      <c r="G2" s="7"/>
      <c r="H2" s="8"/>
      <c r="I2" s="9"/>
      <c r="J2" s="131" t="s">
        <v>34</v>
      </c>
      <c r="K2" s="132"/>
      <c r="L2" s="132"/>
      <c r="M2" s="132"/>
      <c r="N2" s="132"/>
      <c r="O2" s="132"/>
      <c r="P2" s="132"/>
      <c r="Q2" s="132"/>
      <c r="R2" s="132"/>
      <c r="S2" s="132"/>
      <c r="T2" s="132"/>
      <c r="U2" s="132"/>
      <c r="V2" s="229"/>
      <c r="W2" s="230"/>
      <c r="X2" s="230"/>
    </row>
    <row r="3" ht="21" customHeight="1" spans="1:24">
      <c r="A3" s="12" t="s">
        <v>35</v>
      </c>
      <c r="B3" s="13"/>
      <c r="C3" s="13"/>
      <c r="D3" s="13"/>
      <c r="E3" s="13"/>
      <c r="F3" s="13"/>
      <c r="G3" s="13"/>
      <c r="H3" s="13"/>
      <c r="I3" s="13"/>
      <c r="J3" s="13"/>
      <c r="K3" s="13"/>
      <c r="L3" s="13"/>
      <c r="M3" s="13"/>
      <c r="N3" s="13"/>
      <c r="O3" s="13"/>
      <c r="P3" s="13"/>
      <c r="Q3" s="13"/>
      <c r="R3" s="13"/>
      <c r="S3" s="13"/>
      <c r="T3" s="13"/>
      <c r="U3" s="13"/>
      <c r="V3" s="13"/>
      <c r="W3" s="13"/>
      <c r="X3" s="232"/>
    </row>
    <row r="4" ht="44" customHeight="1" spans="1:24">
      <c r="A4" s="375"/>
      <c r="B4" s="409" t="str">
        <f>_xlfn.DISPIMG("ID_1365DF6878974CB49162FD310D2B1E12",1)</f>
        <v>=DISPIMG("ID_1365DF6878974CB49162FD310D2B1E12",1)</v>
      </c>
      <c r="C4" s="409" t="str">
        <f>_xlfn.DISPIMG("ID_187979642AA548179D8D2278F99A2767",1)</f>
        <v>=DISPIMG("ID_187979642AA548179D8D2278F99A2767",1)</v>
      </c>
      <c r="D4" s="409" t="str">
        <f>_xlfn.DISPIMG("ID_11C4FDFF7CC94F6D847E188DF4A3CD32",1)</f>
        <v>=DISPIMG("ID_11C4FDFF7CC94F6D847E188DF4A3CD32",1)</v>
      </c>
      <c r="E4" s="409" t="str">
        <f>_xlfn.DISPIMG("ID_409ACF13F0864D8EB7C0F845D5F670E2",1)</f>
        <v>=DISPIMG("ID_409ACF13F0864D8EB7C0F845D5F670E2",1)</v>
      </c>
      <c r="F4" s="410"/>
      <c r="G4" s="71" t="s">
        <v>595</v>
      </c>
      <c r="H4" s="72"/>
      <c r="I4" s="72"/>
      <c r="J4" s="72"/>
      <c r="K4" s="72"/>
      <c r="L4" s="72"/>
      <c r="M4" s="72"/>
      <c r="N4" s="72"/>
      <c r="O4" s="180"/>
      <c r="P4" s="181"/>
      <c r="Q4" s="259"/>
      <c r="R4" s="259"/>
      <c r="S4" s="259"/>
      <c r="T4" s="259"/>
      <c r="U4" s="259"/>
      <c r="V4" s="259"/>
      <c r="W4" s="259"/>
      <c r="X4" s="260"/>
    </row>
    <row r="5" ht="21" customHeight="1" spans="1:24">
      <c r="A5" s="714"/>
      <c r="B5" s="715"/>
      <c r="C5" s="715"/>
      <c r="D5" s="715"/>
      <c r="E5" s="715"/>
      <c r="F5" s="715"/>
      <c r="G5" s="715"/>
      <c r="H5" s="715"/>
      <c r="I5" s="715"/>
      <c r="J5" s="715"/>
      <c r="K5" s="715"/>
      <c r="L5" s="715"/>
      <c r="M5" s="715"/>
      <c r="N5" s="715"/>
      <c r="O5" s="715"/>
      <c r="P5" s="715"/>
      <c r="Q5" s="715"/>
      <c r="R5" s="715"/>
      <c r="S5" s="715"/>
      <c r="T5" s="715"/>
      <c r="U5" s="715"/>
      <c r="V5" s="715"/>
      <c r="W5" s="715"/>
      <c r="X5" s="749"/>
    </row>
    <row r="6" ht="21" customHeight="1" spans="1:24">
      <c r="A6" s="21" t="s">
        <v>8</v>
      </c>
      <c r="B6" s="22"/>
      <c r="C6" s="23">
        <v>0</v>
      </c>
      <c r="D6" s="24">
        <v>1</v>
      </c>
      <c r="E6" s="24">
        <v>2</v>
      </c>
      <c r="F6" s="24">
        <v>3</v>
      </c>
      <c r="G6" s="24">
        <v>4</v>
      </c>
      <c r="H6" s="24">
        <v>5</v>
      </c>
      <c r="I6" s="24">
        <v>6</v>
      </c>
      <c r="J6" s="24">
        <v>7</v>
      </c>
      <c r="K6" s="135">
        <v>8</v>
      </c>
      <c r="L6" s="136">
        <v>9</v>
      </c>
      <c r="M6" s="137"/>
      <c r="N6" s="138"/>
      <c r="O6" s="139">
        <v>10</v>
      </c>
      <c r="P6" s="140">
        <v>11</v>
      </c>
      <c r="Q6" s="236">
        <v>12</v>
      </c>
      <c r="R6" s="236"/>
      <c r="S6" s="236"/>
      <c r="T6" s="139">
        <v>13</v>
      </c>
      <c r="U6" s="237">
        <v>14</v>
      </c>
      <c r="V6" s="140">
        <v>15</v>
      </c>
      <c r="W6" s="137">
        <v>16</v>
      </c>
      <c r="X6" s="138"/>
    </row>
    <row r="7" ht="21" customHeight="1" spans="1:24">
      <c r="A7" s="25" t="s">
        <v>595</v>
      </c>
      <c r="B7" s="26"/>
      <c r="C7" s="27">
        <v>20</v>
      </c>
      <c r="D7" s="28">
        <v>22</v>
      </c>
      <c r="E7" s="28">
        <v>25</v>
      </c>
      <c r="F7" s="28">
        <v>27</v>
      </c>
      <c r="G7" s="28">
        <v>30</v>
      </c>
      <c r="H7" s="28">
        <v>32</v>
      </c>
      <c r="I7" s="28">
        <v>34</v>
      </c>
      <c r="J7" s="28">
        <v>39</v>
      </c>
      <c r="K7" s="141">
        <v>46</v>
      </c>
      <c r="L7" s="142"/>
      <c r="M7" s="143">
        <v>56</v>
      </c>
      <c r="N7" s="144"/>
      <c r="O7" s="145">
        <v>74</v>
      </c>
      <c r="P7" s="146">
        <v>92</v>
      </c>
      <c r="Q7" s="144"/>
      <c r="R7" s="238">
        <v>110</v>
      </c>
      <c r="S7" s="144"/>
      <c r="T7" s="145">
        <v>128</v>
      </c>
      <c r="U7" s="239">
        <v>150</v>
      </c>
      <c r="V7" s="146">
        <v>168</v>
      </c>
      <c r="W7" s="240"/>
      <c r="X7" s="241">
        <v>186</v>
      </c>
    </row>
    <row r="8" ht="21" customHeight="1" spans="1:24">
      <c r="A8" s="764" t="s">
        <v>596</v>
      </c>
      <c r="B8" s="765"/>
      <c r="C8" s="766">
        <f t="shared" ref="C8:K8" si="0">INT(INT(C7*1.15)*1.1)+10</f>
        <v>35</v>
      </c>
      <c r="D8" s="766">
        <f t="shared" si="0"/>
        <v>37</v>
      </c>
      <c r="E8" s="767">
        <f t="shared" si="0"/>
        <v>40</v>
      </c>
      <c r="F8" s="767">
        <f t="shared" si="0"/>
        <v>44</v>
      </c>
      <c r="G8" s="767">
        <f t="shared" si="0"/>
        <v>47</v>
      </c>
      <c r="H8" s="767">
        <f t="shared" si="0"/>
        <v>49</v>
      </c>
      <c r="I8" s="767">
        <f t="shared" si="0"/>
        <v>52</v>
      </c>
      <c r="J8" s="767">
        <f t="shared" si="0"/>
        <v>58</v>
      </c>
      <c r="K8" s="811">
        <f t="shared" si="0"/>
        <v>67</v>
      </c>
      <c r="L8" s="812"/>
      <c r="M8" s="813">
        <f t="shared" ref="M8:P8" si="1">INT(INT(M7*1.15)*1.1)+10</f>
        <v>80</v>
      </c>
      <c r="N8" s="814"/>
      <c r="O8" s="815">
        <f t="shared" si="1"/>
        <v>103</v>
      </c>
      <c r="P8" s="816">
        <f t="shared" si="1"/>
        <v>125</v>
      </c>
      <c r="Q8" s="814"/>
      <c r="R8" s="841">
        <f t="shared" ref="R8:V8" si="2">INT(INT(R7*1.15)*1.1)+10</f>
        <v>148</v>
      </c>
      <c r="S8" s="814"/>
      <c r="T8" s="815">
        <f t="shared" si="2"/>
        <v>171</v>
      </c>
      <c r="U8" s="842">
        <f t="shared" si="2"/>
        <v>199</v>
      </c>
      <c r="V8" s="816">
        <f t="shared" si="2"/>
        <v>222</v>
      </c>
      <c r="W8" s="843"/>
      <c r="X8" s="844">
        <f>INT(INT(X7*1.15)*1.1)+10</f>
        <v>244</v>
      </c>
    </row>
    <row r="9" ht="21" customHeight="1" spans="1:24">
      <c r="A9" s="122" t="s">
        <v>18</v>
      </c>
      <c r="B9" s="122"/>
      <c r="C9" s="41">
        <v>3.5</v>
      </c>
      <c r="D9" s="42">
        <v>3.45</v>
      </c>
      <c r="E9" s="42">
        <v>3.4</v>
      </c>
      <c r="F9" s="43">
        <v>3.35</v>
      </c>
      <c r="G9" s="42">
        <v>3.3</v>
      </c>
      <c r="H9" s="44">
        <v>3.25</v>
      </c>
      <c r="I9" s="42">
        <v>3.2</v>
      </c>
      <c r="J9" s="163">
        <v>3.1</v>
      </c>
      <c r="K9" s="575">
        <v>3</v>
      </c>
      <c r="L9" s="86" t="s">
        <v>597</v>
      </c>
      <c r="M9" s="205"/>
      <c r="N9" s="205"/>
      <c r="O9" s="205"/>
      <c r="P9" s="205"/>
      <c r="Q9" s="205"/>
      <c r="R9" s="205"/>
      <c r="S9" s="205"/>
      <c r="T9" s="205"/>
      <c r="U9" s="205"/>
      <c r="V9" s="205"/>
      <c r="W9" s="205"/>
      <c r="X9" s="276"/>
    </row>
    <row r="10" ht="21" customHeight="1" spans="1:24">
      <c r="A10" s="768" t="s">
        <v>26</v>
      </c>
      <c r="B10" s="769" t="s">
        <v>598</v>
      </c>
      <c r="C10" s="769"/>
      <c r="D10" s="769"/>
      <c r="E10" s="769"/>
      <c r="F10" s="769"/>
      <c r="G10" s="769"/>
      <c r="H10" s="769"/>
      <c r="I10" s="769"/>
      <c r="J10" s="769"/>
      <c r="K10" s="817"/>
      <c r="L10" s="818" t="s">
        <v>599</v>
      </c>
      <c r="M10" s="686"/>
      <c r="N10" s="686"/>
      <c r="O10" s="686"/>
      <c r="P10" s="686"/>
      <c r="Q10" s="686"/>
      <c r="R10" s="686"/>
      <c r="S10" s="686"/>
      <c r="T10" s="686"/>
      <c r="U10" s="686"/>
      <c r="V10" s="686"/>
      <c r="W10" s="686"/>
      <c r="X10" s="689"/>
    </row>
    <row r="11" ht="21" customHeight="1" spans="1:24">
      <c r="A11" s="770" t="s">
        <v>600</v>
      </c>
      <c r="B11" s="771" t="s">
        <v>595</v>
      </c>
      <c r="C11" s="772">
        <v>0</v>
      </c>
      <c r="D11" s="773">
        <v>1</v>
      </c>
      <c r="E11" s="773">
        <v>2</v>
      </c>
      <c r="F11" s="774">
        <v>3</v>
      </c>
      <c r="G11" s="773">
        <v>4</v>
      </c>
      <c r="H11" s="775">
        <v>5</v>
      </c>
      <c r="I11" s="773">
        <v>6</v>
      </c>
      <c r="J11" s="819">
        <v>7</v>
      </c>
      <c r="K11" s="820">
        <v>8</v>
      </c>
      <c r="L11" s="821"/>
      <c r="M11" s="822"/>
      <c r="N11" s="822"/>
      <c r="O11" s="822"/>
      <c r="P11" s="822"/>
      <c r="Q11" s="822"/>
      <c r="R11" s="822"/>
      <c r="S11" s="822"/>
      <c r="T11" s="822"/>
      <c r="U11" s="822"/>
      <c r="V11" s="822"/>
      <c r="W11" s="822"/>
      <c r="X11" s="845"/>
    </row>
    <row r="12" ht="21" customHeight="1" spans="1:24">
      <c r="A12" s="770"/>
      <c r="B12" s="776">
        <v>0</v>
      </c>
      <c r="C12" s="777">
        <v>0</v>
      </c>
      <c r="D12" s="778">
        <v>0</v>
      </c>
      <c r="E12" s="778">
        <v>0</v>
      </c>
      <c r="F12" s="779">
        <v>1</v>
      </c>
      <c r="G12" s="778">
        <v>1</v>
      </c>
      <c r="H12" s="780">
        <v>2</v>
      </c>
      <c r="I12" s="778">
        <v>3</v>
      </c>
      <c r="J12" s="823">
        <v>4</v>
      </c>
      <c r="K12" s="824">
        <v>7</v>
      </c>
      <c r="L12" s="279" t="str">
        <f>_xlfn.DISPIMG("ID_D3C930F20C8E48D49E9B47BEAF6DA7D3",1)</f>
        <v>=DISPIMG("ID_D3C930F20C8E48D49E9B47BEAF6DA7D3",1)</v>
      </c>
      <c r="M12" s="280"/>
      <c r="N12" s="280"/>
      <c r="O12" s="280"/>
      <c r="P12" s="280"/>
      <c r="Q12" s="280" t="str">
        <f>_xlfn.DISPIMG("ID_86BA902086B846D1B702DD8B5AC807C6",1)</f>
        <v>=DISPIMG("ID_86BA902086B846D1B702DD8B5AC807C6",1)</v>
      </c>
      <c r="R12" s="280"/>
      <c r="S12" s="280"/>
      <c r="T12" s="280"/>
      <c r="U12" s="280" t="str">
        <f>_xlfn.DISPIMG("ID_3DA49205BF1948DD8EFA69CE27360F7A",1)</f>
        <v>=DISPIMG("ID_3DA49205BF1948DD8EFA69CE27360F7A",1)</v>
      </c>
      <c r="V12" s="280"/>
      <c r="W12" s="280"/>
      <c r="X12" s="281"/>
    </row>
    <row r="13" ht="21" customHeight="1" spans="1:24">
      <c r="A13" s="770"/>
      <c r="B13" s="781">
        <v>1</v>
      </c>
      <c r="C13" s="782">
        <v>0</v>
      </c>
      <c r="D13" s="783">
        <v>0</v>
      </c>
      <c r="E13" s="783">
        <v>0</v>
      </c>
      <c r="F13" s="784">
        <v>1</v>
      </c>
      <c r="G13" s="783">
        <v>1</v>
      </c>
      <c r="H13" s="785">
        <v>2</v>
      </c>
      <c r="I13" s="783">
        <v>3</v>
      </c>
      <c r="J13" s="825">
        <v>4</v>
      </c>
      <c r="K13" s="826">
        <v>7</v>
      </c>
      <c r="L13" s="279"/>
      <c r="M13" s="280"/>
      <c r="N13" s="280"/>
      <c r="O13" s="280"/>
      <c r="P13" s="280"/>
      <c r="Q13" s="280"/>
      <c r="R13" s="280"/>
      <c r="S13" s="280"/>
      <c r="T13" s="280"/>
      <c r="U13" s="280"/>
      <c r="V13" s="280"/>
      <c r="W13" s="280"/>
      <c r="X13" s="281"/>
    </row>
    <row r="14" ht="21" customHeight="1" spans="1:24">
      <c r="A14" s="770"/>
      <c r="B14" s="781">
        <v>2</v>
      </c>
      <c r="C14" s="782">
        <v>0</v>
      </c>
      <c r="D14" s="783">
        <v>0</v>
      </c>
      <c r="E14" s="783">
        <v>1</v>
      </c>
      <c r="F14" s="784">
        <v>1</v>
      </c>
      <c r="G14" s="783">
        <v>2</v>
      </c>
      <c r="H14" s="785">
        <v>2</v>
      </c>
      <c r="I14" s="783">
        <v>3</v>
      </c>
      <c r="J14" s="825">
        <v>4</v>
      </c>
      <c r="K14" s="826">
        <v>7</v>
      </c>
      <c r="L14" s="279"/>
      <c r="M14" s="280"/>
      <c r="N14" s="280"/>
      <c r="O14" s="280"/>
      <c r="P14" s="280"/>
      <c r="Q14" s="280"/>
      <c r="R14" s="280"/>
      <c r="S14" s="280"/>
      <c r="T14" s="280"/>
      <c r="U14" s="280"/>
      <c r="V14" s="280"/>
      <c r="W14" s="280"/>
      <c r="X14" s="281"/>
    </row>
    <row r="15" ht="21" customHeight="1" spans="1:24">
      <c r="A15" s="770"/>
      <c r="B15" s="781">
        <v>3</v>
      </c>
      <c r="C15" s="782">
        <v>0</v>
      </c>
      <c r="D15" s="783">
        <v>0</v>
      </c>
      <c r="E15" s="783">
        <v>1</v>
      </c>
      <c r="F15" s="784">
        <v>1</v>
      </c>
      <c r="G15" s="783">
        <v>2</v>
      </c>
      <c r="H15" s="785">
        <v>2</v>
      </c>
      <c r="I15" s="783">
        <v>3</v>
      </c>
      <c r="J15" s="825">
        <v>5</v>
      </c>
      <c r="K15" s="826">
        <v>7</v>
      </c>
      <c r="L15" s="279"/>
      <c r="M15" s="280"/>
      <c r="N15" s="280"/>
      <c r="O15" s="280"/>
      <c r="P15" s="280"/>
      <c r="Q15" s="280"/>
      <c r="R15" s="280"/>
      <c r="S15" s="280"/>
      <c r="T15" s="280"/>
      <c r="U15" s="280"/>
      <c r="V15" s="280"/>
      <c r="W15" s="280"/>
      <c r="X15" s="281"/>
    </row>
    <row r="16" ht="21" customHeight="1" spans="1:24">
      <c r="A16" s="770"/>
      <c r="B16" s="786">
        <v>4</v>
      </c>
      <c r="C16" s="787">
        <v>0</v>
      </c>
      <c r="D16" s="788">
        <v>1</v>
      </c>
      <c r="E16" s="788">
        <v>1</v>
      </c>
      <c r="F16" s="789">
        <v>1</v>
      </c>
      <c r="G16" s="788">
        <v>2</v>
      </c>
      <c r="H16" s="790">
        <v>3</v>
      </c>
      <c r="I16" s="788">
        <v>4</v>
      </c>
      <c r="J16" s="827">
        <v>5</v>
      </c>
      <c r="K16" s="828">
        <v>7</v>
      </c>
      <c r="L16" s="279"/>
      <c r="M16" s="280"/>
      <c r="N16" s="280"/>
      <c r="O16" s="280"/>
      <c r="P16" s="280"/>
      <c r="Q16" s="280"/>
      <c r="R16" s="280"/>
      <c r="S16" s="280"/>
      <c r="T16" s="280"/>
      <c r="U16" s="280"/>
      <c r="V16" s="280"/>
      <c r="W16" s="280"/>
      <c r="X16" s="281"/>
    </row>
    <row r="17" ht="21" customHeight="1" spans="1:24">
      <c r="A17" s="770"/>
      <c r="B17" s="786">
        <v>5</v>
      </c>
      <c r="C17" s="787">
        <v>1</v>
      </c>
      <c r="D17" s="788">
        <v>1</v>
      </c>
      <c r="E17" s="788">
        <v>1</v>
      </c>
      <c r="F17" s="789">
        <v>2</v>
      </c>
      <c r="G17" s="788">
        <v>2</v>
      </c>
      <c r="H17" s="790">
        <v>3</v>
      </c>
      <c r="I17" s="788">
        <v>4</v>
      </c>
      <c r="J17" s="827">
        <v>5</v>
      </c>
      <c r="K17" s="828">
        <v>8</v>
      </c>
      <c r="L17" s="279"/>
      <c r="M17" s="280"/>
      <c r="N17" s="280"/>
      <c r="O17" s="280"/>
      <c r="P17" s="280"/>
      <c r="Q17" s="280"/>
      <c r="R17" s="280"/>
      <c r="S17" s="280"/>
      <c r="T17" s="280"/>
      <c r="U17" s="280"/>
      <c r="V17" s="280"/>
      <c r="W17" s="280"/>
      <c r="X17" s="281"/>
    </row>
    <row r="18" ht="21" customHeight="1" spans="1:24">
      <c r="A18" s="770"/>
      <c r="B18" s="791">
        <v>6</v>
      </c>
      <c r="C18" s="792">
        <v>1</v>
      </c>
      <c r="D18" s="793">
        <v>1</v>
      </c>
      <c r="E18" s="793">
        <v>2</v>
      </c>
      <c r="F18" s="794">
        <v>2</v>
      </c>
      <c r="G18" s="793">
        <v>3</v>
      </c>
      <c r="H18" s="795">
        <v>3</v>
      </c>
      <c r="I18" s="793">
        <v>5</v>
      </c>
      <c r="J18" s="829">
        <v>6</v>
      </c>
      <c r="K18" s="830">
        <v>8</v>
      </c>
      <c r="L18" s="279"/>
      <c r="M18" s="280"/>
      <c r="N18" s="280"/>
      <c r="O18" s="280"/>
      <c r="P18" s="280"/>
      <c r="Q18" s="280"/>
      <c r="R18" s="280"/>
      <c r="S18" s="280"/>
      <c r="T18" s="280"/>
      <c r="U18" s="280"/>
      <c r="V18" s="280"/>
      <c r="W18" s="280"/>
      <c r="X18" s="281"/>
    </row>
    <row r="19" ht="21" customHeight="1" spans="1:24">
      <c r="A19" s="770"/>
      <c r="B19" s="791">
        <v>7</v>
      </c>
      <c r="C19" s="792">
        <v>1</v>
      </c>
      <c r="D19" s="793">
        <v>2</v>
      </c>
      <c r="E19" s="793">
        <v>2</v>
      </c>
      <c r="F19" s="794">
        <v>3</v>
      </c>
      <c r="G19" s="793">
        <v>3</v>
      </c>
      <c r="H19" s="795">
        <v>4</v>
      </c>
      <c r="I19" s="793">
        <v>5</v>
      </c>
      <c r="J19" s="829">
        <v>6</v>
      </c>
      <c r="K19" s="830">
        <v>8</v>
      </c>
      <c r="L19" s="279"/>
      <c r="M19" s="280"/>
      <c r="N19" s="280"/>
      <c r="O19" s="280"/>
      <c r="P19" s="280"/>
      <c r="Q19" s="280"/>
      <c r="R19" s="280"/>
      <c r="S19" s="280"/>
      <c r="T19" s="280"/>
      <c r="U19" s="280"/>
      <c r="V19" s="280"/>
      <c r="W19" s="280"/>
      <c r="X19" s="281"/>
    </row>
    <row r="20" ht="21" customHeight="1" spans="1:24">
      <c r="A20" s="770"/>
      <c r="B20" s="796">
        <v>8</v>
      </c>
      <c r="C20" s="787">
        <v>3</v>
      </c>
      <c r="D20" s="788">
        <v>3</v>
      </c>
      <c r="E20" s="788">
        <v>3</v>
      </c>
      <c r="F20" s="789">
        <v>4</v>
      </c>
      <c r="G20" s="788">
        <v>4</v>
      </c>
      <c r="H20" s="790">
        <v>5</v>
      </c>
      <c r="I20" s="788">
        <v>6</v>
      </c>
      <c r="J20" s="827">
        <v>7</v>
      </c>
      <c r="K20" s="828">
        <v>10</v>
      </c>
      <c r="L20" s="283"/>
      <c r="M20" s="284"/>
      <c r="N20" s="284"/>
      <c r="O20" s="284"/>
      <c r="P20" s="284"/>
      <c r="Q20" s="284"/>
      <c r="R20" s="284"/>
      <c r="S20" s="284"/>
      <c r="T20" s="284"/>
      <c r="U20" s="284"/>
      <c r="V20" s="284"/>
      <c r="W20" s="284"/>
      <c r="X20" s="285"/>
    </row>
    <row r="21" ht="21" customHeight="1" spans="1:24">
      <c r="A21" s="45"/>
      <c r="B21" s="46"/>
      <c r="C21" s="46"/>
      <c r="D21" s="46"/>
      <c r="E21" s="46"/>
      <c r="F21" s="46"/>
      <c r="G21" s="46"/>
      <c r="H21" s="46"/>
      <c r="I21" s="46"/>
      <c r="J21" s="46"/>
      <c r="K21" s="46"/>
      <c r="L21" s="46"/>
      <c r="M21" s="46"/>
      <c r="N21" s="46"/>
      <c r="O21" s="46"/>
      <c r="P21" s="46"/>
      <c r="Q21" s="46"/>
      <c r="R21" s="46"/>
      <c r="S21" s="46"/>
      <c r="T21" s="46"/>
      <c r="U21" s="46"/>
      <c r="V21" s="46"/>
      <c r="W21" s="46"/>
      <c r="X21" s="252"/>
    </row>
    <row r="22" ht="44" customHeight="1" spans="1:24">
      <c r="A22" s="375" t="str">
        <f>_xlfn.DISPIMG("ID_5444D46B96A1420A95D61AE809EA476B",1)</f>
        <v>=DISPIMG("ID_5444D46B96A1420A95D61AE809EA476B",1)</v>
      </c>
      <c r="B22" s="409" t="str">
        <f>_xlfn.DISPIMG("ID_C1D7B187309E401790B89A459AE0A950",1)</f>
        <v>=DISPIMG("ID_C1D7B187309E401790B89A459AE0A950",1)</v>
      </c>
      <c r="C22" s="409" t="str">
        <f>_xlfn.DISPIMG("ID_A208655891194282B9CB922F8C253AC0",1)</f>
        <v>=DISPIMG("ID_A208655891194282B9CB922F8C253AC0",1)</v>
      </c>
      <c r="D22" s="409" t="str">
        <f>_xlfn.DISPIMG("ID_777FEAF4FAE848988730AD2CAFE1DB1E",1)</f>
        <v>=DISPIMG("ID_777FEAF4FAE848988730AD2CAFE1DB1E",1)</v>
      </c>
      <c r="E22" s="797" t="str">
        <f>_xlfn.DISPIMG("ID_91273419955D4FB0BF032A671F5179D6",1)</f>
        <v>=DISPIMG("ID_91273419955D4FB0BF032A671F5179D6",1)</v>
      </c>
      <c r="F22" s="798"/>
      <c r="G22" s="799" t="s">
        <v>601</v>
      </c>
      <c r="H22" s="800"/>
      <c r="I22" s="800"/>
      <c r="J22" s="800"/>
      <c r="K22" s="800"/>
      <c r="L22" s="800"/>
      <c r="M22" s="800"/>
      <c r="N22" s="800"/>
      <c r="O22" s="831"/>
      <c r="P22" s="168" t="s">
        <v>602</v>
      </c>
      <c r="Q22" s="253"/>
      <c r="R22" s="253"/>
      <c r="S22" s="253"/>
      <c r="T22" s="253"/>
      <c r="U22" s="253"/>
      <c r="V22" s="253"/>
      <c r="W22" s="253"/>
      <c r="X22" s="254"/>
    </row>
    <row r="23" ht="21" customHeight="1" spans="1:24">
      <c r="A23" s="714"/>
      <c r="B23" s="715"/>
      <c r="C23" s="715"/>
      <c r="D23" s="715"/>
      <c r="E23" s="715"/>
      <c r="F23" s="715"/>
      <c r="G23" s="715"/>
      <c r="H23" s="715"/>
      <c r="I23" s="715"/>
      <c r="J23" s="715"/>
      <c r="K23" s="715"/>
      <c r="L23" s="715"/>
      <c r="M23" s="715"/>
      <c r="N23" s="715"/>
      <c r="O23" s="715"/>
      <c r="P23" s="715"/>
      <c r="Q23" s="715"/>
      <c r="R23" s="715"/>
      <c r="S23" s="715"/>
      <c r="T23" s="715"/>
      <c r="U23" s="715"/>
      <c r="V23" s="715"/>
      <c r="W23" s="715"/>
      <c r="X23" s="749"/>
    </row>
    <row r="24" ht="21" customHeight="1" spans="1:24">
      <c r="A24" s="21" t="s">
        <v>8</v>
      </c>
      <c r="B24" s="22"/>
      <c r="C24" s="23">
        <v>0</v>
      </c>
      <c r="D24" s="24">
        <v>1</v>
      </c>
      <c r="E24" s="24">
        <v>2</v>
      </c>
      <c r="F24" s="24">
        <v>3</v>
      </c>
      <c r="G24" s="24">
        <v>4</v>
      </c>
      <c r="H24" s="24">
        <v>5</v>
      </c>
      <c r="I24" s="24">
        <v>6</v>
      </c>
      <c r="J24" s="24">
        <v>7</v>
      </c>
      <c r="K24" s="135">
        <v>8</v>
      </c>
      <c r="L24" s="136">
        <v>9</v>
      </c>
      <c r="M24" s="137"/>
      <c r="N24" s="138"/>
      <c r="O24" s="139">
        <v>10</v>
      </c>
      <c r="P24" s="140">
        <v>11</v>
      </c>
      <c r="Q24" s="236">
        <v>12</v>
      </c>
      <c r="R24" s="236"/>
      <c r="S24" s="236"/>
      <c r="T24" s="139">
        <v>13</v>
      </c>
      <c r="U24" s="237">
        <v>14</v>
      </c>
      <c r="V24" s="140">
        <v>15</v>
      </c>
      <c r="W24" s="137">
        <v>16</v>
      </c>
      <c r="X24" s="138"/>
    </row>
    <row r="25" ht="21" customHeight="1" spans="1:24">
      <c r="A25" s="73" t="s">
        <v>603</v>
      </c>
      <c r="B25" s="74"/>
      <c r="C25" s="75">
        <v>10</v>
      </c>
      <c r="D25" s="76">
        <v>12</v>
      </c>
      <c r="E25" s="76">
        <v>14</v>
      </c>
      <c r="F25" s="76">
        <v>16</v>
      </c>
      <c r="G25" s="76">
        <v>18</v>
      </c>
      <c r="H25" s="76">
        <v>20</v>
      </c>
      <c r="I25" s="76">
        <v>22</v>
      </c>
      <c r="J25" s="76">
        <v>26</v>
      </c>
      <c r="K25" s="182">
        <v>32</v>
      </c>
      <c r="L25" s="183"/>
      <c r="M25" s="159">
        <v>40</v>
      </c>
      <c r="N25" s="184"/>
      <c r="O25" s="161">
        <v>55</v>
      </c>
      <c r="P25" s="162">
        <v>70</v>
      </c>
      <c r="Q25" s="184"/>
      <c r="R25" s="247">
        <v>85</v>
      </c>
      <c r="S25" s="184"/>
      <c r="T25" s="161">
        <v>100</v>
      </c>
      <c r="U25" s="248">
        <v>115</v>
      </c>
      <c r="V25" s="162">
        <v>130</v>
      </c>
      <c r="W25" s="261"/>
      <c r="X25" s="250">
        <v>145</v>
      </c>
    </row>
    <row r="26" ht="21" customHeight="1" spans="1:24">
      <c r="A26" s="25" t="s">
        <v>604</v>
      </c>
      <c r="B26" s="26"/>
      <c r="C26" s="27">
        <v>11</v>
      </c>
      <c r="D26" s="28">
        <v>13</v>
      </c>
      <c r="E26" s="28">
        <v>15</v>
      </c>
      <c r="F26" s="28">
        <v>18</v>
      </c>
      <c r="G26" s="28">
        <v>20</v>
      </c>
      <c r="H26" s="28">
        <v>22</v>
      </c>
      <c r="I26" s="28">
        <v>24</v>
      </c>
      <c r="J26" s="28">
        <v>29</v>
      </c>
      <c r="K26" s="141">
        <v>35</v>
      </c>
      <c r="L26" s="142"/>
      <c r="M26" s="143">
        <v>44</v>
      </c>
      <c r="N26" s="144"/>
      <c r="O26" s="145">
        <v>61</v>
      </c>
      <c r="P26" s="146">
        <v>77</v>
      </c>
      <c r="Q26" s="144"/>
      <c r="R26" s="238">
        <v>94</v>
      </c>
      <c r="S26" s="144"/>
      <c r="T26" s="145">
        <v>110</v>
      </c>
      <c r="U26" s="239">
        <v>127</v>
      </c>
      <c r="V26" s="146">
        <v>143</v>
      </c>
      <c r="W26" s="240"/>
      <c r="X26" s="241">
        <v>163</v>
      </c>
    </row>
    <row r="27" ht="21" customHeight="1" spans="1:24">
      <c r="A27" s="456" t="s">
        <v>605</v>
      </c>
      <c r="B27" s="30"/>
      <c r="C27" s="53">
        <f t="shared" ref="C27:K27" si="3">INT(C26*1.05)</f>
        <v>11</v>
      </c>
      <c r="D27" s="54">
        <f t="shared" si="3"/>
        <v>13</v>
      </c>
      <c r="E27" s="54">
        <f t="shared" si="3"/>
        <v>15</v>
      </c>
      <c r="F27" s="54">
        <f t="shared" si="3"/>
        <v>18</v>
      </c>
      <c r="G27" s="54">
        <f t="shared" si="3"/>
        <v>21</v>
      </c>
      <c r="H27" s="54">
        <f t="shared" si="3"/>
        <v>23</v>
      </c>
      <c r="I27" s="54">
        <f t="shared" si="3"/>
        <v>25</v>
      </c>
      <c r="J27" s="54">
        <f t="shared" si="3"/>
        <v>30</v>
      </c>
      <c r="K27" s="169">
        <f t="shared" si="3"/>
        <v>36</v>
      </c>
      <c r="L27" s="170"/>
      <c r="M27" s="149">
        <f t="shared" ref="M27:P27" si="4">INT(M26*1.05)</f>
        <v>46</v>
      </c>
      <c r="N27" s="150"/>
      <c r="O27" s="151">
        <f t="shared" si="4"/>
        <v>64</v>
      </c>
      <c r="P27" s="152">
        <f t="shared" si="4"/>
        <v>80</v>
      </c>
      <c r="Q27" s="150"/>
      <c r="R27" s="242">
        <f t="shared" ref="R27:V27" si="5">INT(R26*1.05)</f>
        <v>98</v>
      </c>
      <c r="S27" s="150"/>
      <c r="T27" s="151">
        <f t="shared" si="5"/>
        <v>115</v>
      </c>
      <c r="U27" s="243">
        <f t="shared" si="5"/>
        <v>133</v>
      </c>
      <c r="V27" s="152">
        <f t="shared" si="5"/>
        <v>150</v>
      </c>
      <c r="W27" s="244"/>
      <c r="X27" s="245">
        <f>INT(X26*1.05)</f>
        <v>171</v>
      </c>
    </row>
    <row r="28" ht="21" customHeight="1" spans="1:24">
      <c r="A28" s="25" t="s">
        <v>606</v>
      </c>
      <c r="B28" s="26"/>
      <c r="C28" s="27">
        <v>12</v>
      </c>
      <c r="D28" s="28">
        <v>14</v>
      </c>
      <c r="E28" s="28">
        <v>17</v>
      </c>
      <c r="F28" s="28">
        <v>19</v>
      </c>
      <c r="G28" s="28">
        <v>22</v>
      </c>
      <c r="H28" s="28">
        <v>24</v>
      </c>
      <c r="I28" s="28">
        <v>26</v>
      </c>
      <c r="J28" s="28">
        <v>31</v>
      </c>
      <c r="K28" s="141">
        <v>38</v>
      </c>
      <c r="L28" s="142"/>
      <c r="M28" s="143">
        <v>48</v>
      </c>
      <c r="N28" s="144"/>
      <c r="O28" s="145">
        <v>66</v>
      </c>
      <c r="P28" s="146">
        <v>84</v>
      </c>
      <c r="Q28" s="144"/>
      <c r="R28" s="238">
        <v>102</v>
      </c>
      <c r="S28" s="144"/>
      <c r="T28" s="145">
        <v>120</v>
      </c>
      <c r="U28" s="239">
        <v>138</v>
      </c>
      <c r="V28" s="146">
        <v>156</v>
      </c>
      <c r="W28" s="240"/>
      <c r="X28" s="241">
        <v>176</v>
      </c>
    </row>
    <row r="29" ht="21" customHeight="1" spans="1:24">
      <c r="A29" s="74" t="s">
        <v>607</v>
      </c>
      <c r="B29" s="482"/>
      <c r="C29" s="39">
        <v>10</v>
      </c>
      <c r="D29" s="40">
        <v>12</v>
      </c>
      <c r="E29" s="40">
        <v>14</v>
      </c>
      <c r="F29" s="40">
        <v>16</v>
      </c>
      <c r="G29" s="40">
        <v>19</v>
      </c>
      <c r="H29" s="40">
        <v>22</v>
      </c>
      <c r="I29" s="40">
        <v>25</v>
      </c>
      <c r="J29" s="40">
        <v>30</v>
      </c>
      <c r="K29" s="157">
        <v>40</v>
      </c>
      <c r="L29" s="158"/>
      <c r="M29" s="159">
        <v>50</v>
      </c>
      <c r="N29" s="160"/>
      <c r="O29" s="161">
        <v>65</v>
      </c>
      <c r="P29" s="162">
        <v>80</v>
      </c>
      <c r="Q29" s="160"/>
      <c r="R29" s="247">
        <v>95</v>
      </c>
      <c r="S29" s="160"/>
      <c r="T29" s="161">
        <v>115</v>
      </c>
      <c r="U29" s="248">
        <v>135</v>
      </c>
      <c r="V29" s="162">
        <v>155</v>
      </c>
      <c r="W29" s="249"/>
      <c r="X29" s="250">
        <v>185</v>
      </c>
    </row>
    <row r="30" ht="21" customHeight="1" spans="1:24">
      <c r="A30" s="25" t="s">
        <v>608</v>
      </c>
      <c r="B30" s="26"/>
      <c r="C30" s="35">
        <v>15</v>
      </c>
      <c r="D30" s="36">
        <v>18</v>
      </c>
      <c r="E30" s="36">
        <v>21</v>
      </c>
      <c r="F30" s="36">
        <v>24</v>
      </c>
      <c r="G30" s="36">
        <v>27</v>
      </c>
      <c r="H30" s="36">
        <v>30</v>
      </c>
      <c r="I30" s="36">
        <v>33</v>
      </c>
      <c r="J30" s="36">
        <v>36</v>
      </c>
      <c r="K30" s="153">
        <v>42</v>
      </c>
      <c r="L30" s="154"/>
      <c r="M30" s="155">
        <v>52</v>
      </c>
      <c r="N30" s="156"/>
      <c r="O30" s="145">
        <v>70</v>
      </c>
      <c r="P30" s="146">
        <v>88</v>
      </c>
      <c r="Q30" s="156"/>
      <c r="R30" s="238">
        <v>108</v>
      </c>
      <c r="S30" s="156"/>
      <c r="T30" s="145">
        <v>126</v>
      </c>
      <c r="U30" s="239">
        <v>146</v>
      </c>
      <c r="V30" s="146">
        <v>166</v>
      </c>
      <c r="W30" s="246"/>
      <c r="X30" s="241">
        <v>190</v>
      </c>
    </row>
    <row r="31" ht="21" customHeight="1" spans="1:24">
      <c r="A31" s="59" t="s">
        <v>586</v>
      </c>
      <c r="B31" s="60"/>
      <c r="C31" s="61">
        <v>0</v>
      </c>
      <c r="D31" s="62">
        <v>1</v>
      </c>
      <c r="E31" s="62">
        <v>2</v>
      </c>
      <c r="F31" s="63">
        <v>3</v>
      </c>
      <c r="G31" s="62">
        <v>4</v>
      </c>
      <c r="H31" s="64">
        <v>5</v>
      </c>
      <c r="I31" s="62">
        <v>6</v>
      </c>
      <c r="J31" s="174">
        <v>7</v>
      </c>
      <c r="K31" s="175">
        <v>8</v>
      </c>
      <c r="L31" s="832" t="s">
        <v>609</v>
      </c>
      <c r="M31" s="833"/>
      <c r="N31" s="833"/>
      <c r="O31" s="833"/>
      <c r="P31" s="833"/>
      <c r="Q31" s="833"/>
      <c r="R31" s="833"/>
      <c r="S31" s="833"/>
      <c r="T31" s="833"/>
      <c r="U31" s="833"/>
      <c r="V31" s="833"/>
      <c r="W31" s="833"/>
      <c r="X31" s="846"/>
    </row>
    <row r="32" ht="21" customHeight="1" spans="1:24">
      <c r="A32" s="65" t="s">
        <v>603</v>
      </c>
      <c r="B32" s="65"/>
      <c r="C32" s="66">
        <v>50</v>
      </c>
      <c r="D32" s="67">
        <v>47</v>
      </c>
      <c r="E32" s="67">
        <v>44</v>
      </c>
      <c r="F32" s="93">
        <v>41</v>
      </c>
      <c r="G32" s="67">
        <v>37</v>
      </c>
      <c r="H32" s="69">
        <v>33</v>
      </c>
      <c r="I32" s="67">
        <v>29</v>
      </c>
      <c r="J32" s="178">
        <v>24</v>
      </c>
      <c r="K32" s="378">
        <v>19</v>
      </c>
      <c r="L32" s="86" t="s">
        <v>610</v>
      </c>
      <c r="M32" s="205"/>
      <c r="N32" s="205"/>
      <c r="O32" s="205"/>
      <c r="P32" s="205"/>
      <c r="Q32" s="205"/>
      <c r="R32" s="205"/>
      <c r="S32" s="205"/>
      <c r="T32" s="205"/>
      <c r="U32" s="205"/>
      <c r="V32" s="205"/>
      <c r="W32" s="205"/>
      <c r="X32" s="276"/>
    </row>
    <row r="33" ht="21" customHeight="1" spans="1:24">
      <c r="A33" s="25" t="s">
        <v>604</v>
      </c>
      <c r="B33" s="25"/>
      <c r="C33" s="41">
        <v>3.5</v>
      </c>
      <c r="D33" s="42">
        <v>3.45</v>
      </c>
      <c r="E33" s="42">
        <v>3.4</v>
      </c>
      <c r="F33" s="43">
        <v>3.35</v>
      </c>
      <c r="G33" s="42">
        <v>3.3</v>
      </c>
      <c r="H33" s="44">
        <v>3.25</v>
      </c>
      <c r="I33" s="42">
        <v>3.2</v>
      </c>
      <c r="J33" s="163">
        <v>3.15</v>
      </c>
      <c r="K33" s="575">
        <v>2.9</v>
      </c>
      <c r="L33" s="176" t="s">
        <v>611</v>
      </c>
      <c r="M33" s="177"/>
      <c r="N33" s="177"/>
      <c r="O33" s="177"/>
      <c r="P33" s="177"/>
      <c r="Q33" s="177"/>
      <c r="R33" s="177"/>
      <c r="S33" s="177"/>
      <c r="T33" s="177"/>
      <c r="U33" s="177"/>
      <c r="V33" s="177"/>
      <c r="W33" s="177"/>
      <c r="X33" s="258"/>
    </row>
    <row r="34" ht="21" customHeight="1" spans="1:24">
      <c r="A34" s="617" t="s">
        <v>606</v>
      </c>
      <c r="B34" s="617"/>
      <c r="C34" s="618">
        <v>3.5</v>
      </c>
      <c r="D34" s="619">
        <v>3.45</v>
      </c>
      <c r="E34" s="619">
        <v>3.4</v>
      </c>
      <c r="F34" s="620">
        <v>3.35</v>
      </c>
      <c r="G34" s="619">
        <v>3.3</v>
      </c>
      <c r="H34" s="621">
        <v>3.25</v>
      </c>
      <c r="I34" s="619">
        <v>3.2</v>
      </c>
      <c r="J34" s="659">
        <v>3.15</v>
      </c>
      <c r="K34" s="687">
        <v>2.9</v>
      </c>
      <c r="L34" s="176" t="s">
        <v>612</v>
      </c>
      <c r="M34" s="177"/>
      <c r="N34" s="177"/>
      <c r="O34" s="177"/>
      <c r="P34" s="177"/>
      <c r="Q34" s="177"/>
      <c r="R34" s="177"/>
      <c r="S34" s="177"/>
      <c r="T34" s="177"/>
      <c r="U34" s="177"/>
      <c r="V34" s="177"/>
      <c r="W34" s="177"/>
      <c r="X34" s="258"/>
    </row>
    <row r="35" ht="21" customHeight="1" spans="1:24">
      <c r="A35" s="25" t="s">
        <v>607</v>
      </c>
      <c r="B35" s="25"/>
      <c r="C35" s="41">
        <v>3.1</v>
      </c>
      <c r="D35" s="42">
        <v>3.05</v>
      </c>
      <c r="E35" s="42">
        <v>3</v>
      </c>
      <c r="F35" s="43">
        <v>2.95</v>
      </c>
      <c r="G35" s="42">
        <v>2.9</v>
      </c>
      <c r="H35" s="44">
        <v>2.85</v>
      </c>
      <c r="I35" s="42">
        <v>2.8</v>
      </c>
      <c r="J35" s="163">
        <v>2.75</v>
      </c>
      <c r="K35" s="575">
        <v>2.5</v>
      </c>
      <c r="L35" s="176" t="s">
        <v>613</v>
      </c>
      <c r="M35" s="177"/>
      <c r="N35" s="177"/>
      <c r="O35" s="177"/>
      <c r="P35" s="177"/>
      <c r="Q35" s="177"/>
      <c r="R35" s="177"/>
      <c r="S35" s="177"/>
      <c r="T35" s="177"/>
      <c r="U35" s="177"/>
      <c r="V35" s="177"/>
      <c r="W35" s="177"/>
      <c r="X35" s="258"/>
    </row>
    <row r="36" ht="21" customHeight="1" spans="1:24">
      <c r="A36" s="617" t="s">
        <v>608</v>
      </c>
      <c r="B36" s="617"/>
      <c r="C36" s="618">
        <v>3.4</v>
      </c>
      <c r="D36" s="619">
        <v>3.35</v>
      </c>
      <c r="E36" s="619">
        <v>3.3</v>
      </c>
      <c r="F36" s="620">
        <v>3.25</v>
      </c>
      <c r="G36" s="619">
        <v>3.2</v>
      </c>
      <c r="H36" s="621">
        <v>3.15</v>
      </c>
      <c r="I36" s="619">
        <v>3.1</v>
      </c>
      <c r="J36" s="178">
        <v>2.95</v>
      </c>
      <c r="K36" s="378">
        <v>2.8</v>
      </c>
      <c r="L36" s="86" t="s">
        <v>614</v>
      </c>
      <c r="M36" s="205"/>
      <c r="N36" s="205"/>
      <c r="O36" s="205"/>
      <c r="P36" s="205"/>
      <c r="Q36" s="205"/>
      <c r="R36" s="205"/>
      <c r="S36" s="205"/>
      <c r="T36" s="205"/>
      <c r="U36" s="205"/>
      <c r="V36" s="205"/>
      <c r="W36" s="205"/>
      <c r="X36" s="276"/>
    </row>
    <row r="37" ht="21" customHeight="1" spans="1:24">
      <c r="A37" s="45"/>
      <c r="B37" s="46"/>
      <c r="C37" s="46"/>
      <c r="D37" s="46"/>
      <c r="E37" s="46"/>
      <c r="F37" s="46"/>
      <c r="G37" s="46"/>
      <c r="H37" s="46"/>
      <c r="I37" s="46"/>
      <c r="J37" s="106"/>
      <c r="K37" s="106"/>
      <c r="L37" s="106"/>
      <c r="M37" s="106"/>
      <c r="N37" s="106"/>
      <c r="O37" s="106"/>
      <c r="P37" s="106"/>
      <c r="Q37" s="106"/>
      <c r="R37" s="106"/>
      <c r="S37" s="106"/>
      <c r="T37" s="106"/>
      <c r="U37" s="106"/>
      <c r="V37" s="106"/>
      <c r="W37" s="46"/>
      <c r="X37" s="252"/>
    </row>
    <row r="38" ht="44" customHeight="1" spans="1:24">
      <c r="A38" s="375" t="str">
        <f>_xlfn.DISPIMG("ID_23668A1C1FD14BD78069361FF7427053",1)</f>
        <v>=DISPIMG("ID_23668A1C1FD14BD78069361FF7427053",1)</v>
      </c>
      <c r="B38" s="409" t="str">
        <f>_xlfn.DISPIMG("ID_262E507FC95142689666AC0C5085B6B9",1)</f>
        <v>=DISPIMG("ID_262E507FC95142689666AC0C5085B6B9",1)</v>
      </c>
      <c r="C38" s="409" t="str">
        <f>_xlfn.DISPIMG("ID_F323EB6D7B694AB7ADAD08FC4766F623",1)</f>
        <v>=DISPIMG("ID_F323EB6D7B694AB7ADAD08FC4766F623",1)</v>
      </c>
      <c r="D38" s="409" t="str">
        <f>_xlfn.DISPIMG("ID_A655EABD8E0E4ED1B7EDD3BE8EF922CE",1)</f>
        <v>=DISPIMG("ID_A655EABD8E0E4ED1B7EDD3BE8EF922CE",1)</v>
      </c>
      <c r="E38" s="409" t="str">
        <f>_xlfn.DISPIMG("ID_D2698BAAFCC54EC7B263162755DC2686",1)</f>
        <v>=DISPIMG("ID_D2698BAAFCC54EC7B263162755DC2686",1)</v>
      </c>
      <c r="F38" s="410" t="str">
        <f>_xlfn.DISPIMG("ID_F6681A7E5482490EBA543C6770FEBB48",1)</f>
        <v>=DISPIMG("ID_F6681A7E5482490EBA543C6770FEBB48",1)</v>
      </c>
      <c r="G38" s="801" t="s">
        <v>615</v>
      </c>
      <c r="H38" s="802"/>
      <c r="I38" s="802"/>
      <c r="J38" s="802"/>
      <c r="K38" s="802"/>
      <c r="L38" s="802"/>
      <c r="M38" s="802"/>
      <c r="N38" s="802"/>
      <c r="O38" s="834"/>
      <c r="P38" s="181" t="s">
        <v>616</v>
      </c>
      <c r="Q38" s="847"/>
      <c r="R38" s="847"/>
      <c r="S38" s="847"/>
      <c r="T38" s="847"/>
      <c r="U38" s="847"/>
      <c r="V38" s="847"/>
      <c r="W38" s="847"/>
      <c r="X38" s="848"/>
    </row>
    <row r="39" ht="21" customHeight="1" spans="1:24">
      <c r="A39" s="714"/>
      <c r="B39" s="715"/>
      <c r="C39" s="715"/>
      <c r="D39" s="715"/>
      <c r="E39" s="715"/>
      <c r="F39" s="715"/>
      <c r="G39" s="715"/>
      <c r="H39" s="715"/>
      <c r="I39" s="715"/>
      <c r="J39" s="715"/>
      <c r="K39" s="715"/>
      <c r="L39" s="715"/>
      <c r="M39" s="715"/>
      <c r="N39" s="715"/>
      <c r="O39" s="715"/>
      <c r="P39" s="715"/>
      <c r="Q39" s="715"/>
      <c r="R39" s="715"/>
      <c r="S39" s="715"/>
      <c r="T39" s="715"/>
      <c r="U39" s="715"/>
      <c r="V39" s="715"/>
      <c r="W39" s="715"/>
      <c r="X39" s="749"/>
    </row>
    <row r="40" ht="21" customHeight="1" spans="1:24">
      <c r="A40" s="21" t="s">
        <v>8</v>
      </c>
      <c r="B40" s="22"/>
      <c r="C40" s="23">
        <v>0</v>
      </c>
      <c r="D40" s="24">
        <v>1</v>
      </c>
      <c r="E40" s="24">
        <v>2</v>
      </c>
      <c r="F40" s="24">
        <v>3</v>
      </c>
      <c r="G40" s="24">
        <v>4</v>
      </c>
      <c r="H40" s="24">
        <v>5</v>
      </c>
      <c r="I40" s="24">
        <v>6</v>
      </c>
      <c r="J40" s="24">
        <v>7</v>
      </c>
      <c r="K40" s="135">
        <v>8</v>
      </c>
      <c r="L40" s="136">
        <v>9</v>
      </c>
      <c r="M40" s="137"/>
      <c r="N40" s="138"/>
      <c r="O40" s="139">
        <v>10</v>
      </c>
      <c r="P40" s="140">
        <v>11</v>
      </c>
      <c r="Q40" s="236">
        <v>12</v>
      </c>
      <c r="R40" s="236"/>
      <c r="S40" s="236"/>
      <c r="T40" s="139">
        <v>13</v>
      </c>
      <c r="U40" s="237">
        <v>14</v>
      </c>
      <c r="V40" s="140">
        <v>15</v>
      </c>
      <c r="W40" s="137">
        <v>16</v>
      </c>
      <c r="X40" s="138"/>
    </row>
    <row r="41" ht="21" customHeight="1" spans="1:24">
      <c r="A41" s="73" t="s">
        <v>617</v>
      </c>
      <c r="B41" s="74"/>
      <c r="C41" s="321">
        <v>70</v>
      </c>
      <c r="D41" s="322">
        <v>85</v>
      </c>
      <c r="E41" s="322">
        <v>100</v>
      </c>
      <c r="F41" s="322">
        <v>115</v>
      </c>
      <c r="G41" s="322">
        <v>130</v>
      </c>
      <c r="H41" s="322">
        <v>145</v>
      </c>
      <c r="I41" s="322">
        <v>160</v>
      </c>
      <c r="J41" s="322">
        <v>175</v>
      </c>
      <c r="K41" s="361">
        <v>190</v>
      </c>
      <c r="L41" s="362"/>
      <c r="M41" s="159">
        <v>205</v>
      </c>
      <c r="N41" s="160"/>
      <c r="O41" s="161">
        <v>220</v>
      </c>
      <c r="P41" s="162">
        <v>235</v>
      </c>
      <c r="Q41" s="160"/>
      <c r="R41" s="247">
        <v>250</v>
      </c>
      <c r="S41" s="160"/>
      <c r="T41" s="161">
        <v>280</v>
      </c>
      <c r="U41" s="248">
        <v>310</v>
      </c>
      <c r="V41" s="162">
        <v>340</v>
      </c>
      <c r="W41" s="249"/>
      <c r="X41" s="250">
        <v>390</v>
      </c>
    </row>
    <row r="42" ht="21" customHeight="1" spans="1:24">
      <c r="A42" s="26" t="s">
        <v>618</v>
      </c>
      <c r="B42" s="315"/>
      <c r="C42" s="323">
        <v>120</v>
      </c>
      <c r="D42" s="324">
        <v>140</v>
      </c>
      <c r="E42" s="324">
        <v>160</v>
      </c>
      <c r="F42" s="324">
        <v>180</v>
      </c>
      <c r="G42" s="324">
        <v>200</v>
      </c>
      <c r="H42" s="324">
        <v>220</v>
      </c>
      <c r="I42" s="324">
        <v>240</v>
      </c>
      <c r="J42" s="324">
        <v>260</v>
      </c>
      <c r="K42" s="363">
        <v>280</v>
      </c>
      <c r="L42" s="364"/>
      <c r="M42" s="143">
        <v>300</v>
      </c>
      <c r="N42" s="144"/>
      <c r="O42" s="145">
        <v>340</v>
      </c>
      <c r="P42" s="146">
        <v>380</v>
      </c>
      <c r="Q42" s="144"/>
      <c r="R42" s="238">
        <v>420</v>
      </c>
      <c r="S42" s="144"/>
      <c r="T42" s="145">
        <v>460</v>
      </c>
      <c r="U42" s="239">
        <v>500</v>
      </c>
      <c r="V42" s="146">
        <v>540</v>
      </c>
      <c r="W42" s="240"/>
      <c r="X42" s="241">
        <v>590</v>
      </c>
    </row>
    <row r="43" ht="21" customHeight="1" spans="1:24">
      <c r="A43" s="73" t="s">
        <v>619</v>
      </c>
      <c r="B43" s="74"/>
      <c r="C43" s="110">
        <v>120</v>
      </c>
      <c r="D43" s="130">
        <v>140</v>
      </c>
      <c r="E43" s="130">
        <v>160</v>
      </c>
      <c r="F43" s="130">
        <v>180</v>
      </c>
      <c r="G43" s="130">
        <v>200</v>
      </c>
      <c r="H43" s="130">
        <v>220</v>
      </c>
      <c r="I43" s="130">
        <v>240</v>
      </c>
      <c r="J43" s="130">
        <v>260</v>
      </c>
      <c r="K43" s="221">
        <v>280</v>
      </c>
      <c r="L43" s="196"/>
      <c r="M43" s="197">
        <v>300</v>
      </c>
      <c r="N43" s="198"/>
      <c r="O43" s="161">
        <v>340</v>
      </c>
      <c r="P43" s="162">
        <v>380</v>
      </c>
      <c r="Q43" s="198"/>
      <c r="R43" s="247">
        <v>420</v>
      </c>
      <c r="S43" s="198"/>
      <c r="T43" s="161">
        <v>460</v>
      </c>
      <c r="U43" s="248">
        <v>500</v>
      </c>
      <c r="V43" s="162">
        <v>540</v>
      </c>
      <c r="W43" s="271"/>
      <c r="X43" s="250">
        <v>590</v>
      </c>
    </row>
    <row r="44" ht="21" customHeight="1" spans="1:24">
      <c r="A44" s="25" t="s">
        <v>620</v>
      </c>
      <c r="B44" s="26"/>
      <c r="C44" s="87">
        <v>135</v>
      </c>
      <c r="D44" s="88">
        <v>155</v>
      </c>
      <c r="E44" s="88">
        <v>175</v>
      </c>
      <c r="F44" s="88">
        <v>195</v>
      </c>
      <c r="G44" s="88">
        <v>215</v>
      </c>
      <c r="H44" s="88">
        <v>235</v>
      </c>
      <c r="I44" s="88">
        <v>255</v>
      </c>
      <c r="J44" s="88">
        <v>275</v>
      </c>
      <c r="K44" s="199">
        <v>295</v>
      </c>
      <c r="L44" s="200"/>
      <c r="M44" s="201">
        <v>335</v>
      </c>
      <c r="N44" s="202"/>
      <c r="O44" s="203">
        <v>375</v>
      </c>
      <c r="P44" s="204">
        <v>415</v>
      </c>
      <c r="Q44" s="202"/>
      <c r="R44" s="272">
        <v>455</v>
      </c>
      <c r="S44" s="202"/>
      <c r="T44" s="203">
        <v>490</v>
      </c>
      <c r="U44" s="273">
        <v>530</v>
      </c>
      <c r="V44" s="204">
        <v>570</v>
      </c>
      <c r="W44" s="274"/>
      <c r="X44" s="275">
        <v>610</v>
      </c>
    </row>
    <row r="45" ht="21" customHeight="1" spans="1:24">
      <c r="A45" s="803" t="s">
        <v>269</v>
      </c>
      <c r="B45" s="804"/>
      <c r="C45" s="804"/>
      <c r="D45" s="804"/>
      <c r="E45" s="804"/>
      <c r="F45" s="804"/>
      <c r="G45" s="804"/>
      <c r="H45" s="804"/>
      <c r="I45" s="804"/>
      <c r="J45" s="804"/>
      <c r="K45" s="804"/>
      <c r="L45" s="804"/>
      <c r="M45" s="804"/>
      <c r="N45" s="804"/>
      <c r="O45" s="804"/>
      <c r="P45" s="804"/>
      <c r="Q45" s="804"/>
      <c r="R45" s="804"/>
      <c r="S45" s="804"/>
      <c r="T45" s="804"/>
      <c r="U45" s="804"/>
      <c r="V45" s="804"/>
      <c r="W45" s="804"/>
      <c r="X45" s="849"/>
    </row>
    <row r="46" ht="21" customHeight="1" spans="1:24">
      <c r="A46" s="805" t="s">
        <v>621</v>
      </c>
      <c r="B46" s="74"/>
      <c r="C46" s="110">
        <f t="shared" ref="C46:Z46" si="6">INT(C41*1.3)</f>
        <v>91</v>
      </c>
      <c r="D46" s="130">
        <f t="shared" si="6"/>
        <v>110</v>
      </c>
      <c r="E46" s="130">
        <f t="shared" si="6"/>
        <v>130</v>
      </c>
      <c r="F46" s="130">
        <f t="shared" si="6"/>
        <v>149</v>
      </c>
      <c r="G46" s="130">
        <f t="shared" si="6"/>
        <v>169</v>
      </c>
      <c r="H46" s="130">
        <f t="shared" si="6"/>
        <v>188</v>
      </c>
      <c r="I46" s="130">
        <f t="shared" si="6"/>
        <v>208</v>
      </c>
      <c r="J46" s="130">
        <f t="shared" si="6"/>
        <v>227</v>
      </c>
      <c r="K46" s="221">
        <f t="shared" si="6"/>
        <v>247</v>
      </c>
      <c r="L46" s="212">
        <f t="shared" si="6"/>
        <v>0</v>
      </c>
      <c r="M46" s="222">
        <f t="shared" si="6"/>
        <v>266</v>
      </c>
      <c r="N46" s="214">
        <f t="shared" si="6"/>
        <v>0</v>
      </c>
      <c r="O46" s="223">
        <f t="shared" si="6"/>
        <v>286</v>
      </c>
      <c r="P46" s="224">
        <f t="shared" si="6"/>
        <v>305</v>
      </c>
      <c r="Q46" s="214">
        <f t="shared" si="6"/>
        <v>0</v>
      </c>
      <c r="R46" s="297">
        <f t="shared" si="6"/>
        <v>325</v>
      </c>
      <c r="S46" s="214">
        <f t="shared" si="6"/>
        <v>0</v>
      </c>
      <c r="T46" s="223">
        <f t="shared" si="6"/>
        <v>364</v>
      </c>
      <c r="U46" s="298">
        <f t="shared" si="6"/>
        <v>403</v>
      </c>
      <c r="V46" s="224">
        <f t="shared" si="6"/>
        <v>442</v>
      </c>
      <c r="W46" s="291">
        <f t="shared" si="6"/>
        <v>0</v>
      </c>
      <c r="X46" s="299">
        <f t="shared" si="6"/>
        <v>507</v>
      </c>
    </row>
    <row r="47" ht="21" customHeight="1" spans="1:24">
      <c r="A47" s="806" t="s">
        <v>622</v>
      </c>
      <c r="B47" s="315"/>
      <c r="C47" s="35">
        <f t="shared" ref="C47:Z47" si="7">INT(C44*1.2)</f>
        <v>162</v>
      </c>
      <c r="D47" s="36">
        <f t="shared" si="7"/>
        <v>186</v>
      </c>
      <c r="E47" s="36">
        <f t="shared" si="7"/>
        <v>210</v>
      </c>
      <c r="F47" s="36">
        <f t="shared" si="7"/>
        <v>234</v>
      </c>
      <c r="G47" s="36">
        <f t="shared" si="7"/>
        <v>258</v>
      </c>
      <c r="H47" s="36">
        <f t="shared" si="7"/>
        <v>282</v>
      </c>
      <c r="I47" s="36">
        <f t="shared" si="7"/>
        <v>306</v>
      </c>
      <c r="J47" s="36">
        <f t="shared" si="7"/>
        <v>330</v>
      </c>
      <c r="K47" s="835">
        <f t="shared" si="7"/>
        <v>354</v>
      </c>
      <c r="L47" s="836">
        <f t="shared" si="7"/>
        <v>0</v>
      </c>
      <c r="M47" s="837">
        <f t="shared" si="7"/>
        <v>402</v>
      </c>
      <c r="N47" s="838">
        <f t="shared" si="7"/>
        <v>0</v>
      </c>
      <c r="O47" s="509">
        <f t="shared" si="7"/>
        <v>450</v>
      </c>
      <c r="P47" s="423">
        <f t="shared" si="7"/>
        <v>498</v>
      </c>
      <c r="Q47" s="838">
        <f t="shared" si="7"/>
        <v>0</v>
      </c>
      <c r="R47" s="238">
        <f t="shared" si="7"/>
        <v>546</v>
      </c>
      <c r="S47" s="838">
        <f t="shared" si="7"/>
        <v>0</v>
      </c>
      <c r="T47" s="509">
        <f t="shared" si="7"/>
        <v>588</v>
      </c>
      <c r="U47" s="535">
        <f t="shared" si="7"/>
        <v>636</v>
      </c>
      <c r="V47" s="423">
        <f t="shared" si="7"/>
        <v>684</v>
      </c>
      <c r="W47" s="850">
        <f t="shared" si="7"/>
        <v>0</v>
      </c>
      <c r="X47" s="241">
        <f t="shared" si="7"/>
        <v>732</v>
      </c>
    </row>
    <row r="48" ht="21" customHeight="1" spans="1:24">
      <c r="A48" s="59" t="s">
        <v>18</v>
      </c>
      <c r="B48" s="60"/>
      <c r="C48" s="61">
        <v>0</v>
      </c>
      <c r="D48" s="62">
        <v>1</v>
      </c>
      <c r="E48" s="62">
        <v>2</v>
      </c>
      <c r="F48" s="63">
        <v>3</v>
      </c>
      <c r="G48" s="62">
        <v>4</v>
      </c>
      <c r="H48" s="64">
        <v>5</v>
      </c>
      <c r="I48" s="62">
        <v>6</v>
      </c>
      <c r="J48" s="174">
        <v>7</v>
      </c>
      <c r="K48" s="175">
        <v>8</v>
      </c>
      <c r="L48" s="839" t="s">
        <v>623</v>
      </c>
      <c r="M48" s="840"/>
      <c r="N48" s="840"/>
      <c r="O48" s="840"/>
      <c r="P48" s="840"/>
      <c r="Q48" s="840"/>
      <c r="R48" s="840"/>
      <c r="S48" s="840"/>
      <c r="T48" s="840"/>
      <c r="U48" s="840"/>
      <c r="V48" s="840"/>
      <c r="W48" s="840"/>
      <c r="X48" s="851"/>
    </row>
    <row r="49" ht="21" customHeight="1" spans="1:24">
      <c r="A49" s="25" t="s">
        <v>617</v>
      </c>
      <c r="B49" s="25"/>
      <c r="C49" s="89">
        <v>6</v>
      </c>
      <c r="D49" s="90">
        <v>5.8</v>
      </c>
      <c r="E49" s="90">
        <v>5.6</v>
      </c>
      <c r="F49" s="91">
        <v>5.4</v>
      </c>
      <c r="G49" s="90">
        <v>5.2</v>
      </c>
      <c r="H49" s="92">
        <v>5</v>
      </c>
      <c r="I49" s="90">
        <v>4.8</v>
      </c>
      <c r="J49" s="206">
        <v>4.6</v>
      </c>
      <c r="K49" s="207">
        <v>4.35</v>
      </c>
      <c r="L49" s="86" t="s">
        <v>624</v>
      </c>
      <c r="M49" s="205"/>
      <c r="N49" s="205"/>
      <c r="O49" s="205"/>
      <c r="P49" s="205"/>
      <c r="Q49" s="205"/>
      <c r="R49" s="205"/>
      <c r="S49" s="205"/>
      <c r="T49" s="205"/>
      <c r="U49" s="205"/>
      <c r="V49" s="205"/>
      <c r="W49" s="205"/>
      <c r="X49" s="276"/>
    </row>
    <row r="50" ht="21" customHeight="1" spans="1:24">
      <c r="A50" s="65" t="s">
        <v>618</v>
      </c>
      <c r="B50" s="65"/>
      <c r="C50" s="66">
        <v>6</v>
      </c>
      <c r="D50" s="67">
        <v>5.8</v>
      </c>
      <c r="E50" s="67">
        <v>5.6</v>
      </c>
      <c r="F50" s="93">
        <v>5.4</v>
      </c>
      <c r="G50" s="67">
        <v>5.2</v>
      </c>
      <c r="H50" s="69">
        <v>5</v>
      </c>
      <c r="I50" s="67">
        <v>4.8</v>
      </c>
      <c r="J50" s="178">
        <v>4.6</v>
      </c>
      <c r="K50" s="179">
        <v>4.35</v>
      </c>
      <c r="L50" s="86" t="s">
        <v>625</v>
      </c>
      <c r="M50" s="205"/>
      <c r="N50" s="205"/>
      <c r="O50" s="205"/>
      <c r="P50" s="205"/>
      <c r="Q50" s="205"/>
      <c r="R50" s="205"/>
      <c r="S50" s="205"/>
      <c r="T50" s="205"/>
      <c r="U50" s="205"/>
      <c r="V50" s="205"/>
      <c r="W50" s="205"/>
      <c r="X50" s="276"/>
    </row>
    <row r="51" ht="21" customHeight="1" spans="1:24">
      <c r="A51" s="25" t="s">
        <v>619</v>
      </c>
      <c r="B51" s="25"/>
      <c r="C51" s="89">
        <v>6</v>
      </c>
      <c r="D51" s="90">
        <v>5.8</v>
      </c>
      <c r="E51" s="90">
        <v>5.6</v>
      </c>
      <c r="F51" s="91">
        <v>5.4</v>
      </c>
      <c r="G51" s="90">
        <v>5.2</v>
      </c>
      <c r="H51" s="92">
        <v>5</v>
      </c>
      <c r="I51" s="90">
        <v>4.8</v>
      </c>
      <c r="J51" s="206">
        <v>4.6</v>
      </c>
      <c r="K51" s="207">
        <v>4.35</v>
      </c>
      <c r="L51" s="86" t="s">
        <v>626</v>
      </c>
      <c r="M51" s="205"/>
      <c r="N51" s="205"/>
      <c r="O51" s="205"/>
      <c r="P51" s="205"/>
      <c r="Q51" s="205"/>
      <c r="R51" s="205"/>
      <c r="S51" s="205"/>
      <c r="T51" s="205"/>
      <c r="U51" s="205"/>
      <c r="V51" s="205"/>
      <c r="W51" s="205"/>
      <c r="X51" s="276"/>
    </row>
    <row r="52" ht="21" customHeight="1" spans="1:24">
      <c r="A52" s="65" t="s">
        <v>620</v>
      </c>
      <c r="B52" s="65"/>
      <c r="C52" s="66">
        <v>6</v>
      </c>
      <c r="D52" s="67">
        <v>5.8</v>
      </c>
      <c r="E52" s="67">
        <v>5.6</v>
      </c>
      <c r="F52" s="93">
        <v>5.4</v>
      </c>
      <c r="G52" s="67">
        <v>5.2</v>
      </c>
      <c r="H52" s="69">
        <v>5</v>
      </c>
      <c r="I52" s="67">
        <v>4.8</v>
      </c>
      <c r="J52" s="178">
        <v>4.6</v>
      </c>
      <c r="K52" s="378">
        <v>4.35</v>
      </c>
      <c r="L52" s="86" t="s">
        <v>627</v>
      </c>
      <c r="M52" s="205"/>
      <c r="N52" s="205"/>
      <c r="O52" s="205"/>
      <c r="P52" s="205"/>
      <c r="Q52" s="205"/>
      <c r="R52" s="205"/>
      <c r="S52" s="205"/>
      <c r="T52" s="205"/>
      <c r="U52" s="205"/>
      <c r="V52" s="205"/>
      <c r="W52" s="205"/>
      <c r="X52" s="276"/>
    </row>
    <row r="53" ht="21" customHeight="1" spans="1:24">
      <c r="A53" s="708" t="s">
        <v>628</v>
      </c>
      <c r="B53" s="709"/>
      <c r="C53" s="709"/>
      <c r="D53" s="709"/>
      <c r="E53" s="709"/>
      <c r="F53" s="709"/>
      <c r="G53" s="709"/>
      <c r="H53" s="709"/>
      <c r="I53" s="709"/>
      <c r="J53" s="709"/>
      <c r="K53" s="709"/>
      <c r="L53" s="709"/>
      <c r="M53" s="709"/>
      <c r="N53" s="709"/>
      <c r="O53" s="709"/>
      <c r="P53" s="709"/>
      <c r="Q53" s="709"/>
      <c r="R53" s="709"/>
      <c r="S53" s="709"/>
      <c r="T53" s="709"/>
      <c r="U53" s="709"/>
      <c r="V53" s="709"/>
      <c r="W53" s="709"/>
      <c r="X53" s="709"/>
    </row>
    <row r="54" ht="21" customHeight="1" spans="1:24">
      <c r="A54" s="807" t="s">
        <v>629</v>
      </c>
      <c r="B54" s="808"/>
      <c r="C54" s="808"/>
      <c r="D54" s="808"/>
      <c r="E54" s="808"/>
      <c r="F54" s="808"/>
      <c r="G54" s="808"/>
      <c r="H54" s="808"/>
      <c r="I54" s="808"/>
      <c r="J54" s="808"/>
      <c r="K54" s="808"/>
      <c r="L54" s="808"/>
      <c r="M54" s="808"/>
      <c r="N54" s="808"/>
      <c r="O54" s="808"/>
      <c r="P54" s="808"/>
      <c r="Q54" s="808"/>
      <c r="R54" s="808"/>
      <c r="S54" s="808"/>
      <c r="T54" s="808"/>
      <c r="U54" s="808"/>
      <c r="V54" s="808"/>
      <c r="W54" s="808"/>
      <c r="X54" s="852"/>
    </row>
    <row r="55" ht="21" customHeight="1" spans="1:24">
      <c r="A55" s="123" t="s">
        <v>630</v>
      </c>
      <c r="B55" s="333"/>
      <c r="C55" s="333"/>
      <c r="D55" s="333"/>
      <c r="E55" s="333"/>
      <c r="F55" s="333"/>
      <c r="G55" s="333"/>
      <c r="H55" s="333"/>
      <c r="I55" s="333"/>
      <c r="J55" s="333"/>
      <c r="K55" s="333"/>
      <c r="L55" s="333"/>
      <c r="M55" s="333"/>
      <c r="N55" s="333"/>
      <c r="O55" s="333"/>
      <c r="P55" s="333"/>
      <c r="Q55" s="333"/>
      <c r="R55" s="333"/>
      <c r="S55" s="333"/>
      <c r="T55" s="333"/>
      <c r="U55" s="333"/>
      <c r="V55" s="333"/>
      <c r="W55" s="333"/>
      <c r="X55" s="408"/>
    </row>
    <row r="56" ht="21" customHeight="1" spans="1:24">
      <c r="A56" s="809" t="s">
        <v>631</v>
      </c>
      <c r="B56" s="129"/>
      <c r="C56" s="110">
        <f t="shared" ref="C56:Z56" si="8">INT(C47*0.3)</f>
        <v>48</v>
      </c>
      <c r="D56" s="130">
        <f t="shared" si="8"/>
        <v>55</v>
      </c>
      <c r="E56" s="130">
        <f t="shared" si="8"/>
        <v>63</v>
      </c>
      <c r="F56" s="130">
        <f t="shared" si="8"/>
        <v>70</v>
      </c>
      <c r="G56" s="130">
        <f t="shared" si="8"/>
        <v>77</v>
      </c>
      <c r="H56" s="130">
        <f t="shared" si="8"/>
        <v>84</v>
      </c>
      <c r="I56" s="130">
        <f t="shared" si="8"/>
        <v>91</v>
      </c>
      <c r="J56" s="130">
        <f t="shared" si="8"/>
        <v>99</v>
      </c>
      <c r="K56" s="221">
        <f t="shared" si="8"/>
        <v>106</v>
      </c>
      <c r="L56" s="212">
        <f t="shared" si="8"/>
        <v>0</v>
      </c>
      <c r="M56" s="222">
        <f t="shared" si="8"/>
        <v>120</v>
      </c>
      <c r="N56" s="214">
        <f t="shared" si="8"/>
        <v>0</v>
      </c>
      <c r="O56" s="223">
        <f t="shared" si="8"/>
        <v>135</v>
      </c>
      <c r="P56" s="224">
        <f t="shared" si="8"/>
        <v>149</v>
      </c>
      <c r="Q56" s="214">
        <f t="shared" si="8"/>
        <v>0</v>
      </c>
      <c r="R56" s="297">
        <f t="shared" si="8"/>
        <v>163</v>
      </c>
      <c r="S56" s="214">
        <f t="shared" si="8"/>
        <v>0</v>
      </c>
      <c r="T56" s="223">
        <f t="shared" si="8"/>
        <v>176</v>
      </c>
      <c r="U56" s="298">
        <f t="shared" si="8"/>
        <v>190</v>
      </c>
      <c r="V56" s="224">
        <f t="shared" si="8"/>
        <v>205</v>
      </c>
      <c r="W56" s="291">
        <f t="shared" si="8"/>
        <v>0</v>
      </c>
      <c r="X56" s="299">
        <f t="shared" si="8"/>
        <v>219</v>
      </c>
    </row>
    <row r="57" ht="21" customHeight="1" spans="1:24">
      <c r="A57" s="45"/>
      <c r="B57" s="46"/>
      <c r="C57" s="46"/>
      <c r="D57" s="46"/>
      <c r="E57" s="46"/>
      <c r="F57" s="46"/>
      <c r="G57" s="46"/>
      <c r="H57" s="46"/>
      <c r="I57" s="46"/>
      <c r="J57" s="46"/>
      <c r="K57" s="46"/>
      <c r="L57" s="46"/>
      <c r="M57" s="46"/>
      <c r="N57" s="46"/>
      <c r="O57" s="46"/>
      <c r="P57" s="46"/>
      <c r="Q57" s="46"/>
      <c r="R57" s="46"/>
      <c r="S57" s="46"/>
      <c r="T57" s="46"/>
      <c r="U57" s="46"/>
      <c r="V57" s="46"/>
      <c r="W57" s="46"/>
      <c r="X57" s="252"/>
    </row>
    <row r="58" ht="44" customHeight="1" spans="1:24">
      <c r="A58" s="375"/>
      <c r="B58" s="409" t="str">
        <f>_xlfn.DISPIMG("ID_1FCB9710ADB54576B7B8F8AB7D8F7719",1)</f>
        <v>=DISPIMG("ID_1FCB9710ADB54576B7B8F8AB7D8F7719",1)</v>
      </c>
      <c r="C58" s="409" t="str">
        <f>_xlfn.DISPIMG("ID_175554FCD7144713850DA5DC43342E6F",1)</f>
        <v>=DISPIMG("ID_175554FCD7144713850DA5DC43342E6F",1)</v>
      </c>
      <c r="D58" s="409"/>
      <c r="E58" s="810" t="str">
        <f>_xlfn.DISPIMG("ID_EEC07D233C7E4A628FAC207E5431B381",1)</f>
        <v>=DISPIMG("ID_EEC07D233C7E4A628FAC207E5431B381",1)</v>
      </c>
      <c r="F58" s="410"/>
      <c r="G58" s="606" t="s">
        <v>632</v>
      </c>
      <c r="H58" s="607"/>
      <c r="I58" s="607"/>
      <c r="J58" s="607"/>
      <c r="K58" s="607"/>
      <c r="L58" s="607"/>
      <c r="M58" s="607"/>
      <c r="N58" s="607"/>
      <c r="O58" s="647"/>
      <c r="P58" s="568"/>
      <c r="Q58" s="853"/>
      <c r="R58" s="853"/>
      <c r="S58" s="853"/>
      <c r="T58" s="853"/>
      <c r="U58" s="853"/>
      <c r="V58" s="853"/>
      <c r="W58" s="853"/>
      <c r="X58" s="854"/>
    </row>
    <row r="59" ht="21" customHeight="1" spans="1:24">
      <c r="A59" s="476" t="s">
        <v>633</v>
      </c>
      <c r="B59" s="476"/>
      <c r="C59" s="476"/>
      <c r="D59" s="476"/>
      <c r="E59" s="476"/>
      <c r="F59" s="476"/>
      <c r="G59" s="476"/>
      <c r="H59" s="476"/>
      <c r="I59" s="476"/>
      <c r="J59" s="476"/>
      <c r="K59" s="476"/>
      <c r="L59" s="476"/>
      <c r="M59" s="476"/>
      <c r="N59" s="476"/>
      <c r="O59" s="476"/>
      <c r="P59" s="476"/>
      <c r="Q59" s="476"/>
      <c r="R59" s="476"/>
      <c r="S59" s="476"/>
      <c r="T59" s="476"/>
      <c r="U59" s="476"/>
      <c r="V59" s="476"/>
      <c r="W59" s="476"/>
      <c r="X59" s="476"/>
    </row>
    <row r="60" ht="21" customHeight="1" spans="1:24">
      <c r="A60" s="21" t="s">
        <v>288</v>
      </c>
      <c r="B60" s="22"/>
      <c r="C60" s="23">
        <v>0</v>
      </c>
      <c r="D60" s="24">
        <v>1</v>
      </c>
      <c r="E60" s="24">
        <v>2</v>
      </c>
      <c r="F60" s="24">
        <v>3</v>
      </c>
      <c r="G60" s="24">
        <v>4</v>
      </c>
      <c r="H60" s="24">
        <v>5</v>
      </c>
      <c r="I60" s="24">
        <v>6</v>
      </c>
      <c r="J60" s="24">
        <v>7</v>
      </c>
      <c r="K60" s="135">
        <v>8</v>
      </c>
      <c r="L60" s="136">
        <v>9</v>
      </c>
      <c r="M60" s="137"/>
      <c r="N60" s="138"/>
      <c r="O60" s="139">
        <v>10</v>
      </c>
      <c r="P60" s="140">
        <v>11</v>
      </c>
      <c r="Q60" s="236">
        <v>12</v>
      </c>
      <c r="R60" s="236"/>
      <c r="S60" s="236"/>
      <c r="T60" s="139">
        <v>13</v>
      </c>
      <c r="U60" s="237">
        <v>14</v>
      </c>
      <c r="V60" s="140">
        <v>15</v>
      </c>
      <c r="W60" s="137">
        <v>16</v>
      </c>
      <c r="X60" s="138"/>
    </row>
    <row r="61" ht="21" customHeight="1" spans="1:24">
      <c r="A61" s="25" t="s">
        <v>634</v>
      </c>
      <c r="B61" s="26"/>
      <c r="C61" s="27">
        <v>59</v>
      </c>
      <c r="D61" s="28">
        <v>58</v>
      </c>
      <c r="E61" s="28">
        <v>57</v>
      </c>
      <c r="F61" s="28">
        <v>56</v>
      </c>
      <c r="G61" s="28">
        <v>55</v>
      </c>
      <c r="H61" s="28">
        <v>54</v>
      </c>
      <c r="I61" s="28">
        <v>53</v>
      </c>
      <c r="J61" s="28">
        <v>51</v>
      </c>
      <c r="K61" s="141">
        <v>48</v>
      </c>
      <c r="L61" s="142"/>
      <c r="M61" s="143">
        <v>45</v>
      </c>
      <c r="N61" s="144"/>
      <c r="O61" s="145">
        <v>41</v>
      </c>
      <c r="P61" s="146">
        <v>37</v>
      </c>
      <c r="Q61" s="144"/>
      <c r="R61" s="238">
        <v>33</v>
      </c>
      <c r="S61" s="144"/>
      <c r="T61" s="145">
        <v>29</v>
      </c>
      <c r="U61" s="239">
        <v>25</v>
      </c>
      <c r="V61" s="146">
        <v>20</v>
      </c>
      <c r="W61" s="240"/>
      <c r="X61" s="241">
        <v>15</v>
      </c>
    </row>
    <row r="62" ht="21" customHeight="1" spans="1:24">
      <c r="A62" s="73" t="s">
        <v>635</v>
      </c>
      <c r="B62" s="74"/>
      <c r="C62" s="321">
        <v>60</v>
      </c>
      <c r="D62" s="322">
        <v>58</v>
      </c>
      <c r="E62" s="322">
        <v>56</v>
      </c>
      <c r="F62" s="322">
        <v>54</v>
      </c>
      <c r="G62" s="322">
        <v>52</v>
      </c>
      <c r="H62" s="322">
        <v>50</v>
      </c>
      <c r="I62" s="322">
        <v>48</v>
      </c>
      <c r="J62" s="322">
        <v>45</v>
      </c>
      <c r="K62" s="361">
        <v>42</v>
      </c>
      <c r="L62" s="362"/>
      <c r="M62" s="159">
        <v>39</v>
      </c>
      <c r="N62" s="160"/>
      <c r="O62" s="161">
        <v>36</v>
      </c>
      <c r="P62" s="162">
        <v>33</v>
      </c>
      <c r="Q62" s="160"/>
      <c r="R62" s="247">
        <v>30</v>
      </c>
      <c r="S62" s="160"/>
      <c r="T62" s="161">
        <v>27</v>
      </c>
      <c r="U62" s="248">
        <v>24</v>
      </c>
      <c r="V62" s="162">
        <v>21</v>
      </c>
      <c r="W62" s="249"/>
      <c r="X62" s="250">
        <v>17</v>
      </c>
    </row>
    <row r="63" ht="21" customHeight="1" spans="1:24">
      <c r="A63" s="26" t="s">
        <v>636</v>
      </c>
      <c r="B63" s="315"/>
      <c r="C63" s="315"/>
      <c r="D63" s="315"/>
      <c r="E63" s="315"/>
      <c r="F63" s="315"/>
      <c r="G63" s="315"/>
      <c r="H63" s="315"/>
      <c r="I63" s="315"/>
      <c r="J63" s="315"/>
      <c r="K63" s="315"/>
      <c r="L63" s="315"/>
      <c r="M63" s="315"/>
      <c r="N63" s="315"/>
      <c r="O63" s="315"/>
      <c r="P63" s="315"/>
      <c r="Q63" s="315"/>
      <c r="R63" s="315"/>
      <c r="S63" s="315"/>
      <c r="T63" s="315"/>
      <c r="U63" s="315"/>
      <c r="V63" s="315"/>
      <c r="W63" s="315"/>
      <c r="X63" s="319"/>
    </row>
    <row r="64" ht="21" customHeight="1" spans="1:24">
      <c r="A64" s="26" t="s">
        <v>637</v>
      </c>
      <c r="B64" s="315"/>
      <c r="C64" s="315"/>
      <c r="D64" s="315"/>
      <c r="E64" s="315"/>
      <c r="F64" s="315"/>
      <c r="G64" s="315"/>
      <c r="H64" s="315"/>
      <c r="I64" s="315"/>
      <c r="J64" s="315"/>
      <c r="K64" s="315"/>
      <c r="L64" s="315"/>
      <c r="M64" s="315"/>
      <c r="N64" s="315"/>
      <c r="O64" s="315"/>
      <c r="P64" s="315"/>
      <c r="Q64" s="315"/>
      <c r="R64" s="315"/>
      <c r="S64" s="315"/>
      <c r="T64" s="315"/>
      <c r="U64" s="315"/>
      <c r="V64" s="315"/>
      <c r="W64" s="315"/>
      <c r="X64" s="319"/>
    </row>
    <row r="65" ht="21" customHeight="1" spans="1:24">
      <c r="A65" s="855" t="s">
        <v>638</v>
      </c>
      <c r="B65" s="855"/>
      <c r="C65" s="855"/>
      <c r="D65" s="855"/>
      <c r="E65" s="855"/>
      <c r="F65" s="855"/>
      <c r="G65" s="855"/>
      <c r="H65" s="855"/>
      <c r="I65" s="855"/>
      <c r="J65" s="855"/>
      <c r="K65" s="855"/>
      <c r="L65" s="855"/>
      <c r="M65" s="855"/>
      <c r="N65" s="855"/>
      <c r="O65" s="855"/>
      <c r="P65" s="855"/>
      <c r="Q65" s="855"/>
      <c r="R65" s="855"/>
      <c r="S65" s="855"/>
      <c r="T65" s="855"/>
      <c r="U65" s="855"/>
      <c r="V65" s="855"/>
      <c r="W65" s="855"/>
      <c r="X65" s="855"/>
    </row>
    <row r="66" ht="21" customHeight="1" spans="1:24">
      <c r="A66" s="21" t="s">
        <v>8</v>
      </c>
      <c r="B66" s="22"/>
      <c r="C66" s="23">
        <v>0</v>
      </c>
      <c r="D66" s="24">
        <v>1</v>
      </c>
      <c r="E66" s="24">
        <v>2</v>
      </c>
      <c r="F66" s="24">
        <v>3</v>
      </c>
      <c r="G66" s="24">
        <v>4</v>
      </c>
      <c r="H66" s="24">
        <v>5</v>
      </c>
      <c r="I66" s="24">
        <v>6</v>
      </c>
      <c r="J66" s="24">
        <v>7</v>
      </c>
      <c r="K66" s="135">
        <v>8</v>
      </c>
      <c r="L66" s="136">
        <v>9</v>
      </c>
      <c r="M66" s="137"/>
      <c r="N66" s="138"/>
      <c r="O66" s="139">
        <v>10</v>
      </c>
      <c r="P66" s="140">
        <v>11</v>
      </c>
      <c r="Q66" s="236">
        <v>12</v>
      </c>
      <c r="R66" s="236"/>
      <c r="S66" s="236"/>
      <c r="T66" s="139">
        <v>13</v>
      </c>
      <c r="U66" s="237">
        <v>14</v>
      </c>
      <c r="V66" s="140">
        <v>15</v>
      </c>
      <c r="W66" s="137">
        <v>16</v>
      </c>
      <c r="X66" s="138"/>
    </row>
    <row r="67" ht="21" customHeight="1" spans="1:24">
      <c r="A67" s="25" t="s">
        <v>639</v>
      </c>
      <c r="B67" s="26"/>
      <c r="C67" s="87">
        <v>75</v>
      </c>
      <c r="D67" s="88">
        <v>90</v>
      </c>
      <c r="E67" s="88">
        <v>105</v>
      </c>
      <c r="F67" s="88">
        <v>120</v>
      </c>
      <c r="G67" s="88">
        <v>150</v>
      </c>
      <c r="H67" s="88">
        <v>180</v>
      </c>
      <c r="I67" s="88">
        <v>210</v>
      </c>
      <c r="J67" s="88">
        <v>255</v>
      </c>
      <c r="K67" s="199">
        <v>300</v>
      </c>
      <c r="L67" s="200"/>
      <c r="M67" s="201">
        <v>345</v>
      </c>
      <c r="N67" s="202"/>
      <c r="O67" s="203">
        <v>405</v>
      </c>
      <c r="P67" s="204">
        <v>465</v>
      </c>
      <c r="Q67" s="202"/>
      <c r="R67" s="272">
        <v>525</v>
      </c>
      <c r="S67" s="202"/>
      <c r="T67" s="203">
        <v>585</v>
      </c>
      <c r="U67" s="273">
        <v>645</v>
      </c>
      <c r="V67" s="204">
        <v>705</v>
      </c>
      <c r="W67" s="274"/>
      <c r="X67" s="275">
        <v>780</v>
      </c>
    </row>
    <row r="68" ht="21" customHeight="1" spans="1:24">
      <c r="A68" s="59" t="s">
        <v>18</v>
      </c>
      <c r="B68" s="60"/>
      <c r="C68" s="61">
        <v>0</v>
      </c>
      <c r="D68" s="62">
        <v>1</v>
      </c>
      <c r="E68" s="62">
        <v>2</v>
      </c>
      <c r="F68" s="63">
        <v>3</v>
      </c>
      <c r="G68" s="62">
        <v>4</v>
      </c>
      <c r="H68" s="64">
        <v>5</v>
      </c>
      <c r="I68" s="62">
        <v>6</v>
      </c>
      <c r="J68" s="174">
        <v>7</v>
      </c>
      <c r="K68" s="175">
        <v>8</v>
      </c>
      <c r="L68" s="876" t="s">
        <v>640</v>
      </c>
      <c r="M68" s="877"/>
      <c r="N68" s="877"/>
      <c r="O68" s="877"/>
      <c r="P68" s="877"/>
      <c r="Q68" s="877"/>
      <c r="R68" s="877"/>
      <c r="S68" s="877"/>
      <c r="T68" s="877"/>
      <c r="U68" s="877"/>
      <c r="V68" s="877"/>
      <c r="W68" s="877"/>
      <c r="X68" s="902"/>
    </row>
    <row r="69" ht="21" customHeight="1" spans="1:24">
      <c r="A69" s="25" t="s">
        <v>639</v>
      </c>
      <c r="B69" s="25"/>
      <c r="C69" s="89">
        <v>2.5</v>
      </c>
      <c r="D69" s="90">
        <v>2.45</v>
      </c>
      <c r="E69" s="90">
        <v>2.4</v>
      </c>
      <c r="F69" s="91">
        <v>2.35</v>
      </c>
      <c r="G69" s="90">
        <v>2.3</v>
      </c>
      <c r="H69" s="92">
        <v>2.2</v>
      </c>
      <c r="I69" s="90">
        <v>2.1</v>
      </c>
      <c r="J69" s="206">
        <v>2</v>
      </c>
      <c r="K69" s="207">
        <v>1.5</v>
      </c>
      <c r="L69" s="33" t="s">
        <v>641</v>
      </c>
      <c r="M69" s="33"/>
      <c r="N69" s="33"/>
      <c r="O69" s="33"/>
      <c r="P69" s="33"/>
      <c r="Q69" s="33"/>
      <c r="R69" s="33"/>
      <c r="S69" s="33"/>
      <c r="T69" s="33"/>
      <c r="U69" s="33"/>
      <c r="V69" s="33"/>
      <c r="W69" s="33"/>
      <c r="X69" s="33"/>
    </row>
    <row r="70" ht="21" customHeight="1" spans="1:24">
      <c r="A70" s="105"/>
      <c r="B70" s="106"/>
      <c r="C70" s="106"/>
      <c r="D70" s="106"/>
      <c r="E70" s="106"/>
      <c r="F70" s="106"/>
      <c r="G70" s="106"/>
      <c r="H70" s="106"/>
      <c r="I70" s="106"/>
      <c r="J70" s="106"/>
      <c r="K70" s="106"/>
      <c r="L70" s="106"/>
      <c r="M70" s="106"/>
      <c r="N70" s="106"/>
      <c r="O70" s="106"/>
      <c r="P70" s="106"/>
      <c r="Q70" s="106"/>
      <c r="R70" s="106"/>
      <c r="S70" s="106"/>
      <c r="T70" s="106"/>
      <c r="U70" s="106"/>
      <c r="V70" s="106"/>
      <c r="W70" s="106"/>
      <c r="X70" s="286"/>
    </row>
    <row r="71" ht="44" customHeight="1" spans="1:24">
      <c r="A71" s="375" t="str">
        <f>_xlfn.DISPIMG("ID_FAEC48F8E8934612986ECFE67A131D3A",1)</f>
        <v>=DISPIMG("ID_FAEC48F8E8934612986ECFE67A131D3A",1)</v>
      </c>
      <c r="B71" s="409" t="str">
        <f>_xlfn.DISPIMG("ID_33A02951AF514D4885AD50DE0F842A83",1)</f>
        <v>=DISPIMG("ID_33A02951AF514D4885AD50DE0F842A83",1)</v>
      </c>
      <c r="C71" s="409" t="str">
        <f>_xlfn.DISPIMG("ID_F7749E89E25F4140B87759457CDDE8BB",1)</f>
        <v>=DISPIMG("ID_F7749E89E25F4140B87759457CDDE8BB",1)</v>
      </c>
      <c r="D71" s="409" t="str">
        <f>_xlfn.DISPIMG("ID_F42B16FCB50748B897D60B4CA440CB71",1)</f>
        <v>=DISPIMG("ID_F42B16FCB50748B897D60B4CA440CB71",1)</v>
      </c>
      <c r="E71" s="409" t="str">
        <f>_xlfn.DISPIMG("ID_FB910921D559483EB1B982B73A073398",1)</f>
        <v>=DISPIMG("ID_FB910921D559483EB1B982B73A073398",1)</v>
      </c>
      <c r="F71" s="410"/>
      <c r="G71" s="435" t="s">
        <v>642</v>
      </c>
      <c r="H71" s="436"/>
      <c r="I71" s="436"/>
      <c r="J71" s="436"/>
      <c r="K71" s="436"/>
      <c r="L71" s="436"/>
      <c r="M71" s="436"/>
      <c r="N71" s="436"/>
      <c r="O71" s="442"/>
      <c r="P71" s="181" t="s">
        <v>643</v>
      </c>
      <c r="Q71" s="259"/>
      <c r="R71" s="259"/>
      <c r="S71" s="259"/>
      <c r="T71" s="259"/>
      <c r="U71" s="259"/>
      <c r="V71" s="259"/>
      <c r="W71" s="259"/>
      <c r="X71" s="260"/>
    </row>
    <row r="72" ht="21" customHeight="1" spans="1:24">
      <c r="A72" s="714"/>
      <c r="B72" s="715"/>
      <c r="C72" s="715"/>
      <c r="D72" s="715"/>
      <c r="E72" s="715"/>
      <c r="F72" s="715"/>
      <c r="G72" s="715"/>
      <c r="H72" s="715"/>
      <c r="I72" s="715"/>
      <c r="J72" s="715"/>
      <c r="K72" s="715"/>
      <c r="L72" s="715"/>
      <c r="M72" s="715"/>
      <c r="N72" s="715"/>
      <c r="O72" s="715"/>
      <c r="P72" s="715"/>
      <c r="Q72" s="715"/>
      <c r="R72" s="715"/>
      <c r="S72" s="715"/>
      <c r="T72" s="715"/>
      <c r="U72" s="715"/>
      <c r="V72" s="715"/>
      <c r="W72" s="715"/>
      <c r="X72" s="749"/>
    </row>
    <row r="73" ht="21" customHeight="1" spans="1:24">
      <c r="A73" s="21" t="s">
        <v>8</v>
      </c>
      <c r="B73" s="22"/>
      <c r="C73" s="23">
        <v>0</v>
      </c>
      <c r="D73" s="24">
        <v>1</v>
      </c>
      <c r="E73" s="24">
        <v>2</v>
      </c>
      <c r="F73" s="24">
        <v>3</v>
      </c>
      <c r="G73" s="24">
        <v>4</v>
      </c>
      <c r="H73" s="24">
        <v>5</v>
      </c>
      <c r="I73" s="24">
        <v>6</v>
      </c>
      <c r="J73" s="24">
        <v>7</v>
      </c>
      <c r="K73" s="135">
        <v>8</v>
      </c>
      <c r="L73" s="136">
        <v>9</v>
      </c>
      <c r="M73" s="137"/>
      <c r="N73" s="138"/>
      <c r="O73" s="139">
        <v>10</v>
      </c>
      <c r="P73" s="140">
        <v>11</v>
      </c>
      <c r="Q73" s="236">
        <v>12</v>
      </c>
      <c r="R73" s="236"/>
      <c r="S73" s="236"/>
      <c r="T73" s="139">
        <v>13</v>
      </c>
      <c r="U73" s="237">
        <v>14</v>
      </c>
      <c r="V73" s="140">
        <v>15</v>
      </c>
      <c r="W73" s="137">
        <v>16</v>
      </c>
      <c r="X73" s="138"/>
    </row>
    <row r="74" ht="21" customHeight="1" spans="1:24">
      <c r="A74" s="73" t="s">
        <v>644</v>
      </c>
      <c r="B74" s="74"/>
      <c r="C74" s="321">
        <v>60</v>
      </c>
      <c r="D74" s="322">
        <v>70</v>
      </c>
      <c r="E74" s="322">
        <v>80</v>
      </c>
      <c r="F74" s="322">
        <v>95</v>
      </c>
      <c r="G74" s="322">
        <v>110</v>
      </c>
      <c r="H74" s="322">
        <v>125</v>
      </c>
      <c r="I74" s="322">
        <v>140</v>
      </c>
      <c r="J74" s="322">
        <v>155</v>
      </c>
      <c r="K74" s="361">
        <v>190</v>
      </c>
      <c r="L74" s="362"/>
      <c r="M74" s="159">
        <v>255</v>
      </c>
      <c r="N74" s="160"/>
      <c r="O74" s="161">
        <v>350</v>
      </c>
      <c r="P74" s="162">
        <v>455</v>
      </c>
      <c r="Q74" s="160"/>
      <c r="R74" s="247">
        <v>550</v>
      </c>
      <c r="S74" s="160"/>
      <c r="T74" s="161">
        <v>655</v>
      </c>
      <c r="U74" s="248">
        <v>750</v>
      </c>
      <c r="V74" s="162">
        <v>855</v>
      </c>
      <c r="W74" s="249"/>
      <c r="X74" s="250">
        <v>960</v>
      </c>
    </row>
    <row r="75" ht="21" customHeight="1" spans="1:24">
      <c r="A75" s="25" t="s">
        <v>645</v>
      </c>
      <c r="B75" s="26"/>
      <c r="C75" s="27">
        <v>60</v>
      </c>
      <c r="D75" s="28">
        <v>75</v>
      </c>
      <c r="E75" s="28">
        <v>90</v>
      </c>
      <c r="F75" s="28">
        <v>105</v>
      </c>
      <c r="G75" s="28">
        <v>125</v>
      </c>
      <c r="H75" s="28">
        <v>145</v>
      </c>
      <c r="I75" s="28">
        <v>165</v>
      </c>
      <c r="J75" s="28">
        <v>195</v>
      </c>
      <c r="K75" s="141">
        <v>225</v>
      </c>
      <c r="L75" s="142"/>
      <c r="M75" s="143">
        <v>265</v>
      </c>
      <c r="N75" s="144"/>
      <c r="O75" s="145">
        <v>305</v>
      </c>
      <c r="P75" s="146">
        <v>345</v>
      </c>
      <c r="Q75" s="144"/>
      <c r="R75" s="238">
        <v>395</v>
      </c>
      <c r="S75" s="144"/>
      <c r="T75" s="145">
        <v>495</v>
      </c>
      <c r="U75" s="239">
        <v>695</v>
      </c>
      <c r="V75" s="146">
        <v>895</v>
      </c>
      <c r="W75" s="240"/>
      <c r="X75" s="241">
        <v>1195</v>
      </c>
    </row>
    <row r="76" ht="21" customHeight="1" spans="1:24">
      <c r="A76" s="73" t="s">
        <v>646</v>
      </c>
      <c r="B76" s="74"/>
      <c r="C76" s="321">
        <v>85</v>
      </c>
      <c r="D76" s="322">
        <v>100</v>
      </c>
      <c r="E76" s="322">
        <v>115</v>
      </c>
      <c r="F76" s="322">
        <v>130</v>
      </c>
      <c r="G76" s="322">
        <v>150</v>
      </c>
      <c r="H76" s="322">
        <v>170</v>
      </c>
      <c r="I76" s="322">
        <v>190</v>
      </c>
      <c r="J76" s="322">
        <v>230</v>
      </c>
      <c r="K76" s="361">
        <v>270</v>
      </c>
      <c r="L76" s="362"/>
      <c r="M76" s="159">
        <v>320</v>
      </c>
      <c r="N76" s="160"/>
      <c r="O76" s="161">
        <v>370</v>
      </c>
      <c r="P76" s="162">
        <v>430</v>
      </c>
      <c r="Q76" s="160"/>
      <c r="R76" s="247">
        <v>530</v>
      </c>
      <c r="S76" s="160"/>
      <c r="T76" s="161">
        <v>630</v>
      </c>
      <c r="U76" s="248">
        <v>830</v>
      </c>
      <c r="V76" s="162">
        <v>1030</v>
      </c>
      <c r="W76" s="249"/>
      <c r="X76" s="250">
        <v>1330</v>
      </c>
    </row>
    <row r="77" ht="21" customHeight="1" spans="1:24">
      <c r="A77" s="803" t="s">
        <v>269</v>
      </c>
      <c r="B77" s="804"/>
      <c r="C77" s="804"/>
      <c r="D77" s="804"/>
      <c r="E77" s="804"/>
      <c r="F77" s="804"/>
      <c r="G77" s="804"/>
      <c r="H77" s="804"/>
      <c r="I77" s="804"/>
      <c r="J77" s="804"/>
      <c r="K77" s="804"/>
      <c r="L77" s="804"/>
      <c r="M77" s="804"/>
      <c r="N77" s="804"/>
      <c r="O77" s="804"/>
      <c r="P77" s="804"/>
      <c r="Q77" s="804"/>
      <c r="R77" s="804"/>
      <c r="S77" s="804"/>
      <c r="T77" s="804"/>
      <c r="U77" s="804"/>
      <c r="V77" s="804"/>
      <c r="W77" s="804"/>
      <c r="X77" s="849"/>
    </row>
    <row r="78" ht="21" customHeight="1" spans="1:24">
      <c r="A78" s="805" t="s">
        <v>647</v>
      </c>
      <c r="B78" s="74"/>
      <c r="C78" s="321">
        <f t="shared" ref="C78:K78" si="9">INT(C74*1.35)</f>
        <v>81</v>
      </c>
      <c r="D78" s="322">
        <f t="shared" si="9"/>
        <v>94</v>
      </c>
      <c r="E78" s="322">
        <f t="shared" si="9"/>
        <v>108</v>
      </c>
      <c r="F78" s="322">
        <f t="shared" si="9"/>
        <v>128</v>
      </c>
      <c r="G78" s="322">
        <f t="shared" si="9"/>
        <v>148</v>
      </c>
      <c r="H78" s="322">
        <f t="shared" si="9"/>
        <v>168</v>
      </c>
      <c r="I78" s="322">
        <f t="shared" si="9"/>
        <v>189</v>
      </c>
      <c r="J78" s="322">
        <f t="shared" si="9"/>
        <v>209</v>
      </c>
      <c r="K78" s="361">
        <f t="shared" si="9"/>
        <v>256</v>
      </c>
      <c r="L78" s="362"/>
      <c r="M78" s="159">
        <f t="shared" ref="M78:P78" si="10">INT(M74*1.35)</f>
        <v>344</v>
      </c>
      <c r="N78" s="160"/>
      <c r="O78" s="161">
        <f t="shared" si="10"/>
        <v>472</v>
      </c>
      <c r="P78" s="162">
        <f t="shared" si="10"/>
        <v>614</v>
      </c>
      <c r="Q78" s="160"/>
      <c r="R78" s="247">
        <f t="shared" ref="R78:V78" si="11">INT(R74*1.35)</f>
        <v>742</v>
      </c>
      <c r="S78" s="160"/>
      <c r="T78" s="161">
        <f t="shared" si="11"/>
        <v>884</v>
      </c>
      <c r="U78" s="248">
        <f t="shared" si="11"/>
        <v>1012</v>
      </c>
      <c r="V78" s="162">
        <f t="shared" si="11"/>
        <v>1154</v>
      </c>
      <c r="W78" s="249"/>
      <c r="X78" s="250">
        <f>INT(X74*1.35)</f>
        <v>1296</v>
      </c>
    </row>
    <row r="79" ht="21" customHeight="1" spans="1:24">
      <c r="A79" s="306" t="s">
        <v>648</v>
      </c>
      <c r="B79" s="26"/>
      <c r="C79" s="336">
        <f t="shared" ref="C79:K79" si="12">INT(C75*1.35)</f>
        <v>81</v>
      </c>
      <c r="D79" s="337">
        <f t="shared" si="12"/>
        <v>101</v>
      </c>
      <c r="E79" s="337">
        <f t="shared" si="12"/>
        <v>121</v>
      </c>
      <c r="F79" s="337">
        <f t="shared" si="12"/>
        <v>141</v>
      </c>
      <c r="G79" s="337">
        <f t="shared" si="12"/>
        <v>168</v>
      </c>
      <c r="H79" s="337">
        <f t="shared" si="12"/>
        <v>195</v>
      </c>
      <c r="I79" s="337">
        <f t="shared" si="12"/>
        <v>222</v>
      </c>
      <c r="J79" s="337">
        <f t="shared" si="12"/>
        <v>263</v>
      </c>
      <c r="K79" s="379">
        <f t="shared" si="12"/>
        <v>303</v>
      </c>
      <c r="L79" s="380"/>
      <c r="M79" s="218">
        <f t="shared" ref="M79:P79" si="13">INT(M75*1.35)</f>
        <v>357</v>
      </c>
      <c r="N79" s="367"/>
      <c r="O79" s="203">
        <f t="shared" si="13"/>
        <v>411</v>
      </c>
      <c r="P79" s="204">
        <f t="shared" si="13"/>
        <v>465</v>
      </c>
      <c r="Q79" s="367"/>
      <c r="R79" s="272">
        <f t="shared" ref="R79:V79" si="14">INT(R75*1.35)</f>
        <v>533</v>
      </c>
      <c r="S79" s="367"/>
      <c r="T79" s="203">
        <f t="shared" si="14"/>
        <v>668</v>
      </c>
      <c r="U79" s="273">
        <f t="shared" si="14"/>
        <v>938</v>
      </c>
      <c r="V79" s="204">
        <f t="shared" si="14"/>
        <v>1208</v>
      </c>
      <c r="W79" s="403"/>
      <c r="X79" s="275">
        <f>INT(X75*1.35)</f>
        <v>1613</v>
      </c>
    </row>
    <row r="80" ht="21" customHeight="1" spans="1:24">
      <c r="A80" s="805" t="s">
        <v>649</v>
      </c>
      <c r="B80" s="74"/>
      <c r="C80" s="321">
        <f t="shared" ref="C80:K80" si="15">INT(C76*1.35)</f>
        <v>114</v>
      </c>
      <c r="D80" s="322">
        <f t="shared" si="15"/>
        <v>135</v>
      </c>
      <c r="E80" s="322">
        <f t="shared" si="15"/>
        <v>155</v>
      </c>
      <c r="F80" s="322">
        <f t="shared" si="15"/>
        <v>175</v>
      </c>
      <c r="G80" s="322">
        <f t="shared" si="15"/>
        <v>202</v>
      </c>
      <c r="H80" s="322">
        <f t="shared" si="15"/>
        <v>229</v>
      </c>
      <c r="I80" s="322">
        <f t="shared" si="15"/>
        <v>256</v>
      </c>
      <c r="J80" s="322">
        <f t="shared" si="15"/>
        <v>310</v>
      </c>
      <c r="K80" s="361">
        <f t="shared" si="15"/>
        <v>364</v>
      </c>
      <c r="L80" s="362"/>
      <c r="M80" s="159">
        <f t="shared" ref="M80:P80" si="16">INT(M76*1.35)</f>
        <v>432</v>
      </c>
      <c r="N80" s="160"/>
      <c r="O80" s="161">
        <f t="shared" si="16"/>
        <v>499</v>
      </c>
      <c r="P80" s="162">
        <f t="shared" si="16"/>
        <v>580</v>
      </c>
      <c r="Q80" s="160"/>
      <c r="R80" s="247">
        <f t="shared" ref="R80:V80" si="17">INT(R76*1.35)</f>
        <v>715</v>
      </c>
      <c r="S80" s="160"/>
      <c r="T80" s="161">
        <f t="shared" si="17"/>
        <v>850</v>
      </c>
      <c r="U80" s="248">
        <f t="shared" si="17"/>
        <v>1120</v>
      </c>
      <c r="V80" s="162">
        <f t="shared" si="17"/>
        <v>1390</v>
      </c>
      <c r="W80" s="249"/>
      <c r="X80" s="250">
        <f>INT(X76*1.35)</f>
        <v>1795</v>
      </c>
    </row>
    <row r="81" ht="21" customHeight="1" spans="1:24">
      <c r="A81" s="59" t="s">
        <v>18</v>
      </c>
      <c r="B81" s="60"/>
      <c r="C81" s="61">
        <v>0</v>
      </c>
      <c r="D81" s="62">
        <v>1</v>
      </c>
      <c r="E81" s="62">
        <v>2</v>
      </c>
      <c r="F81" s="63">
        <v>3</v>
      </c>
      <c r="G81" s="62">
        <v>4</v>
      </c>
      <c r="H81" s="64">
        <v>5</v>
      </c>
      <c r="I81" s="62">
        <v>6</v>
      </c>
      <c r="J81" s="174">
        <v>7</v>
      </c>
      <c r="K81" s="175">
        <v>8</v>
      </c>
      <c r="L81" s="86" t="s">
        <v>650</v>
      </c>
      <c r="M81" s="205"/>
      <c r="N81" s="205"/>
      <c r="O81" s="205"/>
      <c r="P81" s="205"/>
      <c r="Q81" s="205"/>
      <c r="R81" s="205"/>
      <c r="S81" s="205"/>
      <c r="T81" s="205"/>
      <c r="U81" s="205"/>
      <c r="V81" s="205"/>
      <c r="W81" s="205"/>
      <c r="X81" s="276"/>
    </row>
    <row r="82" ht="21" customHeight="1" spans="1:24">
      <c r="A82" s="65" t="s">
        <v>644</v>
      </c>
      <c r="B82" s="692"/>
      <c r="C82" s="66">
        <v>6</v>
      </c>
      <c r="D82" s="67">
        <v>5.8</v>
      </c>
      <c r="E82" s="67">
        <v>5.6</v>
      </c>
      <c r="F82" s="93">
        <v>5.4</v>
      </c>
      <c r="G82" s="67">
        <v>5.2</v>
      </c>
      <c r="H82" s="69">
        <v>5</v>
      </c>
      <c r="I82" s="67">
        <v>4.8</v>
      </c>
      <c r="J82" s="178">
        <v>4.6</v>
      </c>
      <c r="K82" s="378">
        <v>4.3</v>
      </c>
      <c r="L82" s="86" t="s">
        <v>651</v>
      </c>
      <c r="M82" s="205"/>
      <c r="N82" s="205"/>
      <c r="O82" s="205"/>
      <c r="P82" s="205"/>
      <c r="Q82" s="205"/>
      <c r="R82" s="205"/>
      <c r="S82" s="205"/>
      <c r="T82" s="205"/>
      <c r="U82" s="205"/>
      <c r="V82" s="205"/>
      <c r="W82" s="205"/>
      <c r="X82" s="276"/>
    </row>
    <row r="83" ht="21" customHeight="1" spans="1:24">
      <c r="A83" s="25" t="s">
        <v>645</v>
      </c>
      <c r="B83" s="26"/>
      <c r="C83" s="89">
        <v>6</v>
      </c>
      <c r="D83" s="90">
        <v>5.8</v>
      </c>
      <c r="E83" s="90">
        <v>5.6</v>
      </c>
      <c r="F83" s="91">
        <v>5.4</v>
      </c>
      <c r="G83" s="90">
        <v>5.2</v>
      </c>
      <c r="H83" s="92">
        <v>5</v>
      </c>
      <c r="I83" s="90">
        <v>4.8</v>
      </c>
      <c r="J83" s="206">
        <v>4.6</v>
      </c>
      <c r="K83" s="658">
        <v>4.3</v>
      </c>
      <c r="L83" s="86" t="s">
        <v>652</v>
      </c>
      <c r="M83" s="205"/>
      <c r="N83" s="205"/>
      <c r="O83" s="205"/>
      <c r="P83" s="205"/>
      <c r="Q83" s="205"/>
      <c r="R83" s="205"/>
      <c r="S83" s="205"/>
      <c r="T83" s="205"/>
      <c r="U83" s="205"/>
      <c r="V83" s="205"/>
      <c r="W83" s="205"/>
      <c r="X83" s="276"/>
    </row>
    <row r="84" ht="21" customHeight="1" spans="1:24">
      <c r="A84" s="65" t="s">
        <v>646</v>
      </c>
      <c r="B84" s="692"/>
      <c r="C84" s="66">
        <v>6</v>
      </c>
      <c r="D84" s="67">
        <v>5.8</v>
      </c>
      <c r="E84" s="67">
        <v>5.6</v>
      </c>
      <c r="F84" s="93">
        <v>5.4</v>
      </c>
      <c r="G84" s="67">
        <v>5.2</v>
      </c>
      <c r="H84" s="69">
        <v>5</v>
      </c>
      <c r="I84" s="67">
        <v>4.8</v>
      </c>
      <c r="J84" s="178">
        <v>4.6</v>
      </c>
      <c r="K84" s="378">
        <v>4.3</v>
      </c>
      <c r="L84" s="26" t="s">
        <v>653</v>
      </c>
      <c r="M84" s="315"/>
      <c r="N84" s="315"/>
      <c r="O84" s="315"/>
      <c r="P84" s="315"/>
      <c r="Q84" s="315"/>
      <c r="R84" s="315"/>
      <c r="S84" s="315"/>
      <c r="T84" s="315"/>
      <c r="U84" s="315"/>
      <c r="V84" s="315"/>
      <c r="W84" s="315"/>
      <c r="X84" s="319"/>
    </row>
    <row r="85" ht="21" customHeight="1"/>
    <row r="86" ht="21" customHeight="1" spans="1:24">
      <c r="A86" s="21" t="s">
        <v>8</v>
      </c>
      <c r="B86" s="22"/>
      <c r="C86" s="23">
        <v>0</v>
      </c>
      <c r="D86" s="24">
        <v>1</v>
      </c>
      <c r="E86" s="24">
        <v>2</v>
      </c>
      <c r="F86" s="24">
        <v>3</v>
      </c>
      <c r="G86" s="24">
        <v>4</v>
      </c>
      <c r="H86" s="24">
        <v>5</v>
      </c>
      <c r="I86" s="24">
        <v>6</v>
      </c>
      <c r="J86" s="24">
        <v>7</v>
      </c>
      <c r="K86" s="135">
        <v>8</v>
      </c>
      <c r="L86" s="136">
        <v>9</v>
      </c>
      <c r="M86" s="137"/>
      <c r="N86" s="137"/>
      <c r="O86" s="139">
        <v>10</v>
      </c>
      <c r="P86" s="140">
        <v>11</v>
      </c>
      <c r="Q86" s="236">
        <v>12</v>
      </c>
      <c r="R86" s="236"/>
      <c r="S86" s="236"/>
      <c r="T86" s="139">
        <v>13</v>
      </c>
      <c r="U86" s="237">
        <v>14</v>
      </c>
      <c r="V86" s="140">
        <v>15</v>
      </c>
      <c r="W86" s="137">
        <v>16</v>
      </c>
      <c r="X86" s="138"/>
    </row>
    <row r="87" ht="21" customHeight="1" spans="1:24">
      <c r="A87" s="73" t="s">
        <v>654</v>
      </c>
      <c r="B87" s="73"/>
      <c r="C87" s="75">
        <v>12</v>
      </c>
      <c r="D87" s="76">
        <v>14</v>
      </c>
      <c r="E87" s="76">
        <v>17</v>
      </c>
      <c r="F87" s="76">
        <v>19</v>
      </c>
      <c r="G87" s="76">
        <v>22</v>
      </c>
      <c r="H87" s="76">
        <v>24</v>
      </c>
      <c r="I87" s="76">
        <v>26</v>
      </c>
      <c r="J87" s="76">
        <v>31</v>
      </c>
      <c r="K87" s="182">
        <v>38</v>
      </c>
      <c r="L87" s="878"/>
      <c r="M87" s="197">
        <v>48</v>
      </c>
      <c r="N87" s="879"/>
      <c r="O87" s="161">
        <v>66</v>
      </c>
      <c r="P87" s="162">
        <v>84</v>
      </c>
      <c r="Q87" s="879"/>
      <c r="R87" s="247">
        <v>102</v>
      </c>
      <c r="S87" s="879"/>
      <c r="T87" s="161">
        <v>120</v>
      </c>
      <c r="U87" s="248">
        <v>138</v>
      </c>
      <c r="V87" s="162">
        <v>156</v>
      </c>
      <c r="W87" s="903"/>
      <c r="X87" s="250">
        <v>176</v>
      </c>
    </row>
    <row r="88" ht="21" customHeight="1" spans="1:24">
      <c r="A88" s="73" t="s">
        <v>109</v>
      </c>
      <c r="B88" s="73"/>
      <c r="C88" s="75">
        <f t="shared" ref="C88:X88" si="18">INT(C87*1.1)+INT(C87*0.07)</f>
        <v>13</v>
      </c>
      <c r="D88" s="76">
        <f t="shared" si="18"/>
        <v>15</v>
      </c>
      <c r="E88" s="76">
        <f t="shared" si="18"/>
        <v>19</v>
      </c>
      <c r="F88" s="76">
        <f t="shared" si="18"/>
        <v>21</v>
      </c>
      <c r="G88" s="76">
        <f t="shared" si="18"/>
        <v>25</v>
      </c>
      <c r="H88" s="76">
        <f t="shared" si="18"/>
        <v>27</v>
      </c>
      <c r="I88" s="76">
        <f t="shared" si="18"/>
        <v>29</v>
      </c>
      <c r="J88" s="76">
        <f t="shared" si="18"/>
        <v>36</v>
      </c>
      <c r="K88" s="182">
        <f t="shared" si="18"/>
        <v>43</v>
      </c>
      <c r="L88" s="183">
        <f t="shared" si="18"/>
        <v>0</v>
      </c>
      <c r="M88" s="159">
        <f t="shared" si="18"/>
        <v>55</v>
      </c>
      <c r="N88" s="184">
        <f t="shared" si="18"/>
        <v>0</v>
      </c>
      <c r="O88" s="161">
        <f t="shared" si="18"/>
        <v>76</v>
      </c>
      <c r="P88" s="162">
        <f t="shared" si="18"/>
        <v>97</v>
      </c>
      <c r="Q88" s="184">
        <f t="shared" si="18"/>
        <v>0</v>
      </c>
      <c r="R88" s="247">
        <f t="shared" si="18"/>
        <v>119</v>
      </c>
      <c r="S88" s="184">
        <f t="shared" si="18"/>
        <v>0</v>
      </c>
      <c r="T88" s="161">
        <f t="shared" si="18"/>
        <v>140</v>
      </c>
      <c r="U88" s="248">
        <f t="shared" si="18"/>
        <v>160</v>
      </c>
      <c r="V88" s="162">
        <f t="shared" si="18"/>
        <v>181</v>
      </c>
      <c r="W88" s="261">
        <f t="shared" si="18"/>
        <v>0</v>
      </c>
      <c r="X88" s="250">
        <f t="shared" si="18"/>
        <v>205</v>
      </c>
    </row>
    <row r="89" ht="21" customHeight="1" spans="1:24">
      <c r="A89" s="25" t="s">
        <v>110</v>
      </c>
      <c r="B89" s="25"/>
      <c r="C89" s="113">
        <f t="shared" ref="C89:X89" si="19">INT(INT(C87*1.1)*1.07)</f>
        <v>13</v>
      </c>
      <c r="D89" s="307">
        <f t="shared" si="19"/>
        <v>16</v>
      </c>
      <c r="E89" s="307">
        <f t="shared" si="19"/>
        <v>19</v>
      </c>
      <c r="F89" s="307">
        <f t="shared" si="19"/>
        <v>21</v>
      </c>
      <c r="G89" s="307">
        <f t="shared" si="19"/>
        <v>25</v>
      </c>
      <c r="H89" s="307">
        <f t="shared" si="19"/>
        <v>27</v>
      </c>
      <c r="I89" s="307">
        <f t="shared" si="19"/>
        <v>29</v>
      </c>
      <c r="J89" s="307">
        <f t="shared" si="19"/>
        <v>36</v>
      </c>
      <c r="K89" s="312">
        <f t="shared" si="19"/>
        <v>43</v>
      </c>
      <c r="L89" s="506">
        <f t="shared" si="19"/>
        <v>0</v>
      </c>
      <c r="M89" s="155">
        <f t="shared" si="19"/>
        <v>55</v>
      </c>
      <c r="N89" s="508">
        <f t="shared" si="19"/>
        <v>0</v>
      </c>
      <c r="O89" s="145">
        <f t="shared" si="19"/>
        <v>77</v>
      </c>
      <c r="P89" s="146">
        <f t="shared" si="19"/>
        <v>98</v>
      </c>
      <c r="Q89" s="508">
        <f t="shared" si="19"/>
        <v>0</v>
      </c>
      <c r="R89" s="238">
        <f t="shared" si="19"/>
        <v>119</v>
      </c>
      <c r="S89" s="508">
        <f t="shared" si="19"/>
        <v>0</v>
      </c>
      <c r="T89" s="145">
        <f t="shared" si="19"/>
        <v>141</v>
      </c>
      <c r="U89" s="239">
        <f t="shared" si="19"/>
        <v>161</v>
      </c>
      <c r="V89" s="146">
        <f t="shared" si="19"/>
        <v>182</v>
      </c>
      <c r="W89" s="424">
        <f t="shared" si="19"/>
        <v>0</v>
      </c>
      <c r="X89" s="241">
        <f t="shared" si="19"/>
        <v>206</v>
      </c>
    </row>
    <row r="90" ht="21" customHeight="1" spans="1:24">
      <c r="A90" s="73" t="s">
        <v>111</v>
      </c>
      <c r="B90" s="73"/>
      <c r="C90" s="856">
        <f t="shared" ref="C90:X90" si="20">INT(INT(C87*1.07)*1.1)</f>
        <v>13</v>
      </c>
      <c r="D90" s="76">
        <f t="shared" si="20"/>
        <v>15</v>
      </c>
      <c r="E90" s="76">
        <f t="shared" si="20"/>
        <v>19</v>
      </c>
      <c r="F90" s="76">
        <f t="shared" si="20"/>
        <v>22</v>
      </c>
      <c r="G90" s="76">
        <f t="shared" si="20"/>
        <v>25</v>
      </c>
      <c r="H90" s="76">
        <f t="shared" si="20"/>
        <v>27</v>
      </c>
      <c r="I90" s="76">
        <f t="shared" si="20"/>
        <v>29</v>
      </c>
      <c r="J90" s="76">
        <f t="shared" si="20"/>
        <v>36</v>
      </c>
      <c r="K90" s="182">
        <f t="shared" si="20"/>
        <v>44</v>
      </c>
      <c r="L90" s="511">
        <f t="shared" si="20"/>
        <v>0</v>
      </c>
      <c r="M90" s="197">
        <f t="shared" si="20"/>
        <v>56</v>
      </c>
      <c r="N90" s="513">
        <f t="shared" si="20"/>
        <v>0</v>
      </c>
      <c r="O90" s="161">
        <f t="shared" si="20"/>
        <v>77</v>
      </c>
      <c r="P90" s="162">
        <f t="shared" si="20"/>
        <v>97</v>
      </c>
      <c r="Q90" s="513">
        <f t="shared" si="20"/>
        <v>0</v>
      </c>
      <c r="R90" s="247">
        <f t="shared" si="20"/>
        <v>119</v>
      </c>
      <c r="S90" s="513">
        <f t="shared" si="20"/>
        <v>0</v>
      </c>
      <c r="T90" s="161">
        <f t="shared" si="20"/>
        <v>140</v>
      </c>
      <c r="U90" s="248">
        <f t="shared" si="20"/>
        <v>161</v>
      </c>
      <c r="V90" s="162">
        <f t="shared" si="20"/>
        <v>182</v>
      </c>
      <c r="W90" s="904">
        <f t="shared" si="20"/>
        <v>0</v>
      </c>
      <c r="X90" s="250">
        <f t="shared" si="20"/>
        <v>206</v>
      </c>
    </row>
    <row r="91" ht="21" customHeight="1" spans="1:24">
      <c r="A91" s="25" t="s">
        <v>112</v>
      </c>
      <c r="B91" s="25"/>
      <c r="C91" s="113">
        <f t="shared" ref="C91:X91" si="21">INT(C87*1.1*1.07)</f>
        <v>14</v>
      </c>
      <c r="D91" s="307">
        <f t="shared" si="21"/>
        <v>16</v>
      </c>
      <c r="E91" s="307">
        <f t="shared" si="21"/>
        <v>20</v>
      </c>
      <c r="F91" s="307">
        <f t="shared" si="21"/>
        <v>22</v>
      </c>
      <c r="G91" s="307">
        <f t="shared" si="21"/>
        <v>25</v>
      </c>
      <c r="H91" s="307">
        <f t="shared" si="21"/>
        <v>28</v>
      </c>
      <c r="I91" s="307">
        <f t="shared" si="21"/>
        <v>30</v>
      </c>
      <c r="J91" s="307">
        <f t="shared" si="21"/>
        <v>36</v>
      </c>
      <c r="K91" s="312">
        <f t="shared" si="21"/>
        <v>44</v>
      </c>
      <c r="L91" s="506">
        <f t="shared" si="21"/>
        <v>0</v>
      </c>
      <c r="M91" s="155">
        <f t="shared" si="21"/>
        <v>56</v>
      </c>
      <c r="N91" s="508">
        <f t="shared" si="21"/>
        <v>0</v>
      </c>
      <c r="O91" s="145">
        <f t="shared" si="21"/>
        <v>77</v>
      </c>
      <c r="P91" s="146">
        <f t="shared" si="21"/>
        <v>98</v>
      </c>
      <c r="Q91" s="508">
        <f t="shared" si="21"/>
        <v>0</v>
      </c>
      <c r="R91" s="238">
        <f t="shared" si="21"/>
        <v>120</v>
      </c>
      <c r="S91" s="508">
        <f t="shared" si="21"/>
        <v>0</v>
      </c>
      <c r="T91" s="145">
        <f t="shared" si="21"/>
        <v>141</v>
      </c>
      <c r="U91" s="239">
        <f t="shared" si="21"/>
        <v>162</v>
      </c>
      <c r="V91" s="146">
        <f t="shared" si="21"/>
        <v>183</v>
      </c>
      <c r="W91" s="424">
        <f t="shared" si="21"/>
        <v>0</v>
      </c>
      <c r="X91" s="241">
        <f t="shared" si="21"/>
        <v>207</v>
      </c>
    </row>
    <row r="92" ht="21" customHeight="1"/>
    <row r="93" ht="21" customHeight="1" spans="1:24">
      <c r="A93" s="21" t="s">
        <v>8</v>
      </c>
      <c r="B93" s="22"/>
      <c r="C93" s="23">
        <v>0</v>
      </c>
      <c r="D93" s="24">
        <v>1</v>
      </c>
      <c r="E93" s="24">
        <v>2</v>
      </c>
      <c r="F93" s="24">
        <v>3</v>
      </c>
      <c r="G93" s="135">
        <v>4</v>
      </c>
      <c r="H93" s="857">
        <v>5</v>
      </c>
      <c r="I93" s="880">
        <v>6</v>
      </c>
      <c r="J93" s="24">
        <v>7</v>
      </c>
      <c r="K93" s="135">
        <v>8</v>
      </c>
      <c r="L93" s="136">
        <v>9</v>
      </c>
      <c r="M93" s="137"/>
      <c r="N93" s="137"/>
      <c r="O93" s="881">
        <v>10</v>
      </c>
      <c r="P93" s="882">
        <v>11</v>
      </c>
      <c r="Q93" s="236">
        <v>12</v>
      </c>
      <c r="R93" s="236"/>
      <c r="S93" s="236"/>
      <c r="T93" s="139">
        <v>13</v>
      </c>
      <c r="U93" s="237">
        <v>14</v>
      </c>
      <c r="V93" s="140">
        <v>15</v>
      </c>
      <c r="W93" s="137">
        <v>16</v>
      </c>
      <c r="X93" s="138"/>
    </row>
    <row r="94" ht="21" customHeight="1" spans="1:24">
      <c r="A94" s="73" t="s">
        <v>654</v>
      </c>
      <c r="B94" s="73"/>
      <c r="C94" s="75">
        <v>12</v>
      </c>
      <c r="D94" s="76">
        <v>14</v>
      </c>
      <c r="E94" s="76">
        <v>17</v>
      </c>
      <c r="F94" s="76">
        <v>19</v>
      </c>
      <c r="G94" s="858">
        <v>22</v>
      </c>
      <c r="H94" s="859">
        <v>24</v>
      </c>
      <c r="I94" s="158">
        <v>26</v>
      </c>
      <c r="J94" s="76">
        <v>31</v>
      </c>
      <c r="K94" s="182">
        <v>38</v>
      </c>
      <c r="L94" s="878"/>
      <c r="M94" s="197">
        <v>48</v>
      </c>
      <c r="N94" s="879"/>
      <c r="O94" s="883">
        <v>66</v>
      </c>
      <c r="P94" s="884">
        <v>84</v>
      </c>
      <c r="Q94" s="879"/>
      <c r="R94" s="247">
        <v>102</v>
      </c>
      <c r="S94" s="879"/>
      <c r="T94" s="161">
        <v>120</v>
      </c>
      <c r="U94" s="248">
        <v>138</v>
      </c>
      <c r="V94" s="162">
        <v>156</v>
      </c>
      <c r="W94" s="903"/>
      <c r="X94" s="250">
        <v>176</v>
      </c>
    </row>
    <row r="95" ht="21" customHeight="1" spans="1:24">
      <c r="A95" s="73" t="s">
        <v>109</v>
      </c>
      <c r="B95" s="73"/>
      <c r="C95" s="75">
        <f t="shared" ref="C95:X95" si="22">INT(C94*1.1)+INT(C94*0.04)</f>
        <v>13</v>
      </c>
      <c r="D95" s="76">
        <f t="shared" si="22"/>
        <v>15</v>
      </c>
      <c r="E95" s="76">
        <f t="shared" si="22"/>
        <v>18</v>
      </c>
      <c r="F95" s="76">
        <f t="shared" si="22"/>
        <v>20</v>
      </c>
      <c r="G95" s="858">
        <f t="shared" si="22"/>
        <v>24</v>
      </c>
      <c r="H95" s="859">
        <f t="shared" si="22"/>
        <v>26</v>
      </c>
      <c r="I95" s="158">
        <f t="shared" si="22"/>
        <v>29</v>
      </c>
      <c r="J95" s="76">
        <f t="shared" si="22"/>
        <v>35</v>
      </c>
      <c r="K95" s="182">
        <f t="shared" si="22"/>
        <v>42</v>
      </c>
      <c r="L95" s="183">
        <f t="shared" si="22"/>
        <v>0</v>
      </c>
      <c r="M95" s="159">
        <f t="shared" si="22"/>
        <v>53</v>
      </c>
      <c r="N95" s="184">
        <f t="shared" si="22"/>
        <v>0</v>
      </c>
      <c r="O95" s="883">
        <f t="shared" si="22"/>
        <v>74</v>
      </c>
      <c r="P95" s="884">
        <f t="shared" si="22"/>
        <v>95</v>
      </c>
      <c r="Q95" s="184">
        <f t="shared" si="22"/>
        <v>0</v>
      </c>
      <c r="R95" s="247">
        <f t="shared" si="22"/>
        <v>116</v>
      </c>
      <c r="S95" s="184">
        <f t="shared" si="22"/>
        <v>0</v>
      </c>
      <c r="T95" s="161">
        <f t="shared" si="22"/>
        <v>136</v>
      </c>
      <c r="U95" s="248">
        <f t="shared" si="22"/>
        <v>156</v>
      </c>
      <c r="V95" s="162">
        <f t="shared" si="22"/>
        <v>177</v>
      </c>
      <c r="W95" s="261">
        <f t="shared" si="22"/>
        <v>0</v>
      </c>
      <c r="X95" s="250">
        <f t="shared" si="22"/>
        <v>200</v>
      </c>
    </row>
    <row r="96" ht="21" customHeight="1" spans="1:24">
      <c r="A96" s="25" t="s">
        <v>110</v>
      </c>
      <c r="B96" s="25"/>
      <c r="C96" s="113">
        <f t="shared" ref="C96:X96" si="23">INT(INT(C94*1.1)*1.04)</f>
        <v>13</v>
      </c>
      <c r="D96" s="307">
        <f t="shared" si="23"/>
        <v>15</v>
      </c>
      <c r="E96" s="307">
        <f t="shared" si="23"/>
        <v>18</v>
      </c>
      <c r="F96" s="307">
        <f t="shared" si="23"/>
        <v>20</v>
      </c>
      <c r="G96" s="860">
        <f t="shared" si="23"/>
        <v>24</v>
      </c>
      <c r="H96" s="861">
        <f t="shared" si="23"/>
        <v>27</v>
      </c>
      <c r="I96" s="364">
        <f t="shared" si="23"/>
        <v>29</v>
      </c>
      <c r="J96" s="307">
        <f t="shared" si="23"/>
        <v>35</v>
      </c>
      <c r="K96" s="312">
        <f t="shared" si="23"/>
        <v>42</v>
      </c>
      <c r="L96" s="506">
        <f t="shared" si="23"/>
        <v>0</v>
      </c>
      <c r="M96" s="155">
        <f t="shared" si="23"/>
        <v>54</v>
      </c>
      <c r="N96" s="508">
        <f t="shared" si="23"/>
        <v>0</v>
      </c>
      <c r="O96" s="885">
        <f t="shared" si="23"/>
        <v>74</v>
      </c>
      <c r="P96" s="886">
        <f t="shared" si="23"/>
        <v>95</v>
      </c>
      <c r="Q96" s="508">
        <f t="shared" si="23"/>
        <v>0</v>
      </c>
      <c r="R96" s="238">
        <f t="shared" si="23"/>
        <v>116</v>
      </c>
      <c r="S96" s="508">
        <f t="shared" si="23"/>
        <v>0</v>
      </c>
      <c r="T96" s="145">
        <f t="shared" si="23"/>
        <v>137</v>
      </c>
      <c r="U96" s="239">
        <f t="shared" si="23"/>
        <v>157</v>
      </c>
      <c r="V96" s="146">
        <f t="shared" si="23"/>
        <v>177</v>
      </c>
      <c r="W96" s="424">
        <f t="shared" si="23"/>
        <v>0</v>
      </c>
      <c r="X96" s="241">
        <f t="shared" si="23"/>
        <v>200</v>
      </c>
    </row>
    <row r="97" ht="21" customHeight="1" spans="1:24">
      <c r="A97" s="73" t="s">
        <v>111</v>
      </c>
      <c r="B97" s="73"/>
      <c r="C97" s="856">
        <f t="shared" ref="C97:X97" si="24">INT(INT(C94*1.04)*1.1)</f>
        <v>13</v>
      </c>
      <c r="D97" s="76">
        <f t="shared" si="24"/>
        <v>15</v>
      </c>
      <c r="E97" s="76">
        <f t="shared" si="24"/>
        <v>18</v>
      </c>
      <c r="F97" s="76">
        <f t="shared" si="24"/>
        <v>20</v>
      </c>
      <c r="G97" s="858">
        <f t="shared" si="24"/>
        <v>24</v>
      </c>
      <c r="H97" s="859">
        <f t="shared" si="24"/>
        <v>26</v>
      </c>
      <c r="I97" s="158">
        <f t="shared" si="24"/>
        <v>29</v>
      </c>
      <c r="J97" s="76">
        <f t="shared" si="24"/>
        <v>35</v>
      </c>
      <c r="K97" s="182">
        <f t="shared" si="24"/>
        <v>42</v>
      </c>
      <c r="L97" s="511">
        <f t="shared" si="24"/>
        <v>0</v>
      </c>
      <c r="M97" s="197">
        <f t="shared" si="24"/>
        <v>53</v>
      </c>
      <c r="N97" s="513">
        <f t="shared" si="24"/>
        <v>0</v>
      </c>
      <c r="O97" s="883">
        <f t="shared" si="24"/>
        <v>74</v>
      </c>
      <c r="P97" s="884">
        <f t="shared" si="24"/>
        <v>95</v>
      </c>
      <c r="Q97" s="513">
        <f t="shared" si="24"/>
        <v>0</v>
      </c>
      <c r="R97" s="247">
        <f t="shared" si="24"/>
        <v>116</v>
      </c>
      <c r="S97" s="513">
        <f t="shared" si="24"/>
        <v>0</v>
      </c>
      <c r="T97" s="161">
        <f t="shared" si="24"/>
        <v>136</v>
      </c>
      <c r="U97" s="248">
        <f t="shared" si="24"/>
        <v>157</v>
      </c>
      <c r="V97" s="162">
        <f t="shared" si="24"/>
        <v>178</v>
      </c>
      <c r="W97" s="904">
        <f t="shared" si="24"/>
        <v>0</v>
      </c>
      <c r="X97" s="250">
        <f t="shared" si="24"/>
        <v>201</v>
      </c>
    </row>
    <row r="98" ht="21" customHeight="1" spans="1:24">
      <c r="A98" s="25" t="s">
        <v>112</v>
      </c>
      <c r="B98" s="25"/>
      <c r="C98" s="113">
        <f t="shared" ref="C98:X98" si="25">INT(C94*1.1*1.04)</f>
        <v>13</v>
      </c>
      <c r="D98" s="307">
        <f t="shared" si="25"/>
        <v>16</v>
      </c>
      <c r="E98" s="307">
        <f t="shared" si="25"/>
        <v>19</v>
      </c>
      <c r="F98" s="307">
        <f t="shared" si="25"/>
        <v>21</v>
      </c>
      <c r="G98" s="860">
        <f t="shared" si="25"/>
        <v>25</v>
      </c>
      <c r="H98" s="862">
        <f t="shared" si="25"/>
        <v>27</v>
      </c>
      <c r="I98" s="364">
        <f t="shared" si="25"/>
        <v>29</v>
      </c>
      <c r="J98" s="307">
        <f t="shared" si="25"/>
        <v>35</v>
      </c>
      <c r="K98" s="312">
        <f t="shared" si="25"/>
        <v>43</v>
      </c>
      <c r="L98" s="506">
        <f t="shared" si="25"/>
        <v>0</v>
      </c>
      <c r="M98" s="155">
        <f t="shared" si="25"/>
        <v>54</v>
      </c>
      <c r="N98" s="508">
        <f t="shared" si="25"/>
        <v>0</v>
      </c>
      <c r="O98" s="885">
        <f t="shared" si="25"/>
        <v>75</v>
      </c>
      <c r="P98" s="887">
        <f t="shared" si="25"/>
        <v>96</v>
      </c>
      <c r="Q98" s="508">
        <f t="shared" si="25"/>
        <v>0</v>
      </c>
      <c r="R98" s="238">
        <f t="shared" si="25"/>
        <v>116</v>
      </c>
      <c r="S98" s="508">
        <f t="shared" si="25"/>
        <v>0</v>
      </c>
      <c r="T98" s="145">
        <f t="shared" si="25"/>
        <v>137</v>
      </c>
      <c r="U98" s="239">
        <f t="shared" si="25"/>
        <v>157</v>
      </c>
      <c r="V98" s="146">
        <f t="shared" si="25"/>
        <v>178</v>
      </c>
      <c r="W98" s="424">
        <f t="shared" si="25"/>
        <v>0</v>
      </c>
      <c r="X98" s="241">
        <f t="shared" si="25"/>
        <v>201</v>
      </c>
    </row>
    <row r="99" ht="21" customHeight="1"/>
    <row r="100" ht="21" customHeight="1" spans="1:24">
      <c r="A100" s="863" t="s">
        <v>502</v>
      </c>
      <c r="B100" s="863" t="s">
        <v>503</v>
      </c>
      <c r="C100" s="864">
        <v>6</v>
      </c>
      <c r="D100" s="865">
        <v>6.33333333333333</v>
      </c>
      <c r="E100" s="865">
        <v>6.66666666666667</v>
      </c>
      <c r="F100" s="866">
        <v>7</v>
      </c>
      <c r="G100" s="865">
        <v>7.5</v>
      </c>
      <c r="H100" s="867">
        <v>8</v>
      </c>
      <c r="I100" s="865">
        <v>8.5</v>
      </c>
      <c r="J100" s="888">
        <v>9.5</v>
      </c>
      <c r="K100" s="889">
        <v>10.5</v>
      </c>
      <c r="L100" s="890"/>
      <c r="M100" s="891">
        <v>11.5</v>
      </c>
      <c r="N100" s="892"/>
      <c r="O100" s="815">
        <v>12.8333333333333</v>
      </c>
      <c r="P100" s="816">
        <v>14.1666666666667</v>
      </c>
      <c r="Q100" s="892"/>
      <c r="R100" s="841">
        <v>15.5</v>
      </c>
      <c r="S100" s="892"/>
      <c r="T100" s="815">
        <v>16.8333333333333</v>
      </c>
      <c r="U100" s="842">
        <v>18.1666666666667</v>
      </c>
      <c r="V100" s="816">
        <v>19.5</v>
      </c>
      <c r="W100" s="905"/>
      <c r="X100" s="844">
        <v>20</v>
      </c>
    </row>
    <row r="101" ht="21" customHeight="1" spans="1:24">
      <c r="A101" s="25" t="s">
        <v>490</v>
      </c>
      <c r="B101" s="25" t="s">
        <v>503</v>
      </c>
      <c r="C101" s="89">
        <v>20</v>
      </c>
      <c r="D101" s="90">
        <v>20</v>
      </c>
      <c r="E101" s="90">
        <v>20</v>
      </c>
      <c r="F101" s="91">
        <v>20</v>
      </c>
      <c r="G101" s="90">
        <v>20</v>
      </c>
      <c r="H101" s="92">
        <v>20</v>
      </c>
      <c r="I101" s="90">
        <v>20</v>
      </c>
      <c r="J101" s="206">
        <v>20</v>
      </c>
      <c r="K101" s="658">
        <v>20</v>
      </c>
      <c r="L101" s="154"/>
      <c r="M101" s="155">
        <v>20</v>
      </c>
      <c r="N101" s="156"/>
      <c r="O101" s="145">
        <v>20</v>
      </c>
      <c r="P101" s="146">
        <v>20</v>
      </c>
      <c r="Q101" s="156"/>
      <c r="R101" s="238">
        <v>20</v>
      </c>
      <c r="S101" s="156"/>
      <c r="T101" s="145">
        <v>20</v>
      </c>
      <c r="U101" s="239">
        <v>20</v>
      </c>
      <c r="V101" s="146">
        <v>20</v>
      </c>
      <c r="W101" s="246"/>
      <c r="X101" s="241">
        <v>20</v>
      </c>
    </row>
    <row r="102" ht="21" customHeight="1" spans="1:24">
      <c r="A102" s="863" t="s">
        <v>500</v>
      </c>
      <c r="B102" s="863" t="s">
        <v>504</v>
      </c>
      <c r="C102" s="864">
        <f t="shared" ref="C102:K102" si="26">C25/60</f>
        <v>0.166666666666667</v>
      </c>
      <c r="D102" s="865">
        <f t="shared" si="26"/>
        <v>0.2</v>
      </c>
      <c r="E102" s="865">
        <f t="shared" si="26"/>
        <v>0.233333333333333</v>
      </c>
      <c r="F102" s="866">
        <f t="shared" si="26"/>
        <v>0.266666666666667</v>
      </c>
      <c r="G102" s="865">
        <f t="shared" si="26"/>
        <v>0.3</v>
      </c>
      <c r="H102" s="867">
        <f t="shared" si="26"/>
        <v>0.333333333333333</v>
      </c>
      <c r="I102" s="865">
        <f t="shared" si="26"/>
        <v>0.366666666666667</v>
      </c>
      <c r="J102" s="888">
        <f t="shared" si="26"/>
        <v>0.433333333333333</v>
      </c>
      <c r="K102" s="889">
        <f t="shared" si="26"/>
        <v>0.533333333333333</v>
      </c>
      <c r="L102" s="890"/>
      <c r="M102" s="891">
        <f t="shared" ref="M102:P102" si="27">M25/60</f>
        <v>0.666666666666667</v>
      </c>
      <c r="N102" s="892"/>
      <c r="O102" s="815">
        <f t="shared" si="27"/>
        <v>0.916666666666667</v>
      </c>
      <c r="P102" s="816">
        <f t="shared" si="27"/>
        <v>1.16666666666667</v>
      </c>
      <c r="Q102" s="892"/>
      <c r="R102" s="841">
        <f t="shared" ref="R102:V102" si="28">R25/60</f>
        <v>1.41666666666667</v>
      </c>
      <c r="S102" s="892"/>
      <c r="T102" s="815">
        <f t="shared" si="28"/>
        <v>1.66666666666667</v>
      </c>
      <c r="U102" s="842">
        <f t="shared" si="28"/>
        <v>1.91666666666667</v>
      </c>
      <c r="V102" s="816">
        <f t="shared" si="28"/>
        <v>2.16666666666667</v>
      </c>
      <c r="W102" s="905"/>
      <c r="X102" s="844">
        <f>X25/60</f>
        <v>2.41666666666667</v>
      </c>
    </row>
    <row r="103" ht="21" customHeight="1" spans="1:24">
      <c r="A103" s="25" t="s">
        <v>490</v>
      </c>
      <c r="B103" s="25" t="s">
        <v>504</v>
      </c>
      <c r="C103" s="89">
        <v>6</v>
      </c>
      <c r="D103" s="90">
        <v>6.33333333333333</v>
      </c>
      <c r="E103" s="90">
        <v>6.66666666666667</v>
      </c>
      <c r="F103" s="91">
        <v>7</v>
      </c>
      <c r="G103" s="90">
        <v>7.5</v>
      </c>
      <c r="H103" s="92">
        <v>8</v>
      </c>
      <c r="I103" s="90">
        <v>8.5</v>
      </c>
      <c r="J103" s="206">
        <v>9.5</v>
      </c>
      <c r="K103" s="658">
        <v>10.5</v>
      </c>
      <c r="L103" s="154"/>
      <c r="M103" s="155">
        <v>11.5</v>
      </c>
      <c r="N103" s="156"/>
      <c r="O103" s="145">
        <v>12.8333333333333</v>
      </c>
      <c r="P103" s="146">
        <v>14.1666666666667</v>
      </c>
      <c r="Q103" s="156"/>
      <c r="R103" s="238">
        <v>15.5</v>
      </c>
      <c r="S103" s="156"/>
      <c r="T103" s="145">
        <v>16.8333333333333</v>
      </c>
      <c r="U103" s="239">
        <v>18.1666666666667</v>
      </c>
      <c r="V103" s="146">
        <v>19.5</v>
      </c>
      <c r="W103" s="246"/>
      <c r="X103" s="241">
        <v>20</v>
      </c>
    </row>
    <row r="104" ht="16.5" spans="1:24">
      <c r="A104" s="868" t="s">
        <v>26</v>
      </c>
      <c r="B104" s="868" t="s">
        <v>27</v>
      </c>
      <c r="C104" s="868"/>
      <c r="D104" s="868"/>
      <c r="E104" s="868"/>
      <c r="F104" s="868"/>
      <c r="G104" s="868"/>
      <c r="H104" s="868"/>
      <c r="I104" s="868"/>
      <c r="J104" s="868"/>
      <c r="K104" s="893"/>
      <c r="L104" s="894"/>
      <c r="M104" s="894"/>
      <c r="N104" s="895"/>
      <c r="O104" s="895"/>
      <c r="P104" s="895"/>
      <c r="Q104" s="895"/>
      <c r="R104" s="895"/>
      <c r="S104" s="895"/>
      <c r="T104" s="895"/>
      <c r="U104" s="895"/>
      <c r="V104" s="895"/>
      <c r="W104" s="895"/>
      <c r="X104" s="906"/>
    </row>
    <row r="105" ht="16.5" spans="1:24">
      <c r="A105" s="869" t="s">
        <v>28</v>
      </c>
      <c r="B105" s="868" t="s">
        <v>51</v>
      </c>
      <c r="C105" s="868">
        <v>0</v>
      </c>
      <c r="D105" s="868">
        <v>1</v>
      </c>
      <c r="E105" s="868">
        <v>2</v>
      </c>
      <c r="F105" s="868">
        <v>3</v>
      </c>
      <c r="G105" s="868">
        <v>4</v>
      </c>
      <c r="H105" s="868">
        <v>5</v>
      </c>
      <c r="I105" s="868">
        <v>6</v>
      </c>
      <c r="J105" s="868">
        <v>7</v>
      </c>
      <c r="K105" s="893">
        <v>8</v>
      </c>
      <c r="L105" s="896"/>
      <c r="M105" s="896"/>
      <c r="N105" s="897"/>
      <c r="O105" s="897"/>
      <c r="P105" s="897"/>
      <c r="Q105" s="897"/>
      <c r="R105" s="897"/>
      <c r="S105" s="897"/>
      <c r="T105" s="897"/>
      <c r="U105" s="897"/>
      <c r="V105" s="897"/>
      <c r="W105" s="897"/>
      <c r="X105" s="907"/>
    </row>
    <row r="106" ht="16.5" spans="1:24">
      <c r="A106" s="869"/>
      <c r="B106" s="868">
        <v>0</v>
      </c>
      <c r="C106" s="868"/>
      <c r="D106" s="868"/>
      <c r="E106" s="868"/>
      <c r="F106" s="868"/>
      <c r="G106" s="868"/>
      <c r="H106" s="868"/>
      <c r="I106" s="868"/>
      <c r="J106" s="868"/>
      <c r="K106" s="893"/>
      <c r="L106" s="896"/>
      <c r="M106" s="896"/>
      <c r="N106" s="897"/>
      <c r="O106" s="897"/>
      <c r="P106" s="897"/>
      <c r="Q106" s="897"/>
      <c r="R106" s="897"/>
      <c r="S106" s="897"/>
      <c r="T106" s="897"/>
      <c r="U106" s="897"/>
      <c r="V106" s="897"/>
      <c r="W106" s="897"/>
      <c r="X106" s="907"/>
    </row>
    <row r="107" ht="16.5" spans="1:24">
      <c r="A107" s="869"/>
      <c r="B107" s="868">
        <v>1</v>
      </c>
      <c r="C107" s="868"/>
      <c r="D107" s="868"/>
      <c r="E107" s="868"/>
      <c r="F107" s="868"/>
      <c r="G107" s="868"/>
      <c r="H107" s="868"/>
      <c r="I107" s="868"/>
      <c r="J107" s="868"/>
      <c r="K107" s="893"/>
      <c r="L107" s="896"/>
      <c r="M107" s="896"/>
      <c r="N107" s="897"/>
      <c r="O107" s="897"/>
      <c r="P107" s="897"/>
      <c r="Q107" s="897"/>
      <c r="R107" s="897"/>
      <c r="S107" s="897"/>
      <c r="T107" s="897"/>
      <c r="U107" s="897"/>
      <c r="V107" s="897"/>
      <c r="W107" s="897"/>
      <c r="X107" s="907"/>
    </row>
    <row r="108" ht="16.5" spans="1:24">
      <c r="A108" s="869"/>
      <c r="B108" s="868">
        <v>2</v>
      </c>
      <c r="C108" s="868"/>
      <c r="D108" s="868"/>
      <c r="E108" s="868"/>
      <c r="F108" s="868"/>
      <c r="G108" s="868"/>
      <c r="H108" s="868"/>
      <c r="I108" s="868"/>
      <c r="J108" s="868"/>
      <c r="K108" s="893"/>
      <c r="L108" s="896"/>
      <c r="M108" s="896"/>
      <c r="N108" s="897"/>
      <c r="O108" s="897"/>
      <c r="P108" s="897"/>
      <c r="Q108" s="897"/>
      <c r="R108" s="897"/>
      <c r="S108" s="897"/>
      <c r="T108" s="897"/>
      <c r="U108" s="897"/>
      <c r="V108" s="897"/>
      <c r="W108" s="897"/>
      <c r="X108" s="907"/>
    </row>
    <row r="109" ht="16.5" spans="1:24">
      <c r="A109" s="869"/>
      <c r="B109" s="868">
        <v>3</v>
      </c>
      <c r="C109" s="868"/>
      <c r="D109" s="868"/>
      <c r="E109" s="868"/>
      <c r="F109" s="868"/>
      <c r="G109" s="868"/>
      <c r="H109" s="868"/>
      <c r="I109" s="868"/>
      <c r="J109" s="868"/>
      <c r="K109" s="893"/>
      <c r="L109" s="896"/>
      <c r="M109" s="896"/>
      <c r="N109" s="897"/>
      <c r="O109" s="897"/>
      <c r="P109" s="897"/>
      <c r="Q109" s="897"/>
      <c r="R109" s="897"/>
      <c r="S109" s="897"/>
      <c r="T109" s="897"/>
      <c r="U109" s="897"/>
      <c r="V109" s="897"/>
      <c r="W109" s="897"/>
      <c r="X109" s="907"/>
    </row>
    <row r="110" ht="16.5" spans="1:24">
      <c r="A110" s="869"/>
      <c r="B110" s="868">
        <v>4</v>
      </c>
      <c r="C110" s="868"/>
      <c r="D110" s="868"/>
      <c r="E110" s="868"/>
      <c r="F110" s="868"/>
      <c r="G110" s="868"/>
      <c r="H110" s="868"/>
      <c r="I110" s="868"/>
      <c r="J110" s="868"/>
      <c r="K110" s="893"/>
      <c r="L110" s="896"/>
      <c r="M110" s="896"/>
      <c r="N110" s="897"/>
      <c r="O110" s="897"/>
      <c r="P110" s="897"/>
      <c r="Q110" s="897"/>
      <c r="R110" s="897"/>
      <c r="S110" s="897"/>
      <c r="T110" s="897"/>
      <c r="U110" s="897"/>
      <c r="V110" s="897"/>
      <c r="W110" s="897"/>
      <c r="X110" s="907"/>
    </row>
    <row r="111" ht="16.5" spans="1:24">
      <c r="A111" s="869"/>
      <c r="B111" s="868">
        <v>5</v>
      </c>
      <c r="C111" s="868"/>
      <c r="D111" s="868"/>
      <c r="E111" s="868"/>
      <c r="F111" s="868"/>
      <c r="G111" s="868"/>
      <c r="H111" s="868"/>
      <c r="I111" s="868"/>
      <c r="J111" s="868"/>
      <c r="K111" s="893"/>
      <c r="L111" s="896"/>
      <c r="M111" s="896"/>
      <c r="N111" s="897"/>
      <c r="O111" s="897"/>
      <c r="P111" s="897"/>
      <c r="Q111" s="897"/>
      <c r="R111" s="897"/>
      <c r="S111" s="897"/>
      <c r="T111" s="897"/>
      <c r="U111" s="897"/>
      <c r="V111" s="897"/>
      <c r="W111" s="897"/>
      <c r="X111" s="907"/>
    </row>
    <row r="112" ht="16.5" spans="1:24">
      <c r="A112" s="869"/>
      <c r="B112" s="868">
        <v>6</v>
      </c>
      <c r="C112" s="868"/>
      <c r="D112" s="868"/>
      <c r="E112" s="868"/>
      <c r="F112" s="868"/>
      <c r="G112" s="868"/>
      <c r="H112" s="868"/>
      <c r="I112" s="868"/>
      <c r="J112" s="868"/>
      <c r="K112" s="893"/>
      <c r="L112" s="896"/>
      <c r="M112" s="896"/>
      <c r="N112" s="897"/>
      <c r="O112" s="897"/>
      <c r="P112" s="897"/>
      <c r="Q112" s="897"/>
      <c r="R112" s="897"/>
      <c r="S112" s="897"/>
      <c r="T112" s="897"/>
      <c r="U112" s="897"/>
      <c r="V112" s="897"/>
      <c r="W112" s="897"/>
      <c r="X112" s="907"/>
    </row>
    <row r="113" ht="16.5" spans="1:24">
      <c r="A113" s="869"/>
      <c r="B113" s="868">
        <v>7</v>
      </c>
      <c r="C113" s="868"/>
      <c r="D113" s="868"/>
      <c r="E113" s="868"/>
      <c r="F113" s="868"/>
      <c r="G113" s="868"/>
      <c r="H113" s="868"/>
      <c r="I113" s="868"/>
      <c r="J113" s="868"/>
      <c r="K113" s="893"/>
      <c r="L113" s="896"/>
      <c r="M113" s="896"/>
      <c r="N113" s="897"/>
      <c r="O113" s="897"/>
      <c r="P113" s="897"/>
      <c r="Q113" s="897"/>
      <c r="R113" s="897"/>
      <c r="S113" s="897"/>
      <c r="T113" s="897"/>
      <c r="U113" s="897"/>
      <c r="V113" s="897"/>
      <c r="W113" s="897"/>
      <c r="X113" s="907"/>
    </row>
    <row r="114" ht="16.5" spans="1:24">
      <c r="A114" s="870"/>
      <c r="B114" s="871">
        <v>8</v>
      </c>
      <c r="C114" s="871"/>
      <c r="D114" s="871"/>
      <c r="E114" s="871"/>
      <c r="F114" s="871"/>
      <c r="G114" s="868"/>
      <c r="H114" s="868"/>
      <c r="I114" s="868"/>
      <c r="J114" s="868"/>
      <c r="K114" s="893"/>
      <c r="L114" s="898"/>
      <c r="M114" s="898"/>
      <c r="N114" s="899"/>
      <c r="O114" s="899"/>
      <c r="P114" s="899"/>
      <c r="Q114" s="899"/>
      <c r="R114" s="899"/>
      <c r="S114" s="899"/>
      <c r="T114" s="899"/>
      <c r="U114" s="899"/>
      <c r="V114" s="899"/>
      <c r="W114" s="899"/>
      <c r="X114" s="908"/>
    </row>
    <row r="115" ht="42" customHeight="1" spans="1:24">
      <c r="A115" s="302"/>
      <c r="B115" s="303" t="str">
        <f>_xlfn.DISPIMG("ID_23668A1C1FD14BD78069361FF7427053",1)</f>
        <v>=DISPIMG("ID_23668A1C1FD14BD78069361FF7427053",1)</v>
      </c>
      <c r="C115" s="303" t="str">
        <f>_xlfn.DISPIMG("ID_262E507FC95142689666AC0C5085B6B9",1)</f>
        <v>=DISPIMG("ID_262E507FC95142689666AC0C5085B6B9",1)</v>
      </c>
      <c r="D115" s="303" t="str">
        <f>_xlfn.DISPIMG("ID_F323EB6D7B694AB7ADAD08FC4766F623",1)</f>
        <v>=DISPIMG("ID_F323EB6D7B694AB7ADAD08FC4766F623",1)</v>
      </c>
      <c r="E115" s="303" t="str">
        <f>_xlfn.DISPIMG("ID_A655EABD8E0E4ED1B7EDD3BE8EF922CE",1)</f>
        <v>=DISPIMG("ID_A655EABD8E0E4ED1B7EDD3BE8EF922CE",1)</v>
      </c>
      <c r="F115" s="304"/>
      <c r="G115" s="305" t="s">
        <v>615</v>
      </c>
      <c r="H115" s="305"/>
      <c r="I115" s="305"/>
      <c r="J115" s="305"/>
      <c r="K115" s="305"/>
      <c r="L115" s="305"/>
      <c r="M115" s="305"/>
      <c r="N115" s="305"/>
      <c r="O115" s="310"/>
      <c r="P115" s="311" t="s">
        <v>616</v>
      </c>
      <c r="Q115" s="316"/>
      <c r="R115" s="316"/>
      <c r="S115" s="316"/>
      <c r="T115" s="316"/>
      <c r="U115" s="316"/>
      <c r="V115" s="316"/>
      <c r="W115" s="316"/>
      <c r="X115" s="317"/>
    </row>
    <row r="116" ht="21" customHeight="1" spans="1:24">
      <c r="A116" s="872" t="s">
        <v>8</v>
      </c>
      <c r="B116" s="873"/>
      <c r="C116" s="874">
        <v>0</v>
      </c>
      <c r="D116" s="875">
        <v>1</v>
      </c>
      <c r="E116" s="875">
        <v>2</v>
      </c>
      <c r="F116" s="875">
        <v>3</v>
      </c>
      <c r="G116" s="24">
        <v>4</v>
      </c>
      <c r="H116" s="24">
        <v>5</v>
      </c>
      <c r="I116" s="24">
        <v>6</v>
      </c>
      <c r="J116" s="24">
        <v>7</v>
      </c>
      <c r="K116" s="135">
        <v>8</v>
      </c>
      <c r="L116" s="900">
        <v>9</v>
      </c>
      <c r="M116" s="901"/>
      <c r="N116" s="736"/>
      <c r="O116" s="139">
        <v>10</v>
      </c>
      <c r="P116" s="140">
        <v>11</v>
      </c>
      <c r="Q116" s="752"/>
      <c r="R116" s="236">
        <v>12</v>
      </c>
      <c r="S116" s="753"/>
      <c r="T116" s="139">
        <v>13</v>
      </c>
      <c r="U116" s="237">
        <v>14</v>
      </c>
      <c r="V116" s="140">
        <v>15</v>
      </c>
      <c r="W116" s="754"/>
      <c r="X116" s="755">
        <v>16</v>
      </c>
    </row>
    <row r="117" ht="21" customHeight="1" spans="1:24">
      <c r="A117" s="73" t="s">
        <v>617</v>
      </c>
      <c r="B117" s="74"/>
      <c r="C117" s="321">
        <v>70</v>
      </c>
      <c r="D117" s="322">
        <v>85</v>
      </c>
      <c r="E117" s="322">
        <v>100</v>
      </c>
      <c r="F117" s="322">
        <v>115</v>
      </c>
      <c r="G117" s="322">
        <v>130</v>
      </c>
      <c r="H117" s="322">
        <v>145</v>
      </c>
      <c r="I117" s="322">
        <v>160</v>
      </c>
      <c r="J117" s="322">
        <v>175</v>
      </c>
      <c r="K117" s="361">
        <v>190</v>
      </c>
      <c r="L117" s="362"/>
      <c r="M117" s="159">
        <v>205</v>
      </c>
      <c r="N117" s="160"/>
      <c r="O117" s="161">
        <v>220</v>
      </c>
      <c r="P117" s="162">
        <v>235</v>
      </c>
      <c r="Q117" s="160"/>
      <c r="R117" s="247">
        <v>250</v>
      </c>
      <c r="S117" s="160"/>
      <c r="T117" s="161">
        <v>280</v>
      </c>
      <c r="U117" s="248">
        <v>310</v>
      </c>
      <c r="V117" s="162">
        <v>340</v>
      </c>
      <c r="W117" s="249"/>
      <c r="X117" s="250">
        <v>390</v>
      </c>
    </row>
    <row r="118" ht="21" customHeight="1" spans="1:24">
      <c r="A118" s="26" t="s">
        <v>618</v>
      </c>
      <c r="B118" s="315"/>
      <c r="C118" s="323">
        <v>120</v>
      </c>
      <c r="D118" s="324">
        <v>140</v>
      </c>
      <c r="E118" s="324">
        <v>160</v>
      </c>
      <c r="F118" s="324">
        <v>180</v>
      </c>
      <c r="G118" s="324">
        <v>200</v>
      </c>
      <c r="H118" s="324">
        <v>220</v>
      </c>
      <c r="I118" s="324">
        <v>240</v>
      </c>
      <c r="J118" s="324">
        <v>260</v>
      </c>
      <c r="K118" s="363">
        <v>280</v>
      </c>
      <c r="L118" s="364"/>
      <c r="M118" s="143">
        <v>300</v>
      </c>
      <c r="N118" s="144"/>
      <c r="O118" s="145">
        <v>340</v>
      </c>
      <c r="P118" s="146">
        <v>380</v>
      </c>
      <c r="Q118" s="144"/>
      <c r="R118" s="238">
        <v>420</v>
      </c>
      <c r="S118" s="144"/>
      <c r="T118" s="145">
        <v>460</v>
      </c>
      <c r="U118" s="239">
        <v>500</v>
      </c>
      <c r="V118" s="146">
        <v>540</v>
      </c>
      <c r="W118" s="240"/>
      <c r="X118" s="241">
        <v>590</v>
      </c>
    </row>
    <row r="119" ht="21" customHeight="1" spans="1:24">
      <c r="A119" s="73" t="s">
        <v>619</v>
      </c>
      <c r="B119" s="74"/>
      <c r="C119" s="110">
        <v>120</v>
      </c>
      <c r="D119" s="130">
        <v>140</v>
      </c>
      <c r="E119" s="130">
        <v>160</v>
      </c>
      <c r="F119" s="130">
        <v>180</v>
      </c>
      <c r="G119" s="130">
        <v>200</v>
      </c>
      <c r="H119" s="130">
        <v>220</v>
      </c>
      <c r="I119" s="130">
        <v>240</v>
      </c>
      <c r="J119" s="130">
        <v>260</v>
      </c>
      <c r="K119" s="221">
        <v>280</v>
      </c>
      <c r="L119" s="196"/>
      <c r="M119" s="197">
        <v>300</v>
      </c>
      <c r="N119" s="198"/>
      <c r="O119" s="161">
        <v>340</v>
      </c>
      <c r="P119" s="162">
        <v>380</v>
      </c>
      <c r="Q119" s="198"/>
      <c r="R119" s="247">
        <v>420</v>
      </c>
      <c r="S119" s="198"/>
      <c r="T119" s="161">
        <v>460</v>
      </c>
      <c r="U119" s="248">
        <v>500</v>
      </c>
      <c r="V119" s="162">
        <v>540</v>
      </c>
      <c r="W119" s="271"/>
      <c r="X119" s="250">
        <v>590</v>
      </c>
    </row>
    <row r="120" ht="21" customHeight="1" spans="1:24">
      <c r="A120" s="25" t="s">
        <v>620</v>
      </c>
      <c r="B120" s="26"/>
      <c r="C120" s="113">
        <v>135</v>
      </c>
      <c r="D120" s="307">
        <v>155</v>
      </c>
      <c r="E120" s="307">
        <v>175</v>
      </c>
      <c r="F120" s="307">
        <v>195</v>
      </c>
      <c r="G120" s="307">
        <v>215</v>
      </c>
      <c r="H120" s="307">
        <v>235</v>
      </c>
      <c r="I120" s="307">
        <v>255</v>
      </c>
      <c r="J120" s="307">
        <v>275</v>
      </c>
      <c r="K120" s="312">
        <v>295</v>
      </c>
      <c r="L120" s="154"/>
      <c r="M120" s="155">
        <v>335</v>
      </c>
      <c r="N120" s="156"/>
      <c r="O120" s="145">
        <v>375</v>
      </c>
      <c r="P120" s="146">
        <v>415</v>
      </c>
      <c r="Q120" s="156"/>
      <c r="R120" s="238">
        <v>455</v>
      </c>
      <c r="S120" s="156"/>
      <c r="T120" s="145">
        <v>490</v>
      </c>
      <c r="U120" s="239">
        <v>530</v>
      </c>
      <c r="V120" s="146">
        <v>570</v>
      </c>
      <c r="W120" s="246"/>
      <c r="X120" s="241">
        <v>610</v>
      </c>
    </row>
    <row r="121" ht="21" customHeight="1" spans="1:24">
      <c r="A121" s="485" t="s">
        <v>269</v>
      </c>
      <c r="B121" s="486"/>
      <c r="C121" s="486"/>
      <c r="D121" s="486"/>
      <c r="E121" s="486"/>
      <c r="F121" s="486"/>
      <c r="G121" s="486"/>
      <c r="H121" s="486"/>
      <c r="I121" s="486"/>
      <c r="J121" s="486"/>
      <c r="K121" s="486"/>
      <c r="L121" s="486"/>
      <c r="M121" s="486"/>
      <c r="N121" s="486"/>
      <c r="O121" s="486"/>
      <c r="P121" s="486"/>
      <c r="Q121" s="486"/>
      <c r="R121" s="486"/>
      <c r="S121" s="486"/>
      <c r="T121" s="486"/>
      <c r="U121" s="486"/>
      <c r="V121" s="486"/>
      <c r="W121" s="486"/>
      <c r="X121" s="533"/>
    </row>
    <row r="122" ht="21" customHeight="1" spans="1:24">
      <c r="A122" s="805" t="s">
        <v>621</v>
      </c>
      <c r="B122" s="74"/>
      <c r="C122" s="110">
        <f t="shared" ref="C122:X122" si="29">INT(C117*1.3)</f>
        <v>91</v>
      </c>
      <c r="D122" s="130">
        <f t="shared" si="29"/>
        <v>110</v>
      </c>
      <c r="E122" s="130">
        <f t="shared" si="29"/>
        <v>130</v>
      </c>
      <c r="F122" s="130">
        <f t="shared" si="29"/>
        <v>149</v>
      </c>
      <c r="G122" s="130">
        <f t="shared" si="29"/>
        <v>169</v>
      </c>
      <c r="H122" s="130">
        <f t="shared" si="29"/>
        <v>188</v>
      </c>
      <c r="I122" s="130">
        <f t="shared" si="29"/>
        <v>208</v>
      </c>
      <c r="J122" s="130">
        <f t="shared" si="29"/>
        <v>227</v>
      </c>
      <c r="K122" s="221">
        <f t="shared" si="29"/>
        <v>247</v>
      </c>
      <c r="L122" s="212">
        <f t="shared" si="29"/>
        <v>0</v>
      </c>
      <c r="M122" s="222">
        <f t="shared" si="29"/>
        <v>266</v>
      </c>
      <c r="N122" s="214">
        <f t="shared" si="29"/>
        <v>0</v>
      </c>
      <c r="O122" s="223">
        <f t="shared" si="29"/>
        <v>286</v>
      </c>
      <c r="P122" s="224">
        <f t="shared" si="29"/>
        <v>305</v>
      </c>
      <c r="Q122" s="214">
        <f t="shared" si="29"/>
        <v>0</v>
      </c>
      <c r="R122" s="297">
        <f t="shared" si="29"/>
        <v>325</v>
      </c>
      <c r="S122" s="214">
        <f t="shared" si="29"/>
        <v>0</v>
      </c>
      <c r="T122" s="223">
        <f t="shared" si="29"/>
        <v>364</v>
      </c>
      <c r="U122" s="298">
        <f t="shared" si="29"/>
        <v>403</v>
      </c>
      <c r="V122" s="224">
        <f t="shared" si="29"/>
        <v>442</v>
      </c>
      <c r="W122" s="291">
        <f t="shared" si="29"/>
        <v>0</v>
      </c>
      <c r="X122" s="299">
        <f t="shared" si="29"/>
        <v>507</v>
      </c>
    </row>
    <row r="123" ht="21" customHeight="1" spans="1:24">
      <c r="A123" s="806" t="s">
        <v>622</v>
      </c>
      <c r="B123" s="315"/>
      <c r="C123" s="35">
        <f t="shared" ref="C123:X123" si="30">INT(C120*1.2)</f>
        <v>162</v>
      </c>
      <c r="D123" s="36">
        <f t="shared" si="30"/>
        <v>186</v>
      </c>
      <c r="E123" s="36">
        <f t="shared" si="30"/>
        <v>210</v>
      </c>
      <c r="F123" s="36">
        <f t="shared" si="30"/>
        <v>234</v>
      </c>
      <c r="G123" s="36">
        <f t="shared" si="30"/>
        <v>258</v>
      </c>
      <c r="H123" s="36">
        <f t="shared" si="30"/>
        <v>282</v>
      </c>
      <c r="I123" s="36">
        <f t="shared" si="30"/>
        <v>306</v>
      </c>
      <c r="J123" s="36">
        <f t="shared" si="30"/>
        <v>330</v>
      </c>
      <c r="K123" s="835">
        <f t="shared" si="30"/>
        <v>354</v>
      </c>
      <c r="L123" s="836">
        <f t="shared" si="30"/>
        <v>0</v>
      </c>
      <c r="M123" s="837">
        <f t="shared" si="30"/>
        <v>402</v>
      </c>
      <c r="N123" s="838">
        <f t="shared" si="30"/>
        <v>0</v>
      </c>
      <c r="O123" s="509">
        <f t="shared" si="30"/>
        <v>450</v>
      </c>
      <c r="P123" s="423">
        <f t="shared" si="30"/>
        <v>498</v>
      </c>
      <c r="Q123" s="838">
        <f t="shared" si="30"/>
        <v>0</v>
      </c>
      <c r="R123" s="238">
        <f t="shared" si="30"/>
        <v>546</v>
      </c>
      <c r="S123" s="838">
        <f t="shared" si="30"/>
        <v>0</v>
      </c>
      <c r="T123" s="509">
        <f t="shared" si="30"/>
        <v>588</v>
      </c>
      <c r="U123" s="535">
        <f t="shared" si="30"/>
        <v>636</v>
      </c>
      <c r="V123" s="423">
        <f t="shared" si="30"/>
        <v>684</v>
      </c>
      <c r="W123" s="850">
        <f t="shared" si="30"/>
        <v>0</v>
      </c>
      <c r="X123" s="241">
        <f t="shared" si="30"/>
        <v>732</v>
      </c>
    </row>
    <row r="124" ht="21" customHeight="1" spans="1:24">
      <c r="A124" s="59" t="s">
        <v>18</v>
      </c>
      <c r="B124" s="60"/>
      <c r="C124" s="61">
        <v>0</v>
      </c>
      <c r="D124" s="62">
        <v>1</v>
      </c>
      <c r="E124" s="62">
        <v>2</v>
      </c>
      <c r="F124" s="63">
        <v>3</v>
      </c>
      <c r="G124" s="62">
        <v>4</v>
      </c>
      <c r="H124" s="64">
        <v>5</v>
      </c>
      <c r="I124" s="62">
        <v>6</v>
      </c>
      <c r="J124" s="174">
        <v>7</v>
      </c>
      <c r="K124" s="175">
        <v>8</v>
      </c>
      <c r="L124" s="839" t="s">
        <v>655</v>
      </c>
      <c r="M124" s="840"/>
      <c r="N124" s="840"/>
      <c r="O124" s="840"/>
      <c r="P124" s="840"/>
      <c r="Q124" s="840"/>
      <c r="R124" s="840"/>
      <c r="S124" s="840"/>
      <c r="T124" s="840"/>
      <c r="U124" s="840"/>
      <c r="V124" s="840"/>
      <c r="W124" s="840"/>
      <c r="X124" s="851"/>
    </row>
    <row r="125" ht="21" customHeight="1" spans="1:24">
      <c r="A125" s="25" t="s">
        <v>617</v>
      </c>
      <c r="B125" s="25"/>
      <c r="C125" s="89">
        <v>6</v>
      </c>
      <c r="D125" s="90">
        <v>5.8</v>
      </c>
      <c r="E125" s="90">
        <v>5.6</v>
      </c>
      <c r="F125" s="91">
        <v>5.4</v>
      </c>
      <c r="G125" s="90">
        <v>5.2</v>
      </c>
      <c r="H125" s="92">
        <v>5</v>
      </c>
      <c r="I125" s="90">
        <v>4.8</v>
      </c>
      <c r="J125" s="206">
        <v>4.6</v>
      </c>
      <c r="K125" s="207">
        <v>4.35</v>
      </c>
      <c r="L125" s="86" t="s">
        <v>624</v>
      </c>
      <c r="M125" s="205"/>
      <c r="N125" s="205"/>
      <c r="O125" s="205"/>
      <c r="P125" s="205"/>
      <c r="Q125" s="205"/>
      <c r="R125" s="205"/>
      <c r="S125" s="205"/>
      <c r="T125" s="205"/>
      <c r="U125" s="205"/>
      <c r="V125" s="205"/>
      <c r="W125" s="205"/>
      <c r="X125" s="276"/>
    </row>
    <row r="126" ht="21" customHeight="1" spans="1:24">
      <c r="A126" s="65" t="s">
        <v>618</v>
      </c>
      <c r="B126" s="65"/>
      <c r="C126" s="66">
        <v>6</v>
      </c>
      <c r="D126" s="67">
        <v>5.8</v>
      </c>
      <c r="E126" s="67">
        <v>5.6</v>
      </c>
      <c r="F126" s="93">
        <v>5.4</v>
      </c>
      <c r="G126" s="67">
        <v>5.2</v>
      </c>
      <c r="H126" s="69">
        <v>5</v>
      </c>
      <c r="I126" s="67">
        <v>4.8</v>
      </c>
      <c r="J126" s="178">
        <v>4.6</v>
      </c>
      <c r="K126" s="179">
        <v>4.35</v>
      </c>
      <c r="L126" s="86" t="s">
        <v>625</v>
      </c>
      <c r="M126" s="205"/>
      <c r="N126" s="205"/>
      <c r="O126" s="205"/>
      <c r="P126" s="205"/>
      <c r="Q126" s="205"/>
      <c r="R126" s="205"/>
      <c r="S126" s="205"/>
      <c r="T126" s="205"/>
      <c r="U126" s="205"/>
      <c r="V126" s="205"/>
      <c r="W126" s="205"/>
      <c r="X126" s="276"/>
    </row>
    <row r="127" ht="21" customHeight="1" spans="1:24">
      <c r="A127" s="25" t="s">
        <v>619</v>
      </c>
      <c r="B127" s="25"/>
      <c r="C127" s="89">
        <v>6</v>
      </c>
      <c r="D127" s="90">
        <v>5.8</v>
      </c>
      <c r="E127" s="90">
        <v>5.6</v>
      </c>
      <c r="F127" s="91">
        <v>5.4</v>
      </c>
      <c r="G127" s="90">
        <v>5.2</v>
      </c>
      <c r="H127" s="92">
        <v>5</v>
      </c>
      <c r="I127" s="90">
        <v>4.8</v>
      </c>
      <c r="J127" s="206">
        <v>4.6</v>
      </c>
      <c r="K127" s="207">
        <v>4.35</v>
      </c>
      <c r="L127" s="86" t="s">
        <v>626</v>
      </c>
      <c r="M127" s="205"/>
      <c r="N127" s="205"/>
      <c r="O127" s="205"/>
      <c r="P127" s="205"/>
      <c r="Q127" s="205"/>
      <c r="R127" s="205"/>
      <c r="S127" s="205"/>
      <c r="T127" s="205"/>
      <c r="U127" s="205"/>
      <c r="V127" s="205"/>
      <c r="W127" s="205"/>
      <c r="X127" s="276"/>
    </row>
    <row r="128" ht="21" customHeight="1" spans="1:24">
      <c r="A128" s="65" t="s">
        <v>620</v>
      </c>
      <c r="B128" s="65"/>
      <c r="C128" s="66">
        <v>6</v>
      </c>
      <c r="D128" s="67">
        <v>5.8</v>
      </c>
      <c r="E128" s="67">
        <v>5.6</v>
      </c>
      <c r="F128" s="93">
        <v>5.4</v>
      </c>
      <c r="G128" s="67">
        <v>5.2</v>
      </c>
      <c r="H128" s="69">
        <v>5</v>
      </c>
      <c r="I128" s="67">
        <v>4.8</v>
      </c>
      <c r="J128" s="178">
        <v>4.6</v>
      </c>
      <c r="K128" s="378">
        <v>4.35</v>
      </c>
      <c r="L128" s="86" t="s">
        <v>627</v>
      </c>
      <c r="M128" s="205"/>
      <c r="N128" s="205"/>
      <c r="O128" s="205"/>
      <c r="P128" s="205"/>
      <c r="Q128" s="205"/>
      <c r="R128" s="205"/>
      <c r="S128" s="205"/>
      <c r="T128" s="205"/>
      <c r="U128" s="205"/>
      <c r="V128" s="205"/>
      <c r="W128" s="205"/>
      <c r="X128" s="276"/>
    </row>
    <row r="129" ht="21" customHeight="1" spans="1:24">
      <c r="A129" s="708" t="s">
        <v>628</v>
      </c>
      <c r="B129" s="709"/>
      <c r="C129" s="709"/>
      <c r="D129" s="709"/>
      <c r="E129" s="709"/>
      <c r="F129" s="709"/>
      <c r="G129" s="709"/>
      <c r="H129" s="709"/>
      <c r="I129" s="709"/>
      <c r="J129" s="709"/>
      <c r="K129" s="709"/>
      <c r="L129" s="709"/>
      <c r="M129" s="709"/>
      <c r="N129" s="709"/>
      <c r="O129" s="709"/>
      <c r="P129" s="709"/>
      <c r="Q129" s="709"/>
      <c r="R129" s="709"/>
      <c r="S129" s="709"/>
      <c r="T129" s="709"/>
      <c r="U129" s="709"/>
      <c r="V129" s="709"/>
      <c r="W129" s="709"/>
      <c r="X129" s="709"/>
    </row>
    <row r="130" ht="21" customHeight="1" spans="1:24">
      <c r="A130" s="807" t="s">
        <v>629</v>
      </c>
      <c r="B130" s="808"/>
      <c r="C130" s="808"/>
      <c r="D130" s="808"/>
      <c r="E130" s="808"/>
      <c r="F130" s="808"/>
      <c r="G130" s="808"/>
      <c r="H130" s="808"/>
      <c r="I130" s="808"/>
      <c r="J130" s="808"/>
      <c r="K130" s="808"/>
      <c r="L130" s="808"/>
      <c r="M130" s="808"/>
      <c r="N130" s="808"/>
      <c r="O130" s="808"/>
      <c r="P130" s="808"/>
      <c r="Q130" s="808"/>
      <c r="R130" s="808"/>
      <c r="S130" s="808"/>
      <c r="T130" s="808"/>
      <c r="U130" s="808"/>
      <c r="V130" s="808"/>
      <c r="W130" s="808"/>
      <c r="X130" s="852"/>
    </row>
    <row r="131" ht="21" customHeight="1" spans="1:24">
      <c r="A131" s="26" t="s">
        <v>630</v>
      </c>
      <c r="B131" s="315"/>
      <c r="C131" s="315"/>
      <c r="D131" s="315"/>
      <c r="E131" s="315"/>
      <c r="F131" s="315"/>
      <c r="G131" s="315"/>
      <c r="H131" s="315"/>
      <c r="I131" s="315"/>
      <c r="J131" s="315"/>
      <c r="K131" s="315"/>
      <c r="L131" s="315"/>
      <c r="M131" s="315"/>
      <c r="N131" s="315"/>
      <c r="O131" s="315"/>
      <c r="P131" s="315"/>
      <c r="Q131" s="315"/>
      <c r="R131" s="315"/>
      <c r="S131" s="315"/>
      <c r="T131" s="315"/>
      <c r="U131" s="315"/>
      <c r="V131" s="315"/>
      <c r="W131" s="315"/>
      <c r="X131" s="319"/>
    </row>
    <row r="132" ht="21" customHeight="1" spans="1:24">
      <c r="A132" s="809" t="s">
        <v>631</v>
      </c>
      <c r="B132" s="129"/>
      <c r="C132" s="110">
        <f t="shared" ref="C132:X132" si="31">INT(C123*0.3)</f>
        <v>48</v>
      </c>
      <c r="D132" s="130">
        <f t="shared" si="31"/>
        <v>55</v>
      </c>
      <c r="E132" s="130">
        <f t="shared" si="31"/>
        <v>63</v>
      </c>
      <c r="F132" s="130">
        <f t="shared" si="31"/>
        <v>70</v>
      </c>
      <c r="G132" s="130">
        <f t="shared" si="31"/>
        <v>77</v>
      </c>
      <c r="H132" s="130">
        <f t="shared" si="31"/>
        <v>84</v>
      </c>
      <c r="I132" s="130">
        <f t="shared" si="31"/>
        <v>91</v>
      </c>
      <c r="J132" s="130">
        <f t="shared" si="31"/>
        <v>99</v>
      </c>
      <c r="K132" s="221">
        <f t="shared" si="31"/>
        <v>106</v>
      </c>
      <c r="L132" s="212">
        <f t="shared" si="31"/>
        <v>0</v>
      </c>
      <c r="M132" s="222">
        <f t="shared" si="31"/>
        <v>120</v>
      </c>
      <c r="N132" s="214">
        <f t="shared" si="31"/>
        <v>0</v>
      </c>
      <c r="O132" s="223">
        <f t="shared" si="31"/>
        <v>135</v>
      </c>
      <c r="P132" s="224">
        <f t="shared" si="31"/>
        <v>149</v>
      </c>
      <c r="Q132" s="214">
        <f t="shared" si="31"/>
        <v>0</v>
      </c>
      <c r="R132" s="297">
        <f t="shared" si="31"/>
        <v>163</v>
      </c>
      <c r="S132" s="214">
        <f t="shared" si="31"/>
        <v>0</v>
      </c>
      <c r="T132" s="223">
        <f t="shared" si="31"/>
        <v>176</v>
      </c>
      <c r="U132" s="298">
        <f t="shared" si="31"/>
        <v>190</v>
      </c>
      <c r="V132" s="224">
        <f t="shared" si="31"/>
        <v>205</v>
      </c>
      <c r="W132" s="291">
        <f t="shared" si="31"/>
        <v>0</v>
      </c>
      <c r="X132" s="299">
        <f t="shared" si="31"/>
        <v>219</v>
      </c>
    </row>
    <row r="133" ht="42" customHeight="1" spans="1:24">
      <c r="A133" s="909"/>
      <c r="B133" s="910"/>
      <c r="C133" s="910" t="str">
        <f>_xlfn.DISPIMG("ID_05AAEF63A52E4F6CBCA4808A277B064B",1)</f>
        <v>=DISPIMG("ID_05AAEF63A52E4F6CBCA4808A277B064B",1)</v>
      </c>
      <c r="D133" s="910" t="str">
        <f>_xlfn.DISPIMG("ID_E1BCEA8686F14AC2A51701F9863D4380",1)</f>
        <v>=DISPIMG("ID_E1BCEA8686F14AC2A51701F9863D4380",1)</v>
      </c>
      <c r="E133" s="910" t="str">
        <f>_xlfn.DISPIMG("ID_CDFFFAF45BBB4FDA97229BD045F73BB7",1)</f>
        <v>=DISPIMG("ID_CDFFFAF45BBB4FDA97229BD045F73BB7",1)</v>
      </c>
      <c r="F133" s="911"/>
      <c r="G133" s="912" t="s">
        <v>656</v>
      </c>
      <c r="H133" s="305"/>
      <c r="I133" s="305"/>
      <c r="J133" s="305"/>
      <c r="K133" s="305"/>
      <c r="L133" s="305"/>
      <c r="M133" s="305"/>
      <c r="N133" s="305"/>
      <c r="O133" s="310"/>
      <c r="P133" s="311" t="s">
        <v>657</v>
      </c>
      <c r="Q133" s="914"/>
      <c r="R133" s="914"/>
      <c r="S133" s="914"/>
      <c r="T133" s="914"/>
      <c r="U133" s="914"/>
      <c r="V133" s="914"/>
      <c r="W133" s="914"/>
      <c r="X133" s="915"/>
    </row>
    <row r="134" ht="21" customHeight="1" spans="1:24">
      <c r="A134" s="21" t="s">
        <v>18</v>
      </c>
      <c r="B134" s="22"/>
      <c r="C134" s="23">
        <v>0</v>
      </c>
      <c r="D134" s="24">
        <v>1</v>
      </c>
      <c r="E134" s="24">
        <v>2</v>
      </c>
      <c r="F134" s="24">
        <v>3</v>
      </c>
      <c r="G134" s="24">
        <v>4</v>
      </c>
      <c r="H134" s="24">
        <v>5</v>
      </c>
      <c r="I134" s="24">
        <v>6</v>
      </c>
      <c r="J134" s="24">
        <v>7</v>
      </c>
      <c r="K134" s="135">
        <v>8</v>
      </c>
      <c r="L134" s="900">
        <v>9</v>
      </c>
      <c r="M134" s="901"/>
      <c r="N134" s="736"/>
      <c r="O134" s="139">
        <v>10</v>
      </c>
      <c r="P134" s="140">
        <v>11</v>
      </c>
      <c r="Q134" s="752"/>
      <c r="R134" s="236">
        <v>12</v>
      </c>
      <c r="S134" s="753"/>
      <c r="T134" s="139">
        <v>13</v>
      </c>
      <c r="U134" s="237">
        <v>14</v>
      </c>
      <c r="V134" s="140">
        <v>15</v>
      </c>
      <c r="W134" s="754"/>
      <c r="X134" s="755">
        <v>16</v>
      </c>
    </row>
    <row r="135" ht="21" customHeight="1" spans="1:24">
      <c r="A135" s="26" t="s">
        <v>658</v>
      </c>
      <c r="B135" s="315"/>
      <c r="C135" s="323">
        <v>35</v>
      </c>
      <c r="D135" s="324">
        <v>34</v>
      </c>
      <c r="E135" s="324">
        <v>33</v>
      </c>
      <c r="F135" s="324">
        <v>32</v>
      </c>
      <c r="G135" s="324">
        <v>31</v>
      </c>
      <c r="H135" s="324">
        <v>30</v>
      </c>
      <c r="I135" s="324">
        <v>29</v>
      </c>
      <c r="J135" s="324">
        <v>27</v>
      </c>
      <c r="K135" s="363">
        <v>25</v>
      </c>
      <c r="L135" s="364"/>
      <c r="M135" s="143">
        <v>23</v>
      </c>
      <c r="N135" s="144"/>
      <c r="O135" s="145">
        <v>21</v>
      </c>
      <c r="P135" s="146">
        <v>19</v>
      </c>
      <c r="Q135" s="144"/>
      <c r="R135" s="238">
        <v>17</v>
      </c>
      <c r="S135" s="144"/>
      <c r="T135" s="145">
        <v>15</v>
      </c>
      <c r="U135" s="239">
        <v>13</v>
      </c>
      <c r="V135" s="146">
        <v>11</v>
      </c>
      <c r="W135" s="240"/>
      <c r="X135" s="241">
        <v>9</v>
      </c>
    </row>
    <row r="136" ht="21" customHeight="1" spans="1:24">
      <c r="A136" s="73" t="s">
        <v>659</v>
      </c>
      <c r="B136" s="73"/>
      <c r="C136" s="110">
        <v>35</v>
      </c>
      <c r="D136" s="130">
        <v>34</v>
      </c>
      <c r="E136" s="130">
        <v>33</v>
      </c>
      <c r="F136" s="130">
        <v>32</v>
      </c>
      <c r="G136" s="130">
        <v>30</v>
      </c>
      <c r="H136" s="130">
        <v>28</v>
      </c>
      <c r="I136" s="130">
        <v>26</v>
      </c>
      <c r="J136" s="130">
        <v>24</v>
      </c>
      <c r="K136" s="221">
        <v>22</v>
      </c>
      <c r="L136" s="196"/>
      <c r="M136" s="197">
        <v>20</v>
      </c>
      <c r="N136" s="198"/>
      <c r="O136" s="161">
        <v>18</v>
      </c>
      <c r="P136" s="162">
        <v>15</v>
      </c>
      <c r="Q136" s="198"/>
      <c r="R136" s="247">
        <v>13</v>
      </c>
      <c r="S136" s="198"/>
      <c r="T136" s="161">
        <v>10</v>
      </c>
      <c r="U136" s="248">
        <v>8</v>
      </c>
      <c r="V136" s="162">
        <v>5</v>
      </c>
      <c r="W136" s="271"/>
      <c r="X136" s="250">
        <v>3</v>
      </c>
    </row>
    <row r="137" ht="21" customHeight="1" spans="1:24">
      <c r="A137" s="26" t="s">
        <v>660</v>
      </c>
      <c r="B137" s="319"/>
      <c r="C137" s="35">
        <v>34</v>
      </c>
      <c r="D137" s="36">
        <v>33</v>
      </c>
      <c r="E137" s="36">
        <v>32</v>
      </c>
      <c r="F137" s="36">
        <v>31</v>
      </c>
      <c r="G137" s="36">
        <v>30</v>
      </c>
      <c r="H137" s="36">
        <v>29</v>
      </c>
      <c r="I137" s="36">
        <v>28</v>
      </c>
      <c r="J137" s="36">
        <v>26</v>
      </c>
      <c r="K137" s="153">
        <v>24</v>
      </c>
      <c r="L137" s="154"/>
      <c r="M137" s="155">
        <v>22</v>
      </c>
      <c r="N137" s="156"/>
      <c r="O137" s="145">
        <v>20</v>
      </c>
      <c r="P137" s="146">
        <v>18</v>
      </c>
      <c r="Q137" s="156"/>
      <c r="R137" s="238">
        <v>16</v>
      </c>
      <c r="S137" s="156"/>
      <c r="T137" s="145">
        <v>14</v>
      </c>
      <c r="U137" s="239">
        <v>12</v>
      </c>
      <c r="V137" s="146">
        <v>10</v>
      </c>
      <c r="W137" s="246"/>
      <c r="X137" s="241">
        <v>8</v>
      </c>
    </row>
    <row r="138" ht="21" customHeight="1" spans="1:24">
      <c r="A138" s="73" t="s">
        <v>661</v>
      </c>
      <c r="B138" s="73"/>
      <c r="C138" s="75">
        <f t="shared" ref="C138:K138" si="32">C136-1</f>
        <v>34</v>
      </c>
      <c r="D138" s="76">
        <f t="shared" si="32"/>
        <v>33</v>
      </c>
      <c r="E138" s="76">
        <f t="shared" si="32"/>
        <v>32</v>
      </c>
      <c r="F138" s="76">
        <f t="shared" si="32"/>
        <v>31</v>
      </c>
      <c r="G138" s="76">
        <f t="shared" si="32"/>
        <v>29</v>
      </c>
      <c r="H138" s="76">
        <f t="shared" si="32"/>
        <v>27</v>
      </c>
      <c r="I138" s="76">
        <f t="shared" si="32"/>
        <v>25</v>
      </c>
      <c r="J138" s="76">
        <f t="shared" si="32"/>
        <v>23</v>
      </c>
      <c r="K138" s="182">
        <f t="shared" si="32"/>
        <v>21</v>
      </c>
      <c r="L138" s="196"/>
      <c r="M138" s="913">
        <f t="shared" ref="M138:P138" si="33">M136-1</f>
        <v>19</v>
      </c>
      <c r="N138" s="198"/>
      <c r="O138" s="161">
        <f t="shared" si="33"/>
        <v>17</v>
      </c>
      <c r="P138" s="162">
        <f t="shared" si="33"/>
        <v>14</v>
      </c>
      <c r="Q138" s="198"/>
      <c r="R138" s="916">
        <f t="shared" ref="R138:V138" si="34">R136-1</f>
        <v>12</v>
      </c>
      <c r="S138" s="198"/>
      <c r="T138" s="161">
        <f t="shared" si="34"/>
        <v>9</v>
      </c>
      <c r="U138" s="248">
        <f t="shared" si="34"/>
        <v>7</v>
      </c>
      <c r="V138" s="162">
        <f t="shared" si="34"/>
        <v>4</v>
      </c>
      <c r="W138" s="271"/>
      <c r="X138" s="250">
        <f>X136-1</f>
        <v>2</v>
      </c>
    </row>
    <row r="139" ht="21" customHeight="1" spans="1:24">
      <c r="A139" s="59" t="s">
        <v>288</v>
      </c>
      <c r="B139" s="60"/>
      <c r="C139" s="61">
        <v>0</v>
      </c>
      <c r="D139" s="62">
        <v>1</v>
      </c>
      <c r="E139" s="62">
        <v>2</v>
      </c>
      <c r="F139" s="63">
        <v>3</v>
      </c>
      <c r="G139" s="62">
        <v>4</v>
      </c>
      <c r="H139" s="64">
        <v>5</v>
      </c>
      <c r="I139" s="62">
        <v>6</v>
      </c>
      <c r="J139" s="174">
        <v>7</v>
      </c>
      <c r="K139" s="175">
        <v>8</v>
      </c>
      <c r="L139" s="521"/>
      <c r="M139" s="205"/>
      <c r="N139" s="205"/>
      <c r="O139" s="205"/>
      <c r="P139" s="205"/>
      <c r="Q139" s="205"/>
      <c r="R139" s="205"/>
      <c r="S139" s="205"/>
      <c r="T139" s="205"/>
      <c r="U139" s="205"/>
      <c r="V139" s="205"/>
      <c r="W139" s="205"/>
      <c r="X139" s="276"/>
    </row>
    <row r="140" ht="21" customHeight="1" spans="1:24">
      <c r="A140" s="25" t="s">
        <v>658</v>
      </c>
      <c r="B140" s="25"/>
      <c r="C140" s="89">
        <v>50</v>
      </c>
      <c r="D140" s="90">
        <v>47</v>
      </c>
      <c r="E140" s="90">
        <v>44</v>
      </c>
      <c r="F140" s="91">
        <v>41</v>
      </c>
      <c r="G140" s="90">
        <v>38</v>
      </c>
      <c r="H140" s="92">
        <v>35</v>
      </c>
      <c r="I140" s="90">
        <v>32</v>
      </c>
      <c r="J140" s="206">
        <v>29</v>
      </c>
      <c r="K140" s="207">
        <v>26</v>
      </c>
      <c r="L140" s="34" t="s">
        <v>662</v>
      </c>
      <c r="M140" s="315"/>
      <c r="N140" s="315"/>
      <c r="O140" s="315"/>
      <c r="P140" s="315"/>
      <c r="Q140" s="315"/>
      <c r="R140" s="315"/>
      <c r="S140" s="315"/>
      <c r="T140" s="315"/>
      <c r="U140" s="315"/>
      <c r="V140" s="315"/>
      <c r="W140" s="315"/>
      <c r="X140" s="319"/>
    </row>
    <row r="141" ht="21" customHeight="1" spans="1:24">
      <c r="A141" s="308" t="s">
        <v>336</v>
      </c>
      <c r="B141" s="309"/>
      <c r="C141" s="309"/>
      <c r="D141" s="309"/>
      <c r="E141" s="309"/>
      <c r="F141" s="309"/>
      <c r="G141" s="309"/>
      <c r="H141" s="309"/>
      <c r="I141" s="309"/>
      <c r="J141" s="309"/>
      <c r="K141" s="309"/>
      <c r="L141" s="309"/>
      <c r="M141" s="309"/>
      <c r="N141" s="309"/>
      <c r="O141" s="309"/>
      <c r="P141" s="309"/>
      <c r="Q141" s="309"/>
      <c r="R141" s="309"/>
      <c r="S141" s="309"/>
      <c r="T141" s="309"/>
      <c r="U141" s="309"/>
      <c r="V141" s="309"/>
      <c r="W141" s="309"/>
      <c r="X141" s="320"/>
    </row>
  </sheetData>
  <sheetProtection formatCells="0" insertHyperlinks="0" autoFilter="0"/>
  <mergeCells count="194">
    <mergeCell ref="A1:C1"/>
    <mergeCell ref="D1:T1"/>
    <mergeCell ref="U1:X1"/>
    <mergeCell ref="B2:D2"/>
    <mergeCell ref="F2:H2"/>
    <mergeCell ref="J2:V2"/>
    <mergeCell ref="W2:X2"/>
    <mergeCell ref="A3:X3"/>
    <mergeCell ref="G4:O4"/>
    <mergeCell ref="P4:X4"/>
    <mergeCell ref="A5:X5"/>
    <mergeCell ref="A6:B6"/>
    <mergeCell ref="L6:N6"/>
    <mergeCell ref="Q6:S6"/>
    <mergeCell ref="W6:X6"/>
    <mergeCell ref="A7:B7"/>
    <mergeCell ref="A8:B8"/>
    <mergeCell ref="A9:B9"/>
    <mergeCell ref="L9:X9"/>
    <mergeCell ref="B10:K10"/>
    <mergeCell ref="A21:X21"/>
    <mergeCell ref="G22:O22"/>
    <mergeCell ref="P22:X22"/>
    <mergeCell ref="A23:X23"/>
    <mergeCell ref="A24:B24"/>
    <mergeCell ref="L24:N24"/>
    <mergeCell ref="Q24:S24"/>
    <mergeCell ref="W24:X24"/>
    <mergeCell ref="A25:B25"/>
    <mergeCell ref="A26:B26"/>
    <mergeCell ref="A27:B27"/>
    <mergeCell ref="A28:B28"/>
    <mergeCell ref="A29:B29"/>
    <mergeCell ref="A30:B30"/>
    <mergeCell ref="A31:B31"/>
    <mergeCell ref="L31:X31"/>
    <mergeCell ref="A32:B32"/>
    <mergeCell ref="L32:X32"/>
    <mergeCell ref="A33:B33"/>
    <mergeCell ref="L33:X33"/>
    <mergeCell ref="A34:B34"/>
    <mergeCell ref="L34:X34"/>
    <mergeCell ref="A35:B35"/>
    <mergeCell ref="L35:X35"/>
    <mergeCell ref="A36:B36"/>
    <mergeCell ref="L36:X36"/>
    <mergeCell ref="A37:X37"/>
    <mergeCell ref="G38:O38"/>
    <mergeCell ref="P38:X38"/>
    <mergeCell ref="A39:X39"/>
    <mergeCell ref="A40:B40"/>
    <mergeCell ref="L40:N40"/>
    <mergeCell ref="Q40:S40"/>
    <mergeCell ref="W40:X40"/>
    <mergeCell ref="A41:B41"/>
    <mergeCell ref="A42:B42"/>
    <mergeCell ref="A43:B43"/>
    <mergeCell ref="A44:B44"/>
    <mergeCell ref="A45:X45"/>
    <mergeCell ref="A46:B46"/>
    <mergeCell ref="A47:B47"/>
    <mergeCell ref="A48:B48"/>
    <mergeCell ref="L48:X48"/>
    <mergeCell ref="A49:B49"/>
    <mergeCell ref="L49:X49"/>
    <mergeCell ref="A50:B50"/>
    <mergeCell ref="L50:X50"/>
    <mergeCell ref="A51:B51"/>
    <mergeCell ref="L51:X51"/>
    <mergeCell ref="A52:B52"/>
    <mergeCell ref="L52:X52"/>
    <mergeCell ref="A53:X53"/>
    <mergeCell ref="A54:X54"/>
    <mergeCell ref="A55:X55"/>
    <mergeCell ref="A56:B56"/>
    <mergeCell ref="A57:X57"/>
    <mergeCell ref="G58:O58"/>
    <mergeCell ref="P58:X58"/>
    <mergeCell ref="A59:X59"/>
    <mergeCell ref="A60:B60"/>
    <mergeCell ref="L60:N60"/>
    <mergeCell ref="Q60:S60"/>
    <mergeCell ref="W60:X60"/>
    <mergeCell ref="A61:B61"/>
    <mergeCell ref="A62:B62"/>
    <mergeCell ref="A63:X63"/>
    <mergeCell ref="A64:X64"/>
    <mergeCell ref="A65:X65"/>
    <mergeCell ref="A66:B66"/>
    <mergeCell ref="L66:N66"/>
    <mergeCell ref="Q66:S66"/>
    <mergeCell ref="W66:X66"/>
    <mergeCell ref="A67:B67"/>
    <mergeCell ref="A68:B68"/>
    <mergeCell ref="L68:X68"/>
    <mergeCell ref="A69:B69"/>
    <mergeCell ref="L69:X69"/>
    <mergeCell ref="A70:X70"/>
    <mergeCell ref="G71:O71"/>
    <mergeCell ref="P71:X71"/>
    <mergeCell ref="A72:X72"/>
    <mergeCell ref="A73:B73"/>
    <mergeCell ref="L73:N73"/>
    <mergeCell ref="Q73:S73"/>
    <mergeCell ref="W73:X73"/>
    <mergeCell ref="A74:B74"/>
    <mergeCell ref="A75:B75"/>
    <mergeCell ref="A76:B76"/>
    <mergeCell ref="A77:X77"/>
    <mergeCell ref="A78:B78"/>
    <mergeCell ref="A79:B79"/>
    <mergeCell ref="A80:B80"/>
    <mergeCell ref="A81:B81"/>
    <mergeCell ref="L81:X81"/>
    <mergeCell ref="A82:B82"/>
    <mergeCell ref="L82:X82"/>
    <mergeCell ref="A83:B83"/>
    <mergeCell ref="L83:X83"/>
    <mergeCell ref="A84:B84"/>
    <mergeCell ref="L84:X84"/>
    <mergeCell ref="A86:B86"/>
    <mergeCell ref="L86:N86"/>
    <mergeCell ref="Q86:S86"/>
    <mergeCell ref="W86:X86"/>
    <mergeCell ref="A87:B87"/>
    <mergeCell ref="A88:B88"/>
    <mergeCell ref="A89:B89"/>
    <mergeCell ref="A90:B90"/>
    <mergeCell ref="A91:B91"/>
    <mergeCell ref="A93:B93"/>
    <mergeCell ref="L93:N93"/>
    <mergeCell ref="Q93:S93"/>
    <mergeCell ref="W93:X93"/>
    <mergeCell ref="A94:B94"/>
    <mergeCell ref="A95:B95"/>
    <mergeCell ref="A96:B96"/>
    <mergeCell ref="A97:B97"/>
    <mergeCell ref="A98:B98"/>
    <mergeCell ref="B104:K104"/>
    <mergeCell ref="M104:X104"/>
    <mergeCell ref="M105:X105"/>
    <mergeCell ref="M106:X106"/>
    <mergeCell ref="M107:X107"/>
    <mergeCell ref="M108:X108"/>
    <mergeCell ref="M109:X109"/>
    <mergeCell ref="M110:X110"/>
    <mergeCell ref="M111:X111"/>
    <mergeCell ref="M112:X112"/>
    <mergeCell ref="M113:X113"/>
    <mergeCell ref="M114:X114"/>
    <mergeCell ref="G115:O115"/>
    <mergeCell ref="P115:X115"/>
    <mergeCell ref="A116:B116"/>
    <mergeCell ref="L116:M116"/>
    <mergeCell ref="A117:B117"/>
    <mergeCell ref="A118:B118"/>
    <mergeCell ref="A119:B119"/>
    <mergeCell ref="A120:B120"/>
    <mergeCell ref="A121:X121"/>
    <mergeCell ref="A122:B122"/>
    <mergeCell ref="A123:B123"/>
    <mergeCell ref="A124:B124"/>
    <mergeCell ref="L124:X124"/>
    <mergeCell ref="A125:B125"/>
    <mergeCell ref="L125:X125"/>
    <mergeCell ref="A126:B126"/>
    <mergeCell ref="L126:X126"/>
    <mergeCell ref="A127:B127"/>
    <mergeCell ref="L127:X127"/>
    <mergeCell ref="A128:B128"/>
    <mergeCell ref="L128:X128"/>
    <mergeCell ref="A129:X129"/>
    <mergeCell ref="A130:X130"/>
    <mergeCell ref="A131:X131"/>
    <mergeCell ref="A132:B132"/>
    <mergeCell ref="G133:O133"/>
    <mergeCell ref="P133:X133"/>
    <mergeCell ref="A134:B134"/>
    <mergeCell ref="L134:M134"/>
    <mergeCell ref="A135:B135"/>
    <mergeCell ref="A136:B136"/>
    <mergeCell ref="A137:B137"/>
    <mergeCell ref="A138:B138"/>
    <mergeCell ref="A139:B139"/>
    <mergeCell ref="L139:X139"/>
    <mergeCell ref="A140:B140"/>
    <mergeCell ref="L140:X140"/>
    <mergeCell ref="A141:X141"/>
    <mergeCell ref="A11:A20"/>
    <mergeCell ref="A105:A114"/>
    <mergeCell ref="L10:X11"/>
    <mergeCell ref="L12:P20"/>
    <mergeCell ref="Q12:T20"/>
    <mergeCell ref="U12:X20"/>
  </mergeCells>
  <pageMargins left="0.75" right="0.75" top="1" bottom="1" header="0.5" footer="0.5"/>
  <headerFooter/>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2"/>
  <sheetViews>
    <sheetView workbookViewId="0">
      <selection activeCell="I11" sqref="I11"/>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10</v>
      </c>
      <c r="B1" s="2"/>
      <c r="C1" s="2"/>
      <c r="D1" s="3" t="s">
        <v>663</v>
      </c>
      <c r="E1" s="2"/>
      <c r="F1" s="2"/>
      <c r="G1" s="2"/>
      <c r="H1" s="2"/>
      <c r="I1" s="2"/>
      <c r="J1" s="2"/>
      <c r="K1" s="2"/>
      <c r="L1" s="2"/>
      <c r="M1" s="2"/>
      <c r="N1" s="2"/>
      <c r="O1" s="2"/>
      <c r="P1" s="2"/>
      <c r="Q1" s="2"/>
      <c r="R1" s="2"/>
      <c r="S1" s="2"/>
      <c r="T1" s="2"/>
      <c r="U1" s="2">
        <v>10</v>
      </c>
      <c r="V1" s="2"/>
      <c r="W1" s="2"/>
      <c r="X1" s="2"/>
    </row>
    <row r="2" ht="21" customHeight="1" spans="1:24">
      <c r="A2" s="5"/>
      <c r="B2" s="6" t="s">
        <v>1</v>
      </c>
      <c r="C2" s="7"/>
      <c r="D2" s="8"/>
      <c r="E2" s="9"/>
      <c r="F2" s="6" t="s">
        <v>664</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14"/>
      <c r="B5" s="15" t="str">
        <f>_xlfn.DISPIMG("ID_5E5DB388D3F243E8A6C6EF6803ADB2E0",1)</f>
        <v>=DISPIMG("ID_5E5DB388D3F243E8A6C6EF6803ADB2E0",1)</v>
      </c>
      <c r="C5" s="15" t="str">
        <f>_xlfn.DISPIMG("ID_CE2A5815EACC4B91AF43D2689B4F942A",1)</f>
        <v>=DISPIMG("ID_CE2A5815EACC4B91AF43D2689B4F942A",1)</v>
      </c>
      <c r="D5" s="15" t="str">
        <f>_xlfn.DISPIMG("ID_F2C85482034E43BDB4B397C2DDDF6402",1)</f>
        <v>=DISPIMG("ID_F2C85482034E43BDB4B397C2DDDF6402",1)</v>
      </c>
      <c r="E5" s="15" t="str">
        <f>_xlfn.DISPIMG("ID_454148467BF6482D9C052AFF4F791C58",1)</f>
        <v>=DISPIMG("ID_454148467BF6482D9C052AFF4F791C58",1)</v>
      </c>
      <c r="F5" s="16"/>
      <c r="G5" s="556" t="s">
        <v>665</v>
      </c>
      <c r="H5" s="557"/>
      <c r="I5" s="557"/>
      <c r="J5" s="557"/>
      <c r="K5" s="557"/>
      <c r="L5" s="557"/>
      <c r="M5" s="557"/>
      <c r="N5" s="557"/>
      <c r="O5" s="569"/>
      <c r="P5" s="720" t="str">
        <f>_xlfn.DISPIMG("ID_F76AEEEFC96646DD9765AE671B2F0B62",1)</f>
        <v>=DISPIMG("ID_F76AEEEFC96646DD9765AE671B2F0B62",1)</v>
      </c>
      <c r="Q5" s="742"/>
      <c r="R5" s="742"/>
      <c r="S5" s="742"/>
      <c r="T5" s="742"/>
      <c r="U5" s="742"/>
      <c r="V5" s="742"/>
      <c r="W5" s="742"/>
      <c r="X5" s="743"/>
    </row>
    <row r="6" ht="21" customHeight="1" spans="1:24">
      <c r="A6" s="476" t="s">
        <v>666</v>
      </c>
      <c r="B6" s="476"/>
      <c r="C6" s="476"/>
      <c r="D6" s="476"/>
      <c r="E6" s="476"/>
      <c r="F6" s="476"/>
      <c r="G6" s="476"/>
      <c r="H6" s="476"/>
      <c r="I6" s="476"/>
      <c r="J6" s="476"/>
      <c r="K6" s="476"/>
      <c r="L6" s="476"/>
      <c r="M6" s="476"/>
      <c r="N6" s="476"/>
      <c r="O6" s="476"/>
      <c r="P6" s="476"/>
      <c r="Q6" s="476"/>
      <c r="R6" s="476"/>
      <c r="S6" s="476"/>
      <c r="T6" s="476"/>
      <c r="U6" s="476"/>
      <c r="V6" s="476"/>
      <c r="W6" s="476"/>
      <c r="X6" s="476"/>
    </row>
    <row r="7" ht="21" customHeight="1" spans="1:24">
      <c r="A7" s="21" t="s">
        <v>8</v>
      </c>
      <c r="B7" s="22"/>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94" t="s">
        <v>667</v>
      </c>
      <c r="B8" s="86"/>
      <c r="C8" s="27">
        <v>7</v>
      </c>
      <c r="D8" s="28">
        <v>8</v>
      </c>
      <c r="E8" s="28">
        <v>10</v>
      </c>
      <c r="F8" s="28">
        <v>11</v>
      </c>
      <c r="G8" s="28">
        <v>14</v>
      </c>
      <c r="H8" s="28">
        <v>17</v>
      </c>
      <c r="I8" s="28">
        <v>20</v>
      </c>
      <c r="J8" s="28">
        <v>24</v>
      </c>
      <c r="K8" s="141">
        <v>28</v>
      </c>
      <c r="L8" s="154"/>
      <c r="M8" s="721">
        <v>32</v>
      </c>
      <c r="N8" s="144"/>
      <c r="O8" s="188">
        <v>38</v>
      </c>
      <c r="P8" s="189">
        <v>45</v>
      </c>
      <c r="Q8" s="144"/>
      <c r="R8" s="262">
        <v>52</v>
      </c>
      <c r="S8" s="144"/>
      <c r="T8" s="188">
        <v>59</v>
      </c>
      <c r="U8" s="263">
        <v>65</v>
      </c>
      <c r="V8" s="189">
        <v>72</v>
      </c>
      <c r="W8" s="240"/>
      <c r="X8" s="265">
        <v>79</v>
      </c>
    </row>
    <row r="9" ht="21" customHeight="1" spans="1:24">
      <c r="A9" s="30" t="s">
        <v>668</v>
      </c>
      <c r="B9" s="698"/>
      <c r="C9" s="31">
        <f t="shared" ref="C9:K9" si="0">INT(C8*1.1)</f>
        <v>7</v>
      </c>
      <c r="D9" s="32">
        <f t="shared" si="0"/>
        <v>8</v>
      </c>
      <c r="E9" s="32">
        <f t="shared" si="0"/>
        <v>11</v>
      </c>
      <c r="F9" s="32">
        <f t="shared" si="0"/>
        <v>12</v>
      </c>
      <c r="G9" s="32">
        <f t="shared" si="0"/>
        <v>15</v>
      </c>
      <c r="H9" s="32">
        <f t="shared" si="0"/>
        <v>18</v>
      </c>
      <c r="I9" s="32">
        <f t="shared" si="0"/>
        <v>22</v>
      </c>
      <c r="J9" s="32">
        <f t="shared" si="0"/>
        <v>26</v>
      </c>
      <c r="K9" s="147">
        <f t="shared" si="0"/>
        <v>30</v>
      </c>
      <c r="L9" s="148"/>
      <c r="M9" s="572">
        <f t="shared" ref="M9:P9" si="1">INT(M8*1.1)</f>
        <v>35</v>
      </c>
      <c r="N9" s="722"/>
      <c r="O9" s="151">
        <f t="shared" si="1"/>
        <v>41</v>
      </c>
      <c r="P9" s="152">
        <f t="shared" si="1"/>
        <v>49</v>
      </c>
      <c r="Q9" s="722"/>
      <c r="R9" s="242">
        <f t="shared" ref="R9:V9" si="2">INT(R8*1.1)</f>
        <v>57</v>
      </c>
      <c r="S9" s="722"/>
      <c r="T9" s="151">
        <f t="shared" si="2"/>
        <v>64</v>
      </c>
      <c r="U9" s="243">
        <f t="shared" si="2"/>
        <v>71</v>
      </c>
      <c r="V9" s="152">
        <f t="shared" si="2"/>
        <v>79</v>
      </c>
      <c r="W9" s="744"/>
      <c r="X9" s="245">
        <f>INT(X8*1.1)</f>
        <v>86</v>
      </c>
    </row>
    <row r="10" ht="21" customHeight="1" spans="1:24">
      <c r="A10" s="358" t="s">
        <v>669</v>
      </c>
      <c r="B10" s="283"/>
      <c r="C10" s="35">
        <v>14</v>
      </c>
      <c r="D10" s="36">
        <v>16</v>
      </c>
      <c r="E10" s="36">
        <v>18</v>
      </c>
      <c r="F10" s="36">
        <v>20</v>
      </c>
      <c r="G10" s="36">
        <v>26</v>
      </c>
      <c r="H10" s="36">
        <v>32</v>
      </c>
      <c r="I10" s="36">
        <v>36</v>
      </c>
      <c r="J10" s="36">
        <v>44</v>
      </c>
      <c r="K10" s="153">
        <v>52</v>
      </c>
      <c r="L10" s="154"/>
      <c r="M10" s="507">
        <v>60</v>
      </c>
      <c r="N10" s="156"/>
      <c r="O10" s="509">
        <v>70</v>
      </c>
      <c r="P10" s="423">
        <v>84</v>
      </c>
      <c r="Q10" s="156"/>
      <c r="R10" s="534">
        <v>96</v>
      </c>
      <c r="S10" s="156"/>
      <c r="T10" s="509">
        <v>110</v>
      </c>
      <c r="U10" s="535">
        <v>124</v>
      </c>
      <c r="V10" s="423">
        <v>138</v>
      </c>
      <c r="W10" s="246"/>
      <c r="X10" s="425">
        <v>152</v>
      </c>
    </row>
    <row r="11" ht="21" customHeight="1" spans="1:24">
      <c r="A11" s="56" t="s">
        <v>670</v>
      </c>
      <c r="B11" s="699"/>
      <c r="C11" s="700">
        <f t="shared" ref="C11:K11" si="3">INT(C10*1.1)</f>
        <v>15</v>
      </c>
      <c r="D11" s="701">
        <f t="shared" si="3"/>
        <v>17</v>
      </c>
      <c r="E11" s="701">
        <f t="shared" si="3"/>
        <v>19</v>
      </c>
      <c r="F11" s="701">
        <f t="shared" si="3"/>
        <v>22</v>
      </c>
      <c r="G11" s="701">
        <f t="shared" si="3"/>
        <v>28</v>
      </c>
      <c r="H11" s="701">
        <f t="shared" si="3"/>
        <v>35</v>
      </c>
      <c r="I11" s="701">
        <f t="shared" si="3"/>
        <v>39</v>
      </c>
      <c r="J11" s="701">
        <f t="shared" si="3"/>
        <v>48</v>
      </c>
      <c r="K11" s="723">
        <f t="shared" si="3"/>
        <v>57</v>
      </c>
      <c r="L11" s="724"/>
      <c r="M11" s="173">
        <f t="shared" ref="M11:P11" si="4">INT(M10*1.1)</f>
        <v>66</v>
      </c>
      <c r="N11" s="150"/>
      <c r="O11" s="171">
        <f t="shared" si="4"/>
        <v>77</v>
      </c>
      <c r="P11" s="172">
        <f t="shared" si="4"/>
        <v>92</v>
      </c>
      <c r="Q11" s="150"/>
      <c r="R11" s="255">
        <f t="shared" ref="R11:V11" si="5">INT(R10*1.1)</f>
        <v>105</v>
      </c>
      <c r="S11" s="150"/>
      <c r="T11" s="171">
        <f t="shared" si="5"/>
        <v>121</v>
      </c>
      <c r="U11" s="256">
        <f t="shared" si="5"/>
        <v>136</v>
      </c>
      <c r="V11" s="172">
        <f t="shared" si="5"/>
        <v>151</v>
      </c>
      <c r="W11" s="244"/>
      <c r="X11" s="257">
        <f>INT(X10*1.1)</f>
        <v>167</v>
      </c>
    </row>
    <row r="12" ht="21" customHeight="1" spans="1:24">
      <c r="A12" s="86" t="s">
        <v>671</v>
      </c>
      <c r="B12" s="205"/>
      <c r="C12" s="702">
        <v>6</v>
      </c>
      <c r="D12" s="703">
        <v>7</v>
      </c>
      <c r="E12" s="703">
        <v>8</v>
      </c>
      <c r="F12" s="703">
        <v>10</v>
      </c>
      <c r="G12" s="703">
        <v>12</v>
      </c>
      <c r="H12" s="703">
        <v>14</v>
      </c>
      <c r="I12" s="703">
        <v>17</v>
      </c>
      <c r="J12" s="703">
        <v>20</v>
      </c>
      <c r="K12" s="725">
        <v>24</v>
      </c>
      <c r="L12" s="726"/>
      <c r="M12" s="727">
        <v>28</v>
      </c>
      <c r="N12" s="728"/>
      <c r="O12" s="382">
        <v>32</v>
      </c>
      <c r="P12" s="383">
        <v>38</v>
      </c>
      <c r="Q12" s="728"/>
      <c r="R12" s="416">
        <v>44</v>
      </c>
      <c r="S12" s="728"/>
      <c r="T12" s="382">
        <v>50</v>
      </c>
      <c r="U12" s="417">
        <v>56</v>
      </c>
      <c r="V12" s="383">
        <v>62</v>
      </c>
      <c r="W12" s="745"/>
      <c r="X12" s="418">
        <v>68</v>
      </c>
    </row>
    <row r="13" ht="21" customHeight="1" spans="1:24">
      <c r="A13" s="30" t="s">
        <v>672</v>
      </c>
      <c r="B13" s="698"/>
      <c r="C13" s="31">
        <f t="shared" ref="C13:K13" si="6">INT(C12*1.1)</f>
        <v>6</v>
      </c>
      <c r="D13" s="32">
        <f t="shared" si="6"/>
        <v>7</v>
      </c>
      <c r="E13" s="32">
        <f t="shared" si="6"/>
        <v>8</v>
      </c>
      <c r="F13" s="32">
        <f t="shared" si="6"/>
        <v>11</v>
      </c>
      <c r="G13" s="32">
        <f t="shared" si="6"/>
        <v>13</v>
      </c>
      <c r="H13" s="32">
        <f t="shared" si="6"/>
        <v>15</v>
      </c>
      <c r="I13" s="32">
        <f t="shared" si="6"/>
        <v>18</v>
      </c>
      <c r="J13" s="32">
        <f t="shared" si="6"/>
        <v>22</v>
      </c>
      <c r="K13" s="147">
        <f t="shared" si="6"/>
        <v>26</v>
      </c>
      <c r="L13" s="148"/>
      <c r="M13" s="149">
        <f t="shared" ref="M13:P13" si="7">INT(M12*1.1)</f>
        <v>30</v>
      </c>
      <c r="N13" s="729"/>
      <c r="O13" s="151">
        <f t="shared" si="7"/>
        <v>35</v>
      </c>
      <c r="P13" s="152">
        <f t="shared" si="7"/>
        <v>41</v>
      </c>
      <c r="Q13" s="729"/>
      <c r="R13" s="242">
        <f t="shared" ref="R13:V13" si="8">INT(R12*1.1)</f>
        <v>48</v>
      </c>
      <c r="S13" s="729"/>
      <c r="T13" s="151">
        <f t="shared" si="8"/>
        <v>55</v>
      </c>
      <c r="U13" s="243">
        <f t="shared" si="8"/>
        <v>61</v>
      </c>
      <c r="V13" s="152">
        <f t="shared" si="8"/>
        <v>68</v>
      </c>
      <c r="W13" s="746"/>
      <c r="X13" s="245">
        <f>INT(X12*1.1)</f>
        <v>74</v>
      </c>
    </row>
    <row r="14" ht="21" customHeight="1" spans="1:24">
      <c r="A14" s="25" t="s">
        <v>673</v>
      </c>
      <c r="B14" s="26"/>
      <c r="C14" s="702">
        <v>7</v>
      </c>
      <c r="D14" s="703">
        <v>8</v>
      </c>
      <c r="E14" s="703">
        <v>9</v>
      </c>
      <c r="F14" s="703">
        <v>12</v>
      </c>
      <c r="G14" s="703">
        <v>14</v>
      </c>
      <c r="H14" s="703">
        <v>16</v>
      </c>
      <c r="I14" s="703">
        <v>19</v>
      </c>
      <c r="J14" s="703">
        <v>23</v>
      </c>
      <c r="K14" s="725">
        <v>27</v>
      </c>
      <c r="L14" s="726"/>
      <c r="M14" s="727">
        <v>32</v>
      </c>
      <c r="N14" s="728"/>
      <c r="O14" s="382">
        <v>36</v>
      </c>
      <c r="P14" s="383">
        <v>43</v>
      </c>
      <c r="Q14" s="728"/>
      <c r="R14" s="416">
        <v>50</v>
      </c>
      <c r="S14" s="728"/>
      <c r="T14" s="382">
        <v>57</v>
      </c>
      <c r="U14" s="417">
        <v>64</v>
      </c>
      <c r="V14" s="383">
        <v>71</v>
      </c>
      <c r="W14" s="745"/>
      <c r="X14" s="418">
        <v>78</v>
      </c>
    </row>
    <row r="15" ht="21" customHeight="1" spans="1:24">
      <c r="A15" s="83" t="s">
        <v>269</v>
      </c>
      <c r="B15" s="84"/>
      <c r="C15" s="84"/>
      <c r="D15" s="84"/>
      <c r="E15" s="84"/>
      <c r="F15" s="84"/>
      <c r="G15" s="84"/>
      <c r="H15" s="84"/>
      <c r="I15" s="84"/>
      <c r="J15" s="84"/>
      <c r="K15" s="84"/>
      <c r="L15" s="84"/>
      <c r="M15" s="84"/>
      <c r="N15" s="84"/>
      <c r="O15" s="84"/>
      <c r="P15" s="84"/>
      <c r="Q15" s="84"/>
      <c r="R15" s="84"/>
      <c r="S15" s="84"/>
      <c r="T15" s="84"/>
      <c r="U15" s="84"/>
      <c r="V15" s="84"/>
      <c r="W15" s="84"/>
      <c r="X15" s="270"/>
    </row>
    <row r="16" ht="21" customHeight="1" spans="1:24">
      <c r="A16" s="306" t="s">
        <v>674</v>
      </c>
      <c r="B16" s="26"/>
      <c r="C16" s="113">
        <f t="shared" ref="C16:K16" si="9">INT(C8*1.2)</f>
        <v>8</v>
      </c>
      <c r="D16" s="307">
        <f t="shared" si="9"/>
        <v>9</v>
      </c>
      <c r="E16" s="307">
        <f t="shared" si="9"/>
        <v>12</v>
      </c>
      <c r="F16" s="307">
        <f t="shared" si="9"/>
        <v>13</v>
      </c>
      <c r="G16" s="307">
        <f t="shared" si="9"/>
        <v>16</v>
      </c>
      <c r="H16" s="307">
        <f t="shared" si="9"/>
        <v>20</v>
      </c>
      <c r="I16" s="307">
        <f t="shared" si="9"/>
        <v>24</v>
      </c>
      <c r="J16" s="307">
        <f t="shared" si="9"/>
        <v>28</v>
      </c>
      <c r="K16" s="312">
        <f t="shared" si="9"/>
        <v>33</v>
      </c>
      <c r="L16" s="313"/>
      <c r="M16" s="155">
        <f t="shared" ref="M16:P16" si="10">INT(M8*1.2)</f>
        <v>38</v>
      </c>
      <c r="N16" s="314"/>
      <c r="O16" s="145">
        <f t="shared" si="10"/>
        <v>45</v>
      </c>
      <c r="P16" s="146">
        <f t="shared" si="10"/>
        <v>54</v>
      </c>
      <c r="Q16" s="314"/>
      <c r="R16" s="238">
        <f t="shared" ref="R16:V16" si="11">INT(R8*1.2)</f>
        <v>62</v>
      </c>
      <c r="S16" s="314"/>
      <c r="T16" s="145">
        <f t="shared" si="11"/>
        <v>70</v>
      </c>
      <c r="U16" s="239">
        <f t="shared" si="11"/>
        <v>78</v>
      </c>
      <c r="V16" s="146">
        <f t="shared" si="11"/>
        <v>86</v>
      </c>
      <c r="W16" s="318"/>
      <c r="X16" s="241">
        <f>INT(X8*1.2)</f>
        <v>94</v>
      </c>
    </row>
    <row r="17" ht="21" customHeight="1" spans="1:24">
      <c r="A17" s="30" t="s">
        <v>675</v>
      </c>
      <c r="B17" s="698"/>
      <c r="C17" s="31">
        <f t="shared" ref="C17:K17" si="12">INT(C16*1.1)</f>
        <v>8</v>
      </c>
      <c r="D17" s="32">
        <f t="shared" si="12"/>
        <v>9</v>
      </c>
      <c r="E17" s="32">
        <f t="shared" si="12"/>
        <v>13</v>
      </c>
      <c r="F17" s="32">
        <f t="shared" si="12"/>
        <v>14</v>
      </c>
      <c r="G17" s="32">
        <f t="shared" si="12"/>
        <v>17</v>
      </c>
      <c r="H17" s="32">
        <f t="shared" si="12"/>
        <v>22</v>
      </c>
      <c r="I17" s="32">
        <f t="shared" si="12"/>
        <v>26</v>
      </c>
      <c r="J17" s="32">
        <f t="shared" si="12"/>
        <v>30</v>
      </c>
      <c r="K17" s="147">
        <f t="shared" si="12"/>
        <v>36</v>
      </c>
      <c r="L17" s="148"/>
      <c r="M17" s="572">
        <f t="shared" ref="M17:P17" si="13">INT(M16*1.1)</f>
        <v>41</v>
      </c>
      <c r="N17" s="722"/>
      <c r="O17" s="151">
        <f t="shared" si="13"/>
        <v>49</v>
      </c>
      <c r="P17" s="152">
        <f t="shared" si="13"/>
        <v>59</v>
      </c>
      <c r="Q17" s="722"/>
      <c r="R17" s="242">
        <f t="shared" ref="R17:V17" si="14">INT(R16*1.1)</f>
        <v>68</v>
      </c>
      <c r="S17" s="722"/>
      <c r="T17" s="151">
        <f t="shared" si="14"/>
        <v>77</v>
      </c>
      <c r="U17" s="243">
        <f t="shared" si="14"/>
        <v>85</v>
      </c>
      <c r="V17" s="152">
        <f t="shared" si="14"/>
        <v>94</v>
      </c>
      <c r="W17" s="744"/>
      <c r="X17" s="245">
        <f>INT(X16*1.1)</f>
        <v>103</v>
      </c>
    </row>
    <row r="18" ht="21" customHeight="1" spans="1:24">
      <c r="A18" s="704" t="s">
        <v>676</v>
      </c>
      <c r="B18" s="283"/>
      <c r="C18" s="35">
        <f t="shared" ref="C18:K18" si="15">INT(C10*1.15)</f>
        <v>16</v>
      </c>
      <c r="D18" s="36">
        <f t="shared" si="15"/>
        <v>18</v>
      </c>
      <c r="E18" s="36">
        <f t="shared" si="15"/>
        <v>20</v>
      </c>
      <c r="F18" s="36">
        <f t="shared" si="15"/>
        <v>23</v>
      </c>
      <c r="G18" s="36">
        <f t="shared" si="15"/>
        <v>29</v>
      </c>
      <c r="H18" s="36">
        <f t="shared" si="15"/>
        <v>36</v>
      </c>
      <c r="I18" s="36">
        <f t="shared" si="15"/>
        <v>41</v>
      </c>
      <c r="J18" s="36">
        <f t="shared" si="15"/>
        <v>50</v>
      </c>
      <c r="K18" s="153">
        <f t="shared" si="15"/>
        <v>59</v>
      </c>
      <c r="L18" s="154"/>
      <c r="M18" s="507">
        <f t="shared" ref="M18:P18" si="16">INT(M10*1.15)</f>
        <v>69</v>
      </c>
      <c r="N18" s="156"/>
      <c r="O18" s="509">
        <f t="shared" si="16"/>
        <v>80</v>
      </c>
      <c r="P18" s="423">
        <f t="shared" si="16"/>
        <v>96</v>
      </c>
      <c r="Q18" s="156"/>
      <c r="R18" s="534">
        <f t="shared" ref="R18:V18" si="17">INT(R10*1.15)</f>
        <v>110</v>
      </c>
      <c r="S18" s="156"/>
      <c r="T18" s="509">
        <f t="shared" si="17"/>
        <v>126</v>
      </c>
      <c r="U18" s="535">
        <f t="shared" si="17"/>
        <v>142</v>
      </c>
      <c r="V18" s="423">
        <f t="shared" si="17"/>
        <v>158</v>
      </c>
      <c r="W18" s="246"/>
      <c r="X18" s="425">
        <f>INT(X10*1.15)</f>
        <v>174</v>
      </c>
    </row>
    <row r="19" ht="21" customHeight="1" spans="1:24">
      <c r="A19" s="30" t="s">
        <v>677</v>
      </c>
      <c r="B19" s="698"/>
      <c r="C19" s="31">
        <f t="shared" ref="C19:K19" si="18">INT(C18*1.1)</f>
        <v>17</v>
      </c>
      <c r="D19" s="32">
        <f t="shared" si="18"/>
        <v>19</v>
      </c>
      <c r="E19" s="32">
        <f t="shared" si="18"/>
        <v>22</v>
      </c>
      <c r="F19" s="32">
        <f t="shared" si="18"/>
        <v>25</v>
      </c>
      <c r="G19" s="32">
        <f t="shared" si="18"/>
        <v>31</v>
      </c>
      <c r="H19" s="32">
        <f t="shared" si="18"/>
        <v>39</v>
      </c>
      <c r="I19" s="32">
        <f t="shared" si="18"/>
        <v>45</v>
      </c>
      <c r="J19" s="32">
        <f t="shared" si="18"/>
        <v>55</v>
      </c>
      <c r="K19" s="147">
        <f t="shared" si="18"/>
        <v>64</v>
      </c>
      <c r="L19" s="148"/>
      <c r="M19" s="572">
        <f t="shared" ref="M19:P19" si="19">INT(M18*1.1)</f>
        <v>75</v>
      </c>
      <c r="N19" s="722"/>
      <c r="O19" s="151">
        <f t="shared" si="19"/>
        <v>88</v>
      </c>
      <c r="P19" s="152">
        <f t="shared" si="19"/>
        <v>105</v>
      </c>
      <c r="Q19" s="722"/>
      <c r="R19" s="242">
        <f t="shared" ref="R19:V19" si="20">INT(R18*1.1)</f>
        <v>121</v>
      </c>
      <c r="S19" s="722"/>
      <c r="T19" s="151">
        <f t="shared" si="20"/>
        <v>138</v>
      </c>
      <c r="U19" s="243">
        <f t="shared" si="20"/>
        <v>156</v>
      </c>
      <c r="V19" s="152">
        <f t="shared" si="20"/>
        <v>173</v>
      </c>
      <c r="W19" s="744"/>
      <c r="X19" s="245">
        <f>INT(X18*1.1)</f>
        <v>191</v>
      </c>
    </row>
    <row r="20" ht="21" customHeight="1" spans="1:24">
      <c r="A20" s="705" t="s">
        <v>678</v>
      </c>
      <c r="B20" s="205"/>
      <c r="C20" s="706">
        <f t="shared" ref="C20:K20" si="21">INT(C12*1.1)</f>
        <v>6</v>
      </c>
      <c r="D20" s="707">
        <f t="shared" si="21"/>
        <v>7</v>
      </c>
      <c r="E20" s="707">
        <f t="shared" si="21"/>
        <v>8</v>
      </c>
      <c r="F20" s="707">
        <f t="shared" si="21"/>
        <v>11</v>
      </c>
      <c r="G20" s="707">
        <f t="shared" si="21"/>
        <v>13</v>
      </c>
      <c r="H20" s="707">
        <f t="shared" si="21"/>
        <v>15</v>
      </c>
      <c r="I20" s="707">
        <f t="shared" si="21"/>
        <v>18</v>
      </c>
      <c r="J20" s="707">
        <f t="shared" si="21"/>
        <v>22</v>
      </c>
      <c r="K20" s="730">
        <f t="shared" si="21"/>
        <v>26</v>
      </c>
      <c r="L20" s="731"/>
      <c r="M20" s="186">
        <f t="shared" ref="M20:P20" si="22">INT(M12*1.1)</f>
        <v>30</v>
      </c>
      <c r="N20" s="144"/>
      <c r="O20" s="188">
        <f t="shared" si="22"/>
        <v>35</v>
      </c>
      <c r="P20" s="189">
        <f t="shared" si="22"/>
        <v>41</v>
      </c>
      <c r="Q20" s="144"/>
      <c r="R20" s="262">
        <f t="shared" ref="R20:V20" si="23">INT(R12*1.1)</f>
        <v>48</v>
      </c>
      <c r="S20" s="144"/>
      <c r="T20" s="188">
        <f t="shared" si="23"/>
        <v>55</v>
      </c>
      <c r="U20" s="263">
        <f t="shared" si="23"/>
        <v>61</v>
      </c>
      <c r="V20" s="189">
        <f t="shared" si="23"/>
        <v>68</v>
      </c>
      <c r="W20" s="240"/>
      <c r="X20" s="265">
        <f>INT(X12*1.1)</f>
        <v>74</v>
      </c>
    </row>
    <row r="21" ht="21" customHeight="1" spans="1:24">
      <c r="A21" s="30" t="s">
        <v>679</v>
      </c>
      <c r="B21" s="698"/>
      <c r="C21" s="31">
        <f t="shared" ref="C21:K21" si="24">INT(C20*1.1)</f>
        <v>6</v>
      </c>
      <c r="D21" s="32">
        <f t="shared" si="24"/>
        <v>7</v>
      </c>
      <c r="E21" s="32">
        <f t="shared" si="24"/>
        <v>8</v>
      </c>
      <c r="F21" s="32">
        <f t="shared" si="24"/>
        <v>12</v>
      </c>
      <c r="G21" s="32">
        <f t="shared" si="24"/>
        <v>14</v>
      </c>
      <c r="H21" s="32">
        <f t="shared" si="24"/>
        <v>16</v>
      </c>
      <c r="I21" s="32">
        <f t="shared" si="24"/>
        <v>19</v>
      </c>
      <c r="J21" s="32">
        <f t="shared" si="24"/>
        <v>24</v>
      </c>
      <c r="K21" s="147">
        <f t="shared" si="24"/>
        <v>28</v>
      </c>
      <c r="L21" s="148"/>
      <c r="M21" s="732">
        <f t="shared" ref="M21:P21" si="25">INT(M20*1.1)</f>
        <v>33</v>
      </c>
      <c r="N21" s="733"/>
      <c r="O21" s="151">
        <f t="shared" si="25"/>
        <v>38</v>
      </c>
      <c r="P21" s="152">
        <f t="shared" si="25"/>
        <v>45</v>
      </c>
      <c r="Q21" s="733"/>
      <c r="R21" s="242">
        <f t="shared" ref="R21:V21" si="26">INT(R20*1.1)</f>
        <v>52</v>
      </c>
      <c r="S21" s="733"/>
      <c r="T21" s="151">
        <f t="shared" si="26"/>
        <v>60</v>
      </c>
      <c r="U21" s="243">
        <f t="shared" si="26"/>
        <v>67</v>
      </c>
      <c r="V21" s="152">
        <f t="shared" si="26"/>
        <v>74</v>
      </c>
      <c r="W21" s="747"/>
      <c r="X21" s="245">
        <f>INT(X20*1.1)</f>
        <v>81</v>
      </c>
    </row>
    <row r="22" ht="21" customHeight="1" spans="1:24">
      <c r="A22" s="306" t="s">
        <v>680</v>
      </c>
      <c r="B22" s="26"/>
      <c r="C22" s="113">
        <v>8</v>
      </c>
      <c r="D22" s="307">
        <v>9</v>
      </c>
      <c r="E22" s="307">
        <v>10</v>
      </c>
      <c r="F22" s="307">
        <v>14</v>
      </c>
      <c r="G22" s="307">
        <v>16</v>
      </c>
      <c r="H22" s="307">
        <v>19</v>
      </c>
      <c r="I22" s="307">
        <v>22</v>
      </c>
      <c r="J22" s="307">
        <v>27</v>
      </c>
      <c r="K22" s="312">
        <v>32</v>
      </c>
      <c r="L22" s="313"/>
      <c r="M22" s="155">
        <v>38</v>
      </c>
      <c r="N22" s="314"/>
      <c r="O22" s="145">
        <v>43</v>
      </c>
      <c r="P22" s="146">
        <v>51</v>
      </c>
      <c r="Q22" s="314"/>
      <c r="R22" s="238">
        <v>60</v>
      </c>
      <c r="S22" s="314"/>
      <c r="T22" s="145">
        <v>68</v>
      </c>
      <c r="U22" s="239">
        <v>76</v>
      </c>
      <c r="V22" s="146">
        <v>85</v>
      </c>
      <c r="W22" s="318"/>
      <c r="X22" s="241">
        <v>93</v>
      </c>
    </row>
    <row r="23" ht="21" customHeight="1" spans="1:24">
      <c r="A23" s="59" t="s">
        <v>18</v>
      </c>
      <c r="B23" s="60"/>
      <c r="C23" s="61">
        <v>0</v>
      </c>
      <c r="D23" s="62">
        <v>1</v>
      </c>
      <c r="E23" s="62">
        <v>2</v>
      </c>
      <c r="F23" s="63">
        <v>3</v>
      </c>
      <c r="G23" s="62">
        <v>4</v>
      </c>
      <c r="H23" s="64">
        <v>5</v>
      </c>
      <c r="I23" s="62">
        <v>6</v>
      </c>
      <c r="J23" s="174">
        <v>7</v>
      </c>
      <c r="K23" s="175">
        <v>8</v>
      </c>
      <c r="L23" s="734" t="s">
        <v>681</v>
      </c>
      <c r="M23" s="177"/>
      <c r="N23" s="177"/>
      <c r="O23" s="177"/>
      <c r="P23" s="177"/>
      <c r="Q23" s="177"/>
      <c r="R23" s="177"/>
      <c r="S23" s="177"/>
      <c r="T23" s="177"/>
      <c r="U23" s="177"/>
      <c r="V23" s="177"/>
      <c r="W23" s="177"/>
      <c r="X23" s="258"/>
    </row>
    <row r="24" ht="21" customHeight="1" spans="1:24">
      <c r="A24" s="123" t="s">
        <v>667</v>
      </c>
      <c r="B24" s="408"/>
      <c r="C24" s="41">
        <v>5</v>
      </c>
      <c r="D24" s="42">
        <v>4.9</v>
      </c>
      <c r="E24" s="42">
        <v>4.8</v>
      </c>
      <c r="F24" s="43">
        <v>4.7</v>
      </c>
      <c r="G24" s="42">
        <v>4.6</v>
      </c>
      <c r="H24" s="44">
        <v>4.5</v>
      </c>
      <c r="I24" s="42">
        <v>4.4</v>
      </c>
      <c r="J24" s="163">
        <v>4.3</v>
      </c>
      <c r="K24" s="164">
        <v>4.2</v>
      </c>
      <c r="L24" s="176" t="s">
        <v>682</v>
      </c>
      <c r="M24" s="177"/>
      <c r="N24" s="177"/>
      <c r="O24" s="177"/>
      <c r="P24" s="177"/>
      <c r="Q24" s="177"/>
      <c r="R24" s="177"/>
      <c r="S24" s="177"/>
      <c r="T24" s="177"/>
      <c r="U24" s="177"/>
      <c r="V24" s="177"/>
      <c r="W24" s="177"/>
      <c r="X24" s="258"/>
    </row>
    <row r="25" ht="21" customHeight="1" spans="1:24">
      <c r="A25" s="65" t="s">
        <v>669</v>
      </c>
      <c r="B25" s="65"/>
      <c r="C25" s="66">
        <v>5</v>
      </c>
      <c r="D25" s="67">
        <v>4.8</v>
      </c>
      <c r="E25" s="67">
        <v>4.6</v>
      </c>
      <c r="F25" s="93">
        <v>4.4</v>
      </c>
      <c r="G25" s="67">
        <v>4.2</v>
      </c>
      <c r="H25" s="69">
        <v>4</v>
      </c>
      <c r="I25" s="67">
        <v>3.8</v>
      </c>
      <c r="J25" s="178">
        <v>3.6</v>
      </c>
      <c r="K25" s="378">
        <v>3.4</v>
      </c>
      <c r="L25" s="176" t="s">
        <v>683</v>
      </c>
      <c r="M25" s="177"/>
      <c r="N25" s="177"/>
      <c r="O25" s="177"/>
      <c r="P25" s="177"/>
      <c r="Q25" s="177"/>
      <c r="R25" s="177"/>
      <c r="S25" s="177"/>
      <c r="T25" s="177"/>
      <c r="U25" s="177"/>
      <c r="V25" s="177"/>
      <c r="W25" s="177"/>
      <c r="X25" s="258"/>
    </row>
    <row r="26" ht="21" customHeight="1" spans="1:24">
      <c r="A26" s="122" t="s">
        <v>671</v>
      </c>
      <c r="B26" s="122"/>
      <c r="C26" s="41">
        <v>4</v>
      </c>
      <c r="D26" s="42">
        <v>3.8</v>
      </c>
      <c r="E26" s="42">
        <v>3.6</v>
      </c>
      <c r="F26" s="43">
        <v>3.4</v>
      </c>
      <c r="G26" s="42">
        <v>3.2</v>
      </c>
      <c r="H26" s="44">
        <v>3</v>
      </c>
      <c r="I26" s="42">
        <v>2.8</v>
      </c>
      <c r="J26" s="163">
        <v>2.6</v>
      </c>
      <c r="K26" s="164">
        <v>2.4</v>
      </c>
      <c r="L26" s="176" t="s">
        <v>684</v>
      </c>
      <c r="M26" s="177"/>
      <c r="N26" s="177"/>
      <c r="O26" s="177"/>
      <c r="P26" s="177"/>
      <c r="Q26" s="177"/>
      <c r="R26" s="177"/>
      <c r="S26" s="177"/>
      <c r="T26" s="177"/>
      <c r="U26" s="177"/>
      <c r="V26" s="177"/>
      <c r="W26" s="177"/>
      <c r="X26" s="258"/>
    </row>
    <row r="27" ht="21" customHeight="1" spans="1:24">
      <c r="A27" s="65" t="s">
        <v>673</v>
      </c>
      <c r="B27" s="65"/>
      <c r="C27" s="66">
        <v>3.8</v>
      </c>
      <c r="D27" s="67">
        <v>3.7</v>
      </c>
      <c r="E27" s="67">
        <v>3.5</v>
      </c>
      <c r="F27" s="93">
        <v>3.3</v>
      </c>
      <c r="G27" s="67">
        <v>3.1</v>
      </c>
      <c r="H27" s="69">
        <v>2.9</v>
      </c>
      <c r="I27" s="67">
        <v>2.7</v>
      </c>
      <c r="J27" s="178">
        <v>2.5</v>
      </c>
      <c r="K27" s="378">
        <v>2.2</v>
      </c>
      <c r="L27" s="176" t="s">
        <v>685</v>
      </c>
      <c r="M27" s="177"/>
      <c r="N27" s="177"/>
      <c r="O27" s="177"/>
      <c r="P27" s="177"/>
      <c r="Q27" s="177"/>
      <c r="R27" s="177"/>
      <c r="S27" s="177"/>
      <c r="T27" s="177"/>
      <c r="U27" s="177"/>
      <c r="V27" s="177"/>
      <c r="W27" s="177"/>
      <c r="X27" s="258"/>
    </row>
    <row r="28" ht="21" customHeight="1" spans="1:24">
      <c r="A28" s="708" t="s">
        <v>454</v>
      </c>
      <c r="B28" s="709"/>
      <c r="C28" s="709"/>
      <c r="D28" s="709"/>
      <c r="E28" s="709"/>
      <c r="F28" s="709"/>
      <c r="G28" s="709"/>
      <c r="H28" s="709"/>
      <c r="I28" s="709"/>
      <c r="J28" s="709"/>
      <c r="K28" s="709"/>
      <c r="L28" s="709"/>
      <c r="M28" s="709"/>
      <c r="N28" s="709"/>
      <c r="O28" s="709"/>
      <c r="P28" s="709"/>
      <c r="Q28" s="709"/>
      <c r="R28" s="709"/>
      <c r="S28" s="709"/>
      <c r="T28" s="709"/>
      <c r="U28" s="709"/>
      <c r="V28" s="709"/>
      <c r="W28" s="709"/>
      <c r="X28" s="709"/>
    </row>
    <row r="29" ht="21" customHeight="1" spans="1:24">
      <c r="A29" s="710" t="s">
        <v>686</v>
      </c>
      <c r="B29" s="710"/>
      <c r="C29" s="710"/>
      <c r="D29" s="710"/>
      <c r="E29" s="710"/>
      <c r="F29" s="710"/>
      <c r="G29" s="710"/>
      <c r="H29" s="710"/>
      <c r="I29" s="710"/>
      <c r="J29" s="710"/>
      <c r="K29" s="710"/>
      <c r="L29" s="710"/>
      <c r="M29" s="710"/>
      <c r="N29" s="710"/>
      <c r="O29" s="710"/>
      <c r="P29" s="710"/>
      <c r="Q29" s="710"/>
      <c r="R29" s="710"/>
      <c r="S29" s="710"/>
      <c r="T29" s="710"/>
      <c r="U29" s="710"/>
      <c r="V29" s="710"/>
      <c r="W29" s="710"/>
      <c r="X29" s="710"/>
    </row>
    <row r="30" ht="21" customHeight="1" spans="1:24">
      <c r="A30" s="711" t="s">
        <v>687</v>
      </c>
      <c r="B30" s="712"/>
      <c r="C30" s="712"/>
      <c r="D30" s="712"/>
      <c r="E30" s="712"/>
      <c r="F30" s="712"/>
      <c r="G30" s="712"/>
      <c r="H30" s="712"/>
      <c r="I30" s="712"/>
      <c r="J30" s="712"/>
      <c r="K30" s="712"/>
      <c r="L30" s="712"/>
      <c r="M30" s="712"/>
      <c r="N30" s="712"/>
      <c r="O30" s="712"/>
      <c r="P30" s="712"/>
      <c r="Q30" s="712"/>
      <c r="R30" s="712"/>
      <c r="S30" s="712"/>
      <c r="T30" s="712"/>
      <c r="U30" s="712"/>
      <c r="V30" s="712"/>
      <c r="W30" s="712"/>
      <c r="X30" s="748"/>
    </row>
    <row r="31" ht="21" customHeight="1" spans="1:24">
      <c r="A31" s="45"/>
      <c r="B31" s="46"/>
      <c r="C31" s="46"/>
      <c r="D31" s="46"/>
      <c r="E31" s="46"/>
      <c r="F31" s="46"/>
      <c r="G31" s="46"/>
      <c r="H31" s="46"/>
      <c r="I31" s="46"/>
      <c r="J31" s="46"/>
      <c r="K31" s="46"/>
      <c r="L31" s="46"/>
      <c r="M31" s="46"/>
      <c r="N31" s="46"/>
      <c r="O31" s="46"/>
      <c r="P31" s="46"/>
      <c r="Q31" s="46"/>
      <c r="R31" s="46"/>
      <c r="S31" s="46"/>
      <c r="T31" s="46"/>
      <c r="U31" s="46"/>
      <c r="V31" s="46"/>
      <c r="W31" s="46"/>
      <c r="X31" s="252"/>
    </row>
    <row r="32" ht="44" customHeight="1" spans="1:24">
      <c r="A32" s="14"/>
      <c r="B32" s="15" t="str">
        <f>_xlfn.DISPIMG("ID_B4D507A19B6D46B0962F97FB2158F028",1)</f>
        <v>=DISPIMG("ID_B4D507A19B6D46B0962F97FB2158F028",1)</v>
      </c>
      <c r="C32" s="15" t="str">
        <f>_xlfn.DISPIMG("ID_78E6F55C1C524CD1BB46C3721099A3F8",1)</f>
        <v>=DISPIMG("ID_78E6F55C1C524CD1BB46C3721099A3F8",1)</v>
      </c>
      <c r="D32" s="713" t="str">
        <f>_xlfn.DISPIMG("ID_B6B4B5BF6EBA4A67B2864B439E047A86",1)</f>
        <v>=DISPIMG("ID_B6B4B5BF6EBA4A67B2864B439E047A86",1)</v>
      </c>
      <c r="E32" s="15"/>
      <c r="F32" s="16"/>
      <c r="G32" s="334" t="s">
        <v>688</v>
      </c>
      <c r="H32" s="335"/>
      <c r="I32" s="335"/>
      <c r="J32" s="335"/>
      <c r="K32" s="335"/>
      <c r="L32" s="335"/>
      <c r="M32" s="335"/>
      <c r="N32" s="335"/>
      <c r="O32" s="374"/>
      <c r="P32" s="720"/>
      <c r="Q32" s="742"/>
      <c r="R32" s="742"/>
      <c r="S32" s="742"/>
      <c r="T32" s="742"/>
      <c r="U32" s="742"/>
      <c r="V32" s="742"/>
      <c r="W32" s="742"/>
      <c r="X32" s="743"/>
    </row>
    <row r="33" ht="21" customHeight="1" spans="1:24">
      <c r="A33" s="714"/>
      <c r="B33" s="715"/>
      <c r="C33" s="715"/>
      <c r="D33" s="715"/>
      <c r="E33" s="715"/>
      <c r="F33" s="715"/>
      <c r="G33" s="715"/>
      <c r="H33" s="715"/>
      <c r="I33" s="715"/>
      <c r="J33" s="715"/>
      <c r="K33" s="715"/>
      <c r="L33" s="715"/>
      <c r="M33" s="715"/>
      <c r="N33" s="715"/>
      <c r="O33" s="715"/>
      <c r="P33" s="715"/>
      <c r="Q33" s="715"/>
      <c r="R33" s="715"/>
      <c r="S33" s="715"/>
      <c r="T33" s="715"/>
      <c r="U33" s="715"/>
      <c r="V33" s="715"/>
      <c r="W33" s="715"/>
      <c r="X33" s="749"/>
    </row>
    <row r="34" ht="21" customHeight="1" spans="1:24">
      <c r="A34" s="21" t="s">
        <v>8</v>
      </c>
      <c r="B34" s="22"/>
      <c r="C34" s="23">
        <v>0</v>
      </c>
      <c r="D34" s="24">
        <v>1</v>
      </c>
      <c r="E34" s="24">
        <v>2</v>
      </c>
      <c r="F34" s="24">
        <v>3</v>
      </c>
      <c r="G34" s="24">
        <v>4</v>
      </c>
      <c r="H34" s="24">
        <v>5</v>
      </c>
      <c r="I34" s="24">
        <v>6</v>
      </c>
      <c r="J34" s="24">
        <v>7</v>
      </c>
      <c r="K34" s="135">
        <v>8</v>
      </c>
      <c r="L34" s="136">
        <v>9</v>
      </c>
      <c r="M34" s="137"/>
      <c r="N34" s="138"/>
      <c r="O34" s="139">
        <v>10</v>
      </c>
      <c r="P34" s="140">
        <v>11</v>
      </c>
      <c r="Q34" s="236">
        <v>12</v>
      </c>
      <c r="R34" s="236"/>
      <c r="S34" s="236"/>
      <c r="T34" s="139">
        <v>13</v>
      </c>
      <c r="U34" s="237">
        <v>14</v>
      </c>
      <c r="V34" s="140">
        <v>15</v>
      </c>
      <c r="W34" s="137">
        <v>16</v>
      </c>
      <c r="X34" s="138"/>
    </row>
    <row r="35" ht="21" customHeight="1" spans="1:24">
      <c r="A35" s="25" t="s">
        <v>689</v>
      </c>
      <c r="B35" s="26"/>
      <c r="C35" s="27">
        <v>20</v>
      </c>
      <c r="D35" s="28">
        <v>24</v>
      </c>
      <c r="E35" s="28">
        <v>28</v>
      </c>
      <c r="F35" s="28">
        <v>32</v>
      </c>
      <c r="G35" s="28">
        <v>36</v>
      </c>
      <c r="H35" s="28">
        <v>40</v>
      </c>
      <c r="I35" s="28">
        <v>44</v>
      </c>
      <c r="J35" s="28">
        <v>52</v>
      </c>
      <c r="K35" s="141">
        <v>64</v>
      </c>
      <c r="L35" s="142"/>
      <c r="M35" s="143">
        <v>80</v>
      </c>
      <c r="N35" s="144"/>
      <c r="O35" s="145">
        <v>110</v>
      </c>
      <c r="P35" s="146">
        <v>140</v>
      </c>
      <c r="Q35" s="144"/>
      <c r="R35" s="238">
        <v>170</v>
      </c>
      <c r="S35" s="144"/>
      <c r="T35" s="145">
        <v>200</v>
      </c>
      <c r="U35" s="239">
        <v>230</v>
      </c>
      <c r="V35" s="146">
        <v>260</v>
      </c>
      <c r="W35" s="240"/>
      <c r="X35" s="241">
        <v>290</v>
      </c>
    </row>
    <row r="36" ht="21" customHeight="1" spans="1:24">
      <c r="A36" s="73" t="s">
        <v>690</v>
      </c>
      <c r="B36" s="74"/>
      <c r="C36" s="321">
        <v>20</v>
      </c>
      <c r="D36" s="322">
        <v>24</v>
      </c>
      <c r="E36" s="322">
        <v>28</v>
      </c>
      <c r="F36" s="322">
        <v>32</v>
      </c>
      <c r="G36" s="322">
        <v>36</v>
      </c>
      <c r="H36" s="322">
        <v>40</v>
      </c>
      <c r="I36" s="322">
        <v>44</v>
      </c>
      <c r="J36" s="322">
        <v>52</v>
      </c>
      <c r="K36" s="361">
        <v>64</v>
      </c>
      <c r="L36" s="196"/>
      <c r="M36" s="197">
        <v>82</v>
      </c>
      <c r="N36" s="198"/>
      <c r="O36" s="161">
        <v>115</v>
      </c>
      <c r="P36" s="162">
        <v>145</v>
      </c>
      <c r="Q36" s="198"/>
      <c r="R36" s="247">
        <v>180</v>
      </c>
      <c r="S36" s="198"/>
      <c r="T36" s="161">
        <v>220</v>
      </c>
      <c r="U36" s="248">
        <v>250</v>
      </c>
      <c r="V36" s="162">
        <v>280</v>
      </c>
      <c r="W36" s="271"/>
      <c r="X36" s="250">
        <v>290</v>
      </c>
    </row>
    <row r="37" ht="21" customHeight="1" spans="1:24">
      <c r="A37" s="25" t="s">
        <v>691</v>
      </c>
      <c r="B37" s="26"/>
      <c r="C37" s="113">
        <v>22</v>
      </c>
      <c r="D37" s="307">
        <v>26</v>
      </c>
      <c r="E37" s="307">
        <v>30</v>
      </c>
      <c r="F37" s="307">
        <v>34</v>
      </c>
      <c r="G37" s="307">
        <v>38</v>
      </c>
      <c r="H37" s="307">
        <v>42</v>
      </c>
      <c r="I37" s="307">
        <v>46</v>
      </c>
      <c r="J37" s="307">
        <v>54</v>
      </c>
      <c r="K37" s="312">
        <v>66</v>
      </c>
      <c r="L37" s="154"/>
      <c r="M37" s="155">
        <v>82</v>
      </c>
      <c r="N37" s="156"/>
      <c r="O37" s="145">
        <v>115</v>
      </c>
      <c r="P37" s="146">
        <v>145</v>
      </c>
      <c r="Q37" s="156"/>
      <c r="R37" s="238">
        <v>180</v>
      </c>
      <c r="S37" s="156"/>
      <c r="T37" s="145">
        <v>220</v>
      </c>
      <c r="U37" s="239">
        <v>250</v>
      </c>
      <c r="V37" s="146">
        <v>280</v>
      </c>
      <c r="W37" s="246"/>
      <c r="X37" s="241">
        <v>290</v>
      </c>
    </row>
    <row r="38" ht="21" customHeight="1" spans="1:24">
      <c r="A38" s="83" t="s">
        <v>269</v>
      </c>
      <c r="B38" s="84"/>
      <c r="C38" s="84"/>
      <c r="D38" s="84"/>
      <c r="E38" s="84"/>
      <c r="F38" s="84"/>
      <c r="G38" s="84"/>
      <c r="H38" s="84"/>
      <c r="I38" s="84"/>
      <c r="J38" s="84"/>
      <c r="K38" s="84"/>
      <c r="L38" s="84"/>
      <c r="M38" s="84"/>
      <c r="N38" s="84"/>
      <c r="O38" s="84"/>
      <c r="P38" s="84"/>
      <c r="Q38" s="84"/>
      <c r="R38" s="84"/>
      <c r="S38" s="84"/>
      <c r="T38" s="84"/>
      <c r="U38" s="84"/>
      <c r="V38" s="84"/>
      <c r="W38" s="84"/>
      <c r="X38" s="270"/>
    </row>
    <row r="39" ht="21" customHeight="1" spans="1:24">
      <c r="A39" s="306" t="s">
        <v>692</v>
      </c>
      <c r="B39" s="26"/>
      <c r="C39" s="27">
        <f t="shared" ref="C39:K39" si="27">INT(C35*1.5)</f>
        <v>30</v>
      </c>
      <c r="D39" s="28">
        <f t="shared" si="27"/>
        <v>36</v>
      </c>
      <c r="E39" s="28">
        <f t="shared" si="27"/>
        <v>42</v>
      </c>
      <c r="F39" s="28">
        <f t="shared" si="27"/>
        <v>48</v>
      </c>
      <c r="G39" s="28">
        <f t="shared" si="27"/>
        <v>54</v>
      </c>
      <c r="H39" s="28">
        <f t="shared" si="27"/>
        <v>60</v>
      </c>
      <c r="I39" s="28">
        <f t="shared" si="27"/>
        <v>66</v>
      </c>
      <c r="J39" s="28">
        <f t="shared" si="27"/>
        <v>78</v>
      </c>
      <c r="K39" s="141">
        <f t="shared" si="27"/>
        <v>96</v>
      </c>
      <c r="L39" s="142"/>
      <c r="M39" s="143">
        <f t="shared" ref="M39:P39" si="28">INT(M35*1.5)</f>
        <v>120</v>
      </c>
      <c r="N39" s="144"/>
      <c r="O39" s="145">
        <f t="shared" si="28"/>
        <v>165</v>
      </c>
      <c r="P39" s="146">
        <f t="shared" si="28"/>
        <v>210</v>
      </c>
      <c r="Q39" s="144"/>
      <c r="R39" s="238">
        <f t="shared" ref="R39:V39" si="29">INT(R35*1.5)</f>
        <v>255</v>
      </c>
      <c r="S39" s="144"/>
      <c r="T39" s="145">
        <f t="shared" si="29"/>
        <v>300</v>
      </c>
      <c r="U39" s="239">
        <f t="shared" si="29"/>
        <v>345</v>
      </c>
      <c r="V39" s="146">
        <f t="shared" si="29"/>
        <v>390</v>
      </c>
      <c r="W39" s="240"/>
      <c r="X39" s="241">
        <f>INT(X35*1.5)</f>
        <v>435</v>
      </c>
    </row>
    <row r="40" ht="21" customHeight="1" spans="1:24">
      <c r="A40" s="481" t="s">
        <v>693</v>
      </c>
      <c r="B40" s="482"/>
      <c r="C40" s="39">
        <f t="shared" ref="C40:K40" si="30">INT(C37*2)</f>
        <v>44</v>
      </c>
      <c r="D40" s="40">
        <f t="shared" si="30"/>
        <v>52</v>
      </c>
      <c r="E40" s="40">
        <f t="shared" si="30"/>
        <v>60</v>
      </c>
      <c r="F40" s="40">
        <f t="shared" si="30"/>
        <v>68</v>
      </c>
      <c r="G40" s="40">
        <f t="shared" si="30"/>
        <v>76</v>
      </c>
      <c r="H40" s="40">
        <f t="shared" si="30"/>
        <v>84</v>
      </c>
      <c r="I40" s="40">
        <f t="shared" si="30"/>
        <v>92</v>
      </c>
      <c r="J40" s="40">
        <f t="shared" si="30"/>
        <v>108</v>
      </c>
      <c r="K40" s="157">
        <f t="shared" si="30"/>
        <v>132</v>
      </c>
      <c r="L40" s="158"/>
      <c r="M40" s="159">
        <f t="shared" ref="M40:P40" si="31">INT(M37*2)</f>
        <v>164</v>
      </c>
      <c r="N40" s="160"/>
      <c r="O40" s="161">
        <f t="shared" si="31"/>
        <v>230</v>
      </c>
      <c r="P40" s="162">
        <f t="shared" si="31"/>
        <v>290</v>
      </c>
      <c r="Q40" s="160"/>
      <c r="R40" s="247">
        <f t="shared" ref="R40:V40" si="32">INT(R37*2)</f>
        <v>360</v>
      </c>
      <c r="S40" s="160"/>
      <c r="T40" s="161">
        <f t="shared" si="32"/>
        <v>440</v>
      </c>
      <c r="U40" s="248">
        <f t="shared" si="32"/>
        <v>500</v>
      </c>
      <c r="V40" s="162">
        <f t="shared" si="32"/>
        <v>560</v>
      </c>
      <c r="W40" s="249"/>
      <c r="X40" s="250">
        <f>INT(X37*2)</f>
        <v>580</v>
      </c>
    </row>
    <row r="41" ht="21" customHeight="1" spans="1:24">
      <c r="A41" s="59" t="s">
        <v>18</v>
      </c>
      <c r="B41" s="60"/>
      <c r="C41" s="61">
        <v>0</v>
      </c>
      <c r="D41" s="62">
        <v>1</v>
      </c>
      <c r="E41" s="62">
        <v>2</v>
      </c>
      <c r="F41" s="63">
        <v>3</v>
      </c>
      <c r="G41" s="62">
        <v>4</v>
      </c>
      <c r="H41" s="64">
        <v>5</v>
      </c>
      <c r="I41" s="62">
        <v>6</v>
      </c>
      <c r="J41" s="174">
        <v>7</v>
      </c>
      <c r="K41" s="175">
        <v>8</v>
      </c>
      <c r="L41" s="86" t="s">
        <v>694</v>
      </c>
      <c r="M41" s="205"/>
      <c r="N41" s="205"/>
      <c r="O41" s="205"/>
      <c r="P41" s="205"/>
      <c r="Q41" s="205"/>
      <c r="R41" s="205"/>
      <c r="S41" s="205"/>
      <c r="T41" s="205"/>
      <c r="U41" s="205"/>
      <c r="V41" s="205"/>
      <c r="W41" s="205"/>
      <c r="X41" s="276"/>
    </row>
    <row r="42" ht="21" customHeight="1" spans="1:24">
      <c r="A42" s="25" t="s">
        <v>689</v>
      </c>
      <c r="B42" s="26"/>
      <c r="C42" s="89">
        <v>1</v>
      </c>
      <c r="D42" s="90">
        <v>0.95</v>
      </c>
      <c r="E42" s="90">
        <v>0.9</v>
      </c>
      <c r="F42" s="91">
        <v>0.85</v>
      </c>
      <c r="G42" s="90">
        <v>0.8</v>
      </c>
      <c r="H42" s="92">
        <v>0.75</v>
      </c>
      <c r="I42" s="90">
        <v>0.7</v>
      </c>
      <c r="J42" s="206">
        <v>0.65</v>
      </c>
      <c r="K42" s="207">
        <v>0.6</v>
      </c>
      <c r="L42" s="86" t="s">
        <v>695</v>
      </c>
      <c r="M42" s="205"/>
      <c r="N42" s="205"/>
      <c r="O42" s="205"/>
      <c r="P42" s="205"/>
      <c r="Q42" s="205"/>
      <c r="R42" s="205"/>
      <c r="S42" s="205"/>
      <c r="T42" s="205"/>
      <c r="U42" s="205"/>
      <c r="V42" s="205"/>
      <c r="W42" s="205"/>
      <c r="X42" s="276"/>
    </row>
    <row r="43" ht="21" customHeight="1" spans="1:24">
      <c r="A43" s="65" t="s">
        <v>690</v>
      </c>
      <c r="B43" s="692"/>
      <c r="C43" s="66">
        <v>1.2</v>
      </c>
      <c r="D43" s="67">
        <v>1.15</v>
      </c>
      <c r="E43" s="67">
        <v>1.1</v>
      </c>
      <c r="F43" s="93">
        <v>1.05</v>
      </c>
      <c r="G43" s="67">
        <v>1</v>
      </c>
      <c r="H43" s="69">
        <v>0.9</v>
      </c>
      <c r="I43" s="67">
        <v>0.85</v>
      </c>
      <c r="J43" s="178">
        <v>0.8</v>
      </c>
      <c r="K43" s="179">
        <v>0.7</v>
      </c>
      <c r="L43" s="86" t="s">
        <v>696</v>
      </c>
      <c r="M43" s="205"/>
      <c r="N43" s="205"/>
      <c r="O43" s="205"/>
      <c r="P43" s="205"/>
      <c r="Q43" s="205"/>
      <c r="R43" s="205"/>
      <c r="S43" s="205"/>
      <c r="T43" s="205"/>
      <c r="U43" s="205"/>
      <c r="V43" s="205"/>
      <c r="W43" s="205"/>
      <c r="X43" s="276"/>
    </row>
    <row r="44" ht="21" customHeight="1" spans="1:24">
      <c r="A44" s="25" t="s">
        <v>691</v>
      </c>
      <c r="B44" s="26"/>
      <c r="C44" s="89">
        <v>1.2</v>
      </c>
      <c r="D44" s="90">
        <v>1.15</v>
      </c>
      <c r="E44" s="90">
        <v>1.1</v>
      </c>
      <c r="F44" s="91">
        <v>1.05</v>
      </c>
      <c r="G44" s="90">
        <v>1</v>
      </c>
      <c r="H44" s="92">
        <v>0.95</v>
      </c>
      <c r="I44" s="90">
        <v>0.9</v>
      </c>
      <c r="J44" s="206">
        <v>0.85</v>
      </c>
      <c r="K44" s="207">
        <v>0.7</v>
      </c>
      <c r="L44" s="78" t="s">
        <v>697</v>
      </c>
      <c r="M44" s="686"/>
      <c r="N44" s="686"/>
      <c r="O44" s="686"/>
      <c r="P44" s="686"/>
      <c r="Q44" s="686"/>
      <c r="R44" s="686"/>
      <c r="S44" s="686"/>
      <c r="T44" s="686"/>
      <c r="U44" s="686"/>
      <c r="V44" s="686"/>
      <c r="W44" s="686"/>
      <c r="X44" s="689"/>
    </row>
    <row r="45" ht="21" customHeight="1" spans="1:24">
      <c r="A45" s="45"/>
      <c r="B45" s="46"/>
      <c r="C45" s="46"/>
      <c r="D45" s="46"/>
      <c r="E45" s="46"/>
      <c r="F45" s="46"/>
      <c r="G45" s="46"/>
      <c r="H45" s="46"/>
      <c r="I45" s="46"/>
      <c r="J45" s="46"/>
      <c r="K45" s="46"/>
      <c r="L45" s="46"/>
      <c r="M45" s="46"/>
      <c r="N45" s="46"/>
      <c r="O45" s="46"/>
      <c r="P45" s="46"/>
      <c r="Q45" s="46"/>
      <c r="R45" s="46"/>
      <c r="S45" s="46"/>
      <c r="T45" s="46"/>
      <c r="U45" s="46"/>
      <c r="V45" s="46"/>
      <c r="W45" s="46"/>
      <c r="X45" s="252"/>
    </row>
    <row r="46" ht="44" customHeight="1" spans="1:24">
      <c r="A46" s="14"/>
      <c r="B46" s="15"/>
      <c r="C46" s="15" t="str">
        <f>_xlfn.DISPIMG("ID_1D1540B7DC83418298D294B3CB11DB7E",1)</f>
        <v>=DISPIMG("ID_1D1540B7DC83418298D294B3CB11DB7E",1)</v>
      </c>
      <c r="D46" s="15" t="str">
        <f>_xlfn.DISPIMG("ID_A76F4598417C44F5B304C481664F507F",1)</f>
        <v>=DISPIMG("ID_A76F4598417C44F5B304C481664F507F",1)</v>
      </c>
      <c r="E46" s="354"/>
      <c r="F46" s="355"/>
      <c r="G46" s="107" t="s">
        <v>698</v>
      </c>
      <c r="H46" s="108"/>
      <c r="I46" s="108"/>
      <c r="J46" s="108"/>
      <c r="K46" s="108"/>
      <c r="L46" s="108"/>
      <c r="M46" s="108"/>
      <c r="N46" s="108"/>
      <c r="O46" s="210"/>
      <c r="P46" s="735"/>
      <c r="Q46" s="750"/>
      <c r="R46" s="750"/>
      <c r="S46" s="750"/>
      <c r="T46" s="750"/>
      <c r="U46" s="750"/>
      <c r="V46" s="750"/>
      <c r="W46" s="750"/>
      <c r="X46" s="751"/>
    </row>
    <row r="47" ht="21" customHeight="1" spans="1:24">
      <c r="A47" s="714"/>
      <c r="B47" s="715"/>
      <c r="C47" s="715"/>
      <c r="D47" s="715"/>
      <c r="E47" s="715"/>
      <c r="F47" s="715"/>
      <c r="G47" s="715"/>
      <c r="H47" s="715"/>
      <c r="I47" s="715"/>
      <c r="J47" s="715"/>
      <c r="K47" s="715"/>
      <c r="L47" s="715"/>
      <c r="M47" s="715"/>
      <c r="N47" s="715"/>
      <c r="O47" s="715"/>
      <c r="P47" s="715"/>
      <c r="Q47" s="715"/>
      <c r="R47" s="715"/>
      <c r="S47" s="715"/>
      <c r="T47" s="715"/>
      <c r="U47" s="715"/>
      <c r="V47" s="715"/>
      <c r="W47" s="715"/>
      <c r="X47" s="749"/>
    </row>
    <row r="48" ht="21" customHeight="1" spans="1:24">
      <c r="A48" s="21" t="s">
        <v>8</v>
      </c>
      <c r="B48" s="22"/>
      <c r="C48" s="23">
        <v>0</v>
      </c>
      <c r="D48" s="24">
        <v>1</v>
      </c>
      <c r="E48" s="24">
        <v>2</v>
      </c>
      <c r="F48" s="24">
        <v>3</v>
      </c>
      <c r="G48" s="24">
        <v>4</v>
      </c>
      <c r="H48" s="24">
        <v>5</v>
      </c>
      <c r="I48" s="24">
        <v>6</v>
      </c>
      <c r="J48" s="24">
        <v>7</v>
      </c>
      <c r="K48" s="135">
        <v>8</v>
      </c>
      <c r="L48" s="136">
        <v>9</v>
      </c>
      <c r="M48" s="137"/>
      <c r="N48" s="736"/>
      <c r="O48" s="139">
        <v>10</v>
      </c>
      <c r="P48" s="140">
        <v>11</v>
      </c>
      <c r="Q48" s="752"/>
      <c r="R48" s="236">
        <v>12</v>
      </c>
      <c r="S48" s="753"/>
      <c r="T48" s="139">
        <v>13</v>
      </c>
      <c r="U48" s="237">
        <v>14</v>
      </c>
      <c r="V48" s="140">
        <v>15</v>
      </c>
      <c r="W48" s="754"/>
      <c r="X48" s="755">
        <v>16</v>
      </c>
    </row>
    <row r="49" ht="21" customHeight="1" spans="1:24">
      <c r="A49" s="25" t="s">
        <v>699</v>
      </c>
      <c r="B49" s="26"/>
      <c r="C49" s="27">
        <v>10</v>
      </c>
      <c r="D49" s="28">
        <v>12</v>
      </c>
      <c r="E49" s="28">
        <v>14</v>
      </c>
      <c r="F49" s="28">
        <v>16</v>
      </c>
      <c r="G49" s="28">
        <v>18</v>
      </c>
      <c r="H49" s="28">
        <v>20</v>
      </c>
      <c r="I49" s="28">
        <v>22</v>
      </c>
      <c r="J49" s="28">
        <v>26</v>
      </c>
      <c r="K49" s="141">
        <v>32</v>
      </c>
      <c r="L49" s="142"/>
      <c r="M49" s="143">
        <v>40</v>
      </c>
      <c r="N49" s="144"/>
      <c r="O49" s="145">
        <v>55</v>
      </c>
      <c r="P49" s="146">
        <v>70</v>
      </c>
      <c r="Q49" s="144"/>
      <c r="R49" s="238">
        <v>85</v>
      </c>
      <c r="S49" s="144"/>
      <c r="T49" s="145">
        <v>100</v>
      </c>
      <c r="U49" s="239">
        <v>115</v>
      </c>
      <c r="V49" s="146">
        <v>130</v>
      </c>
      <c r="W49" s="240"/>
      <c r="X49" s="241">
        <v>145</v>
      </c>
    </row>
    <row r="50" ht="21" customHeight="1" spans="1:24">
      <c r="A50" s="73" t="s">
        <v>700</v>
      </c>
      <c r="B50" s="74"/>
      <c r="C50" s="321">
        <v>20</v>
      </c>
      <c r="D50" s="322">
        <v>24</v>
      </c>
      <c r="E50" s="322">
        <v>28</v>
      </c>
      <c r="F50" s="322">
        <v>32</v>
      </c>
      <c r="G50" s="322">
        <v>38</v>
      </c>
      <c r="H50" s="322">
        <v>44</v>
      </c>
      <c r="I50" s="322">
        <v>50</v>
      </c>
      <c r="J50" s="322">
        <v>58</v>
      </c>
      <c r="K50" s="361">
        <v>68</v>
      </c>
      <c r="L50" s="196"/>
      <c r="M50" s="197">
        <v>80</v>
      </c>
      <c r="N50" s="198"/>
      <c r="O50" s="161">
        <v>100</v>
      </c>
      <c r="P50" s="162">
        <v>120</v>
      </c>
      <c r="Q50" s="198"/>
      <c r="R50" s="247">
        <v>140</v>
      </c>
      <c r="S50" s="198"/>
      <c r="T50" s="161">
        <v>160</v>
      </c>
      <c r="U50" s="248">
        <v>180</v>
      </c>
      <c r="V50" s="162">
        <v>200</v>
      </c>
      <c r="W50" s="271"/>
      <c r="X50" s="250">
        <v>220</v>
      </c>
    </row>
    <row r="51" ht="21" customHeight="1" spans="1:24">
      <c r="A51" s="59" t="s">
        <v>18</v>
      </c>
      <c r="B51" s="60"/>
      <c r="C51" s="61">
        <v>0</v>
      </c>
      <c r="D51" s="62">
        <v>1</v>
      </c>
      <c r="E51" s="62">
        <v>2</v>
      </c>
      <c r="F51" s="63">
        <v>3</v>
      </c>
      <c r="G51" s="62">
        <v>4</v>
      </c>
      <c r="H51" s="64">
        <v>5</v>
      </c>
      <c r="I51" s="62">
        <v>6</v>
      </c>
      <c r="J51" s="174">
        <v>7</v>
      </c>
      <c r="K51" s="175">
        <v>8</v>
      </c>
      <c r="L51" s="86"/>
      <c r="M51" s="686" t="s">
        <v>701</v>
      </c>
      <c r="N51" s="686"/>
      <c r="O51" s="686"/>
      <c r="P51" s="686"/>
      <c r="Q51" s="686"/>
      <c r="R51" s="686"/>
      <c r="S51" s="686"/>
      <c r="T51" s="686"/>
      <c r="U51" s="686"/>
      <c r="V51" s="686"/>
      <c r="W51" s="686"/>
      <c r="X51" s="689"/>
    </row>
    <row r="52" ht="21" customHeight="1" spans="1:24">
      <c r="A52" s="65" t="s">
        <v>699</v>
      </c>
      <c r="B52" s="692"/>
      <c r="C52" s="66">
        <v>1.3</v>
      </c>
      <c r="D52" s="67">
        <v>1.25</v>
      </c>
      <c r="E52" s="67">
        <v>1.2</v>
      </c>
      <c r="F52" s="93">
        <v>1.15</v>
      </c>
      <c r="G52" s="67">
        <v>1.1</v>
      </c>
      <c r="H52" s="69">
        <v>1.05</v>
      </c>
      <c r="I52" s="67">
        <v>1</v>
      </c>
      <c r="J52" s="178">
        <v>0.95</v>
      </c>
      <c r="K52" s="179">
        <v>0.9</v>
      </c>
      <c r="L52" s="86"/>
      <c r="M52" s="686" t="s">
        <v>702</v>
      </c>
      <c r="N52" s="686"/>
      <c r="O52" s="686"/>
      <c r="P52" s="686"/>
      <c r="Q52" s="686"/>
      <c r="R52" s="686"/>
      <c r="S52" s="686"/>
      <c r="T52" s="686"/>
      <c r="U52" s="686"/>
      <c r="V52" s="686"/>
      <c r="W52" s="686"/>
      <c r="X52" s="689"/>
    </row>
    <row r="53" ht="21" customHeight="1" spans="1:24">
      <c r="A53" s="25" t="s">
        <v>700</v>
      </c>
      <c r="B53" s="26"/>
      <c r="C53" s="89">
        <v>1.3</v>
      </c>
      <c r="D53" s="90">
        <v>1.25</v>
      </c>
      <c r="E53" s="90">
        <v>1.2</v>
      </c>
      <c r="F53" s="91">
        <v>1.15</v>
      </c>
      <c r="G53" s="90">
        <v>1.1</v>
      </c>
      <c r="H53" s="92">
        <v>1.05</v>
      </c>
      <c r="I53" s="90">
        <v>1</v>
      </c>
      <c r="J53" s="206">
        <v>0.95</v>
      </c>
      <c r="K53" s="207">
        <v>0.9</v>
      </c>
      <c r="L53" s="34" t="s">
        <v>703</v>
      </c>
      <c r="M53" s="737"/>
      <c r="N53" s="737"/>
      <c r="O53" s="737"/>
      <c r="P53" s="737"/>
      <c r="Q53" s="737"/>
      <c r="R53" s="737"/>
      <c r="S53" s="737"/>
      <c r="T53" s="737"/>
      <c r="U53" s="737"/>
      <c r="V53" s="737"/>
      <c r="W53" s="737"/>
      <c r="X53" s="756"/>
    </row>
    <row r="54" ht="21" customHeight="1" spans="1:24">
      <c r="A54" s="45"/>
      <c r="B54" s="46"/>
      <c r="C54" s="46"/>
      <c r="D54" s="46"/>
      <c r="E54" s="46"/>
      <c r="F54" s="46"/>
      <c r="G54" s="46"/>
      <c r="H54" s="46"/>
      <c r="I54" s="46"/>
      <c r="J54" s="46"/>
      <c r="K54" s="46"/>
      <c r="L54" s="46"/>
      <c r="M54" s="46"/>
      <c r="N54" s="46"/>
      <c r="O54" s="46"/>
      <c r="P54" s="46"/>
      <c r="Q54" s="46"/>
      <c r="R54" s="46"/>
      <c r="S54" s="46"/>
      <c r="T54" s="46"/>
      <c r="U54" s="46"/>
      <c r="V54" s="46"/>
      <c r="W54" s="46"/>
      <c r="X54" s="252"/>
    </row>
    <row r="55" ht="44" customHeight="1" spans="1:24">
      <c r="A55" s="14"/>
      <c r="B55" s="15"/>
      <c r="C55" s="15" t="str">
        <f>_xlfn.DISPIMG("ID_4DE5427E01E54C768FDFC455216B8A08",1)</f>
        <v>=DISPIMG("ID_4DE5427E01E54C768FDFC455216B8A08",1)</v>
      </c>
      <c r="D55" s="15" t="str">
        <f>_xlfn.DISPIMG("ID_4CCA70C6E9AE40AD9FB27BE7B773B373",1)</f>
        <v>=DISPIMG("ID_4CCA70C6E9AE40AD9FB27BE7B773B373",1)</v>
      </c>
      <c r="E55" s="15"/>
      <c r="F55" s="16"/>
      <c r="G55" s="17" t="s">
        <v>704</v>
      </c>
      <c r="H55" s="18"/>
      <c r="I55" s="18"/>
      <c r="J55" s="18"/>
      <c r="K55" s="18"/>
      <c r="L55" s="18"/>
      <c r="M55" s="18"/>
      <c r="N55" s="18"/>
      <c r="O55" s="133"/>
      <c r="P55" s="735"/>
      <c r="Q55" s="750"/>
      <c r="R55" s="750"/>
      <c r="S55" s="750"/>
      <c r="T55" s="750"/>
      <c r="U55" s="750"/>
      <c r="V55" s="750"/>
      <c r="W55" s="750"/>
      <c r="X55" s="751"/>
    </row>
    <row r="56" ht="21" customHeight="1" spans="1:24">
      <c r="A56" s="714"/>
      <c r="B56" s="715"/>
      <c r="C56" s="715"/>
      <c r="D56" s="715"/>
      <c r="E56" s="715"/>
      <c r="F56" s="715"/>
      <c r="G56" s="715"/>
      <c r="H56" s="715"/>
      <c r="I56" s="715"/>
      <c r="J56" s="715"/>
      <c r="K56" s="715"/>
      <c r="L56" s="715"/>
      <c r="M56" s="715"/>
      <c r="N56" s="715"/>
      <c r="O56" s="715"/>
      <c r="P56" s="715"/>
      <c r="Q56" s="715"/>
      <c r="R56" s="715"/>
      <c r="S56" s="715"/>
      <c r="T56" s="715"/>
      <c r="U56" s="715"/>
      <c r="V56" s="715"/>
      <c r="W56" s="715"/>
      <c r="X56" s="749"/>
    </row>
    <row r="57" ht="21" customHeight="1" spans="1:24">
      <c r="A57" s="21" t="s">
        <v>705</v>
      </c>
      <c r="B57" s="22"/>
      <c r="C57" s="23">
        <v>0</v>
      </c>
      <c r="D57" s="24">
        <v>1</v>
      </c>
      <c r="E57" s="24">
        <v>2</v>
      </c>
      <c r="F57" s="24">
        <v>3</v>
      </c>
      <c r="G57" s="24">
        <v>4</v>
      </c>
      <c r="H57" s="24">
        <v>5</v>
      </c>
      <c r="I57" s="24">
        <v>6</v>
      </c>
      <c r="J57" s="24">
        <v>7</v>
      </c>
      <c r="K57" s="135">
        <v>8</v>
      </c>
      <c r="L57" s="136">
        <v>9</v>
      </c>
      <c r="M57" s="137"/>
      <c r="N57" s="138"/>
      <c r="O57" s="139">
        <v>10</v>
      </c>
      <c r="P57" s="140">
        <v>11</v>
      </c>
      <c r="Q57" s="236">
        <v>12</v>
      </c>
      <c r="R57" s="236"/>
      <c r="S57" s="236"/>
      <c r="T57" s="139">
        <v>13</v>
      </c>
      <c r="U57" s="237">
        <v>14</v>
      </c>
      <c r="V57" s="140">
        <v>15</v>
      </c>
      <c r="W57" s="137">
        <v>16</v>
      </c>
      <c r="X57" s="138"/>
    </row>
    <row r="58" ht="21" customHeight="1" spans="1:24">
      <c r="A58" s="716" t="s">
        <v>706</v>
      </c>
      <c r="B58" s="279"/>
      <c r="C58" s="717">
        <v>40</v>
      </c>
      <c r="D58" s="718">
        <v>39</v>
      </c>
      <c r="E58" s="718">
        <v>38</v>
      </c>
      <c r="F58" s="718">
        <v>37</v>
      </c>
      <c r="G58" s="718">
        <v>35</v>
      </c>
      <c r="H58" s="718">
        <v>33</v>
      </c>
      <c r="I58" s="718">
        <v>31</v>
      </c>
      <c r="J58" s="718">
        <v>28</v>
      </c>
      <c r="K58" s="738">
        <v>25</v>
      </c>
      <c r="L58" s="200"/>
      <c r="M58" s="739">
        <v>22</v>
      </c>
      <c r="N58" s="202"/>
      <c r="O58" s="740">
        <v>18</v>
      </c>
      <c r="P58" s="741">
        <v>14</v>
      </c>
      <c r="Q58" s="202"/>
      <c r="R58" s="757">
        <v>10</v>
      </c>
      <c r="S58" s="202"/>
      <c r="T58" s="740">
        <v>6</v>
      </c>
      <c r="U58" s="758">
        <v>4</v>
      </c>
      <c r="V58" s="741">
        <v>2</v>
      </c>
      <c r="W58" s="274"/>
      <c r="X58" s="759">
        <v>1</v>
      </c>
    </row>
    <row r="59" ht="21" customHeight="1" spans="1:24">
      <c r="A59" s="73" t="s">
        <v>707</v>
      </c>
      <c r="B59" s="74"/>
      <c r="C59" s="75">
        <v>30</v>
      </c>
      <c r="D59" s="76">
        <v>29</v>
      </c>
      <c r="E59" s="76">
        <v>28</v>
      </c>
      <c r="F59" s="76">
        <v>27</v>
      </c>
      <c r="G59" s="76">
        <v>26</v>
      </c>
      <c r="H59" s="76">
        <v>25</v>
      </c>
      <c r="I59" s="76">
        <v>24</v>
      </c>
      <c r="J59" s="76">
        <v>23</v>
      </c>
      <c r="K59" s="182">
        <v>22</v>
      </c>
      <c r="L59" s="524"/>
      <c r="M59" s="197">
        <v>20</v>
      </c>
      <c r="N59" s="525"/>
      <c r="O59" s="161">
        <v>18</v>
      </c>
      <c r="P59" s="162">
        <v>14</v>
      </c>
      <c r="Q59" s="525"/>
      <c r="R59" s="247">
        <v>10</v>
      </c>
      <c r="S59" s="525"/>
      <c r="T59" s="161">
        <v>6</v>
      </c>
      <c r="U59" s="248">
        <v>4</v>
      </c>
      <c r="V59" s="760">
        <v>5</v>
      </c>
      <c r="W59" s="546"/>
      <c r="X59" s="250">
        <v>2</v>
      </c>
    </row>
    <row r="60" ht="21" customHeight="1" spans="1:24">
      <c r="A60" s="708" t="s">
        <v>454</v>
      </c>
      <c r="B60" s="709"/>
      <c r="C60" s="709"/>
      <c r="D60" s="709"/>
      <c r="E60" s="709"/>
      <c r="F60" s="709"/>
      <c r="G60" s="709"/>
      <c r="H60" s="709"/>
      <c r="I60" s="709"/>
      <c r="J60" s="709"/>
      <c r="K60" s="709"/>
      <c r="L60" s="709"/>
      <c r="M60" s="709"/>
      <c r="N60" s="709"/>
      <c r="O60" s="709"/>
      <c r="P60" s="709"/>
      <c r="Q60" s="709"/>
      <c r="R60" s="709"/>
      <c r="S60" s="709"/>
      <c r="T60" s="709"/>
      <c r="U60" s="709"/>
      <c r="V60" s="709"/>
      <c r="W60" s="709"/>
      <c r="X60" s="709"/>
    </row>
    <row r="61" ht="21" customHeight="1" spans="1:24">
      <c r="A61" s="719" t="s">
        <v>708</v>
      </c>
      <c r="B61" s="719"/>
      <c r="C61" s="719"/>
      <c r="D61" s="719"/>
      <c r="E61" s="719"/>
      <c r="F61" s="719"/>
      <c r="G61" s="719"/>
      <c r="H61" s="719"/>
      <c r="I61" s="719"/>
      <c r="J61" s="719"/>
      <c r="K61" s="719"/>
      <c r="L61" s="719"/>
      <c r="M61" s="719"/>
      <c r="N61" s="719"/>
      <c r="O61" s="719"/>
      <c r="P61" s="719"/>
      <c r="Q61" s="719"/>
      <c r="R61" s="719"/>
      <c r="S61" s="719"/>
      <c r="T61" s="719"/>
      <c r="U61" s="719"/>
      <c r="V61" s="719"/>
      <c r="W61" s="719"/>
      <c r="X61" s="719"/>
    </row>
    <row r="62" ht="21" customHeight="1" spans="1:24">
      <c r="A62" s="603" t="s">
        <v>709</v>
      </c>
      <c r="B62" s="603"/>
      <c r="C62" s="603"/>
      <c r="D62" s="603"/>
      <c r="E62" s="603"/>
      <c r="F62" s="603"/>
      <c r="G62" s="603"/>
      <c r="H62" s="603"/>
      <c r="I62" s="603"/>
      <c r="J62" s="603"/>
      <c r="K62" s="603"/>
      <c r="L62" s="603"/>
      <c r="M62" s="603"/>
      <c r="N62" s="603"/>
      <c r="O62" s="603"/>
      <c r="P62" s="603"/>
      <c r="Q62" s="603"/>
      <c r="R62" s="603"/>
      <c r="S62" s="603"/>
      <c r="T62" s="603"/>
      <c r="U62" s="603"/>
      <c r="V62" s="603"/>
      <c r="W62" s="603"/>
      <c r="X62" s="603"/>
    </row>
  </sheetData>
  <sheetProtection formatCells="0" insertHyperlinks="0" autoFilter="0"/>
  <mergeCells count="94">
    <mergeCell ref="A1:C1"/>
    <mergeCell ref="D1:T1"/>
    <mergeCell ref="U1:X1"/>
    <mergeCell ref="B2:D2"/>
    <mergeCell ref="F2:H2"/>
    <mergeCell ref="J2:V2"/>
    <mergeCell ref="W2:X2"/>
    <mergeCell ref="A3:X3"/>
    <mergeCell ref="A4:X4"/>
    <mergeCell ref="G5:O5"/>
    <mergeCell ref="P5:X5"/>
    <mergeCell ref="A6:X6"/>
    <mergeCell ref="A7:B7"/>
    <mergeCell ref="L7:N7"/>
    <mergeCell ref="Q7:S7"/>
    <mergeCell ref="W7:X7"/>
    <mergeCell ref="A8:B8"/>
    <mergeCell ref="A9:B9"/>
    <mergeCell ref="A10:B10"/>
    <mergeCell ref="A11:B11"/>
    <mergeCell ref="A12:B12"/>
    <mergeCell ref="A13:B13"/>
    <mergeCell ref="A14:B14"/>
    <mergeCell ref="A15:X15"/>
    <mergeCell ref="A16:B16"/>
    <mergeCell ref="A17:B17"/>
    <mergeCell ref="A18:B18"/>
    <mergeCell ref="A19:B19"/>
    <mergeCell ref="A20:B20"/>
    <mergeCell ref="A21:B21"/>
    <mergeCell ref="A22:B22"/>
    <mergeCell ref="A23:B23"/>
    <mergeCell ref="L23:X23"/>
    <mergeCell ref="A24:B24"/>
    <mergeCell ref="L24:X24"/>
    <mergeCell ref="A25:B25"/>
    <mergeCell ref="L25:X25"/>
    <mergeCell ref="A26:B26"/>
    <mergeCell ref="L26:X26"/>
    <mergeCell ref="A27:B27"/>
    <mergeCell ref="L27:X27"/>
    <mergeCell ref="A28:X28"/>
    <mergeCell ref="A29:X29"/>
    <mergeCell ref="A30:X30"/>
    <mergeCell ref="A31:X31"/>
    <mergeCell ref="G32:O32"/>
    <mergeCell ref="P32:X32"/>
    <mergeCell ref="A33:X33"/>
    <mergeCell ref="A34:B34"/>
    <mergeCell ref="L34:N34"/>
    <mergeCell ref="Q34:S34"/>
    <mergeCell ref="W34:X34"/>
    <mergeCell ref="A35:B35"/>
    <mergeCell ref="A36:B36"/>
    <mergeCell ref="A37:B37"/>
    <mergeCell ref="A38:X38"/>
    <mergeCell ref="A39:B39"/>
    <mergeCell ref="A40:B40"/>
    <mergeCell ref="A41:B41"/>
    <mergeCell ref="L41:X41"/>
    <mergeCell ref="A42:B42"/>
    <mergeCell ref="L42:X42"/>
    <mergeCell ref="A43:B43"/>
    <mergeCell ref="L43:X43"/>
    <mergeCell ref="A44:B44"/>
    <mergeCell ref="L44:X44"/>
    <mergeCell ref="A45:X45"/>
    <mergeCell ref="E46:F46"/>
    <mergeCell ref="G46:O46"/>
    <mergeCell ref="P46:X46"/>
    <mergeCell ref="A47:X47"/>
    <mergeCell ref="A48:B48"/>
    <mergeCell ref="L48:M48"/>
    <mergeCell ref="A49:B49"/>
    <mergeCell ref="A50:B50"/>
    <mergeCell ref="A51:B51"/>
    <mergeCell ref="M51:X51"/>
    <mergeCell ref="A52:B52"/>
    <mergeCell ref="M52:X52"/>
    <mergeCell ref="A53:B53"/>
    <mergeCell ref="L53:X53"/>
    <mergeCell ref="A54:X54"/>
    <mergeCell ref="G55:O55"/>
    <mergeCell ref="P55:X55"/>
    <mergeCell ref="A56:X56"/>
    <mergeCell ref="A57:B57"/>
    <mergeCell ref="L57:N57"/>
    <mergeCell ref="Q57:S57"/>
    <mergeCell ref="W57:X57"/>
    <mergeCell ref="A58:B58"/>
    <mergeCell ref="A59:B59"/>
    <mergeCell ref="A60:X60"/>
    <mergeCell ref="A61:X61"/>
    <mergeCell ref="A62:X62"/>
  </mergeCells>
  <pageMargins left="0.75" right="0.75" top="1" bottom="1" header="0.5" footer="0.5"/>
  <headerFooter/>
  <picture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
  <sheetViews>
    <sheetView workbookViewId="0">
      <selection activeCell="J12" sqref="J12"/>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11</v>
      </c>
      <c r="B1" s="2"/>
      <c r="C1" s="2"/>
      <c r="D1" s="587" t="s">
        <v>710</v>
      </c>
      <c r="E1" s="588"/>
      <c r="F1" s="588"/>
      <c r="G1" s="589"/>
      <c r="H1" s="589"/>
      <c r="I1" s="588"/>
      <c r="J1" s="588"/>
      <c r="K1" s="589"/>
      <c r="L1" s="589"/>
      <c r="M1" s="589"/>
      <c r="N1" s="589"/>
      <c r="O1" s="589"/>
      <c r="P1" s="589"/>
      <c r="Q1" s="589"/>
      <c r="R1" s="589"/>
      <c r="S1" s="589"/>
      <c r="T1" s="589"/>
      <c r="U1" s="2">
        <v>11</v>
      </c>
      <c r="V1" s="2"/>
      <c r="W1" s="2"/>
      <c r="X1" s="2"/>
    </row>
    <row r="2" ht="21" customHeight="1" spans="1:24">
      <c r="A2" s="5"/>
      <c r="B2" s="6" t="s">
        <v>1</v>
      </c>
      <c r="C2" s="7"/>
      <c r="D2" s="8"/>
      <c r="E2" s="9"/>
      <c r="F2" s="590" t="s">
        <v>711</v>
      </c>
      <c r="G2" s="591"/>
      <c r="H2" s="592"/>
      <c r="I2" s="9"/>
      <c r="J2" s="131" t="s">
        <v>34</v>
      </c>
      <c r="K2" s="132"/>
      <c r="L2" s="132"/>
      <c r="M2" s="132"/>
      <c r="N2" s="132"/>
      <c r="O2" s="132"/>
      <c r="P2" s="132"/>
      <c r="Q2" s="132"/>
      <c r="R2" s="132"/>
      <c r="S2" s="132"/>
      <c r="T2" s="132"/>
      <c r="U2" s="132"/>
      <c r="V2" s="229"/>
      <c r="W2" s="230"/>
      <c r="X2" s="230"/>
    </row>
    <row r="3" ht="21" customHeight="1" spans="1:24">
      <c r="A3" s="12"/>
      <c r="B3" s="13"/>
      <c r="C3" s="13"/>
      <c r="D3" s="13"/>
      <c r="E3" s="13"/>
      <c r="F3" s="13"/>
      <c r="G3" s="13"/>
      <c r="H3" s="13"/>
      <c r="I3" s="13"/>
      <c r="J3" s="343"/>
      <c r="K3" s="343"/>
      <c r="L3" s="343"/>
      <c r="M3" s="343"/>
      <c r="N3" s="343"/>
      <c r="O3" s="343"/>
      <c r="P3" s="343"/>
      <c r="Q3" s="343"/>
      <c r="R3" s="343"/>
      <c r="S3" s="343"/>
      <c r="T3" s="343"/>
      <c r="U3" s="343"/>
      <c r="V3" s="343"/>
      <c r="W3" s="13"/>
      <c r="X3" s="232"/>
    </row>
    <row r="4" ht="44" customHeight="1" spans="1:24">
      <c r="A4" s="47" t="str">
        <f>_xlfn.DISPIMG("ID_4275E659E21C4237AF77CE9BB9C4B7F0",1)</f>
        <v>=DISPIMG("ID_4275E659E21C4237AF77CE9BB9C4B7F0",1)</v>
      </c>
      <c r="B4" s="48" t="str">
        <f>_xlfn.DISPIMG("ID_FF96EB1C1075485AB939DA365831D55C",1)</f>
        <v>=DISPIMG("ID_FF96EB1C1075485AB939DA365831D55C",1)</v>
      </c>
      <c r="C4" s="48" t="str">
        <f>_xlfn.DISPIMG("ID_4F225B02942E44CBA93E57144E0C4BE6",1)</f>
        <v>=DISPIMG("ID_4F225B02942E44CBA93E57144E0C4BE6",1)</v>
      </c>
      <c r="D4" s="48" t="str">
        <f>_xlfn.DISPIMG("ID_2EF94FAA790E4AF4A83107D0B2A63896",1)</f>
        <v>=DISPIMG("ID_2EF94FAA790E4AF4A83107D0B2A63896",1)</v>
      </c>
      <c r="E4" s="48" t="str">
        <f>_xlfn.DISPIMG("ID_3E850E63E60049C1AAC99159D3170245",1)</f>
        <v>=DISPIMG("ID_3E850E63E60049C1AAC99159D3170245",1)</v>
      </c>
      <c r="F4" s="70" t="str">
        <f>_xlfn.DISPIMG("ID_5913F3D9A2644258A42B16B15644161C",1)</f>
        <v>=DISPIMG("ID_5913F3D9A2644258A42B16B15644161C",1)</v>
      </c>
      <c r="G4" s="345" t="s">
        <v>712</v>
      </c>
      <c r="H4" s="346"/>
      <c r="I4" s="346"/>
      <c r="J4" s="346"/>
      <c r="K4" s="346"/>
      <c r="L4" s="346"/>
      <c r="M4" s="346"/>
      <c r="N4" s="346"/>
      <c r="O4" s="388"/>
      <c r="P4" s="47" t="str">
        <f>_xlfn.DISPIMG("ID_03417E3971224C1DB361CD85EF9B0A8A",1)</f>
        <v>=DISPIMG("ID_03417E3971224C1DB361CD85EF9B0A8A",1)</v>
      </c>
      <c r="Q4" s="48"/>
      <c r="R4" s="48" t="str">
        <f>_xlfn.DISPIMG("ID_E8C0DD8A9A62413898789313C46F87C7",1)</f>
        <v>=DISPIMG("ID_E8C0DD8A9A62413898789313C46F87C7",1)</v>
      </c>
      <c r="S4" s="48"/>
      <c r="T4" s="48" t="str">
        <f>_xlfn.DISPIMG("ID_3C73DCE14C47480897995843F62F07D4",1)</f>
        <v>=DISPIMG("ID_3C73DCE14C47480897995843F62F07D4",1)</v>
      </c>
      <c r="U4" s="48" t="str">
        <f>_xlfn.DISPIMG("ID_ACCE143F7F7049BD95ED4A633E6CDB74",1)</f>
        <v>=DISPIMG("ID_ACCE143F7F7049BD95ED4A633E6CDB74",1)</v>
      </c>
      <c r="V4" s="48" t="str">
        <f>_xlfn.DISPIMG("ID_5896889C860A43D4A8D59ACC515F76D6",1)</f>
        <v>=DISPIMG("ID_5896889C860A43D4A8D59ACC515F76D6",1)</v>
      </c>
      <c r="W4" s="48"/>
      <c r="X4" s="70"/>
    </row>
    <row r="5" ht="21" customHeight="1" spans="1:24">
      <c r="A5" s="12" t="s">
        <v>713</v>
      </c>
      <c r="B5" s="13"/>
      <c r="C5" s="13"/>
      <c r="D5" s="13"/>
      <c r="E5" s="13"/>
      <c r="F5" s="13"/>
      <c r="G5" s="13"/>
      <c r="H5" s="13"/>
      <c r="I5" s="13"/>
      <c r="J5" s="343"/>
      <c r="K5" s="343"/>
      <c r="L5" s="343"/>
      <c r="M5" s="343"/>
      <c r="N5" s="343"/>
      <c r="O5" s="343"/>
      <c r="P5" s="343"/>
      <c r="Q5" s="343"/>
      <c r="R5" s="343"/>
      <c r="S5" s="343"/>
      <c r="T5" s="343"/>
      <c r="U5" s="343"/>
      <c r="V5" s="343"/>
      <c r="W5" s="13"/>
      <c r="X5" s="232"/>
    </row>
    <row r="6" ht="21" customHeight="1" spans="1:24">
      <c r="A6" s="21" t="s">
        <v>8</v>
      </c>
      <c r="B6" s="22"/>
      <c r="C6" s="23">
        <v>0</v>
      </c>
      <c r="D6" s="24">
        <v>1</v>
      </c>
      <c r="E6" s="24">
        <v>2</v>
      </c>
      <c r="F6" s="24">
        <v>3</v>
      </c>
      <c r="G6" s="24">
        <v>4</v>
      </c>
      <c r="H6" s="24">
        <v>5</v>
      </c>
      <c r="I6" s="24">
        <v>6</v>
      </c>
      <c r="J6" s="24">
        <v>7</v>
      </c>
      <c r="K6" s="135">
        <v>8</v>
      </c>
      <c r="L6" s="136">
        <v>9</v>
      </c>
      <c r="M6" s="137"/>
      <c r="N6" s="138"/>
      <c r="O6" s="139">
        <v>10</v>
      </c>
      <c r="P6" s="140">
        <v>11</v>
      </c>
      <c r="Q6" s="236">
        <v>12</v>
      </c>
      <c r="R6" s="236"/>
      <c r="S6" s="236"/>
      <c r="T6" s="139">
        <v>13</v>
      </c>
      <c r="U6" s="237">
        <v>14</v>
      </c>
      <c r="V6" s="140">
        <v>15</v>
      </c>
      <c r="W6" s="137">
        <v>16</v>
      </c>
      <c r="X6" s="138"/>
    </row>
    <row r="7" ht="21" customHeight="1" spans="1:24">
      <c r="A7" s="122" t="s">
        <v>714</v>
      </c>
      <c r="B7" s="123"/>
      <c r="C7" s="87">
        <v>10</v>
      </c>
      <c r="D7" s="88">
        <v>12</v>
      </c>
      <c r="E7" s="88">
        <v>14</v>
      </c>
      <c r="F7" s="88">
        <v>16</v>
      </c>
      <c r="G7" s="88">
        <v>18</v>
      </c>
      <c r="H7" s="88">
        <v>20</v>
      </c>
      <c r="I7" s="88">
        <v>22</v>
      </c>
      <c r="J7" s="88">
        <v>26</v>
      </c>
      <c r="K7" s="199">
        <v>32</v>
      </c>
      <c r="L7" s="624"/>
      <c r="M7" s="201">
        <v>40</v>
      </c>
      <c r="N7" s="625"/>
      <c r="O7" s="203">
        <v>55</v>
      </c>
      <c r="P7" s="204">
        <v>70</v>
      </c>
      <c r="Q7" s="625"/>
      <c r="R7" s="272">
        <v>85</v>
      </c>
      <c r="S7" s="625"/>
      <c r="T7" s="203">
        <v>100</v>
      </c>
      <c r="U7" s="273">
        <v>115</v>
      </c>
      <c r="V7" s="204">
        <v>130</v>
      </c>
      <c r="W7" s="661"/>
      <c r="X7" s="275">
        <v>145</v>
      </c>
    </row>
    <row r="8" ht="21" customHeight="1" spans="1:24">
      <c r="A8" s="128" t="s">
        <v>715</v>
      </c>
      <c r="B8" s="129"/>
      <c r="C8" s="116">
        <v>5</v>
      </c>
      <c r="D8" s="117">
        <v>6</v>
      </c>
      <c r="E8" s="117">
        <v>7</v>
      </c>
      <c r="F8" s="117">
        <v>8</v>
      </c>
      <c r="G8" s="117">
        <v>9</v>
      </c>
      <c r="H8" s="117">
        <v>10</v>
      </c>
      <c r="I8" s="117">
        <v>11</v>
      </c>
      <c r="J8" s="117">
        <v>13</v>
      </c>
      <c r="K8" s="211">
        <v>16</v>
      </c>
      <c r="L8" s="196"/>
      <c r="M8" s="213">
        <v>20</v>
      </c>
      <c r="N8" s="198"/>
      <c r="O8" s="215">
        <v>28</v>
      </c>
      <c r="P8" s="216">
        <v>36</v>
      </c>
      <c r="Q8" s="198"/>
      <c r="R8" s="289">
        <v>46</v>
      </c>
      <c r="S8" s="198"/>
      <c r="T8" s="215">
        <v>56</v>
      </c>
      <c r="U8" s="290">
        <v>66</v>
      </c>
      <c r="V8" s="216">
        <v>76</v>
      </c>
      <c r="W8" s="271"/>
      <c r="X8" s="292">
        <v>86</v>
      </c>
    </row>
    <row r="9" ht="21" customHeight="1" spans="1:24">
      <c r="A9" s="593" t="s">
        <v>18</v>
      </c>
      <c r="B9" s="594"/>
      <c r="C9" s="61">
        <v>0</v>
      </c>
      <c r="D9" s="62">
        <v>1</v>
      </c>
      <c r="E9" s="62">
        <v>2</v>
      </c>
      <c r="F9" s="63">
        <v>3</v>
      </c>
      <c r="G9" s="62">
        <v>4</v>
      </c>
      <c r="H9" s="64">
        <v>5</v>
      </c>
      <c r="I9" s="62">
        <v>6</v>
      </c>
      <c r="J9" s="174">
        <v>7</v>
      </c>
      <c r="K9" s="626">
        <v>8</v>
      </c>
      <c r="L9" s="627" t="s">
        <v>716</v>
      </c>
      <c r="M9" s="628"/>
      <c r="N9" s="628"/>
      <c r="O9" s="628"/>
      <c r="P9" s="628"/>
      <c r="Q9" s="628"/>
      <c r="R9" s="628"/>
      <c r="S9" s="628"/>
      <c r="T9" s="628"/>
      <c r="U9" s="628"/>
      <c r="V9" s="628"/>
      <c r="W9" s="628"/>
      <c r="X9" s="662"/>
    </row>
    <row r="10" ht="21" customHeight="1" spans="1:24">
      <c r="A10" s="122" t="s">
        <v>717</v>
      </c>
      <c r="B10" s="122"/>
      <c r="C10" s="41">
        <v>1.3</v>
      </c>
      <c r="D10" s="595">
        <v>1.25</v>
      </c>
      <c r="E10" s="595">
        <v>1.2</v>
      </c>
      <c r="F10" s="596">
        <v>1.15</v>
      </c>
      <c r="G10" s="595">
        <v>1.1</v>
      </c>
      <c r="H10" s="597">
        <v>1.05</v>
      </c>
      <c r="I10" s="595">
        <v>1</v>
      </c>
      <c r="J10" s="629">
        <v>0.95</v>
      </c>
      <c r="K10" s="630">
        <v>0.9</v>
      </c>
      <c r="L10" s="631"/>
      <c r="M10" s="632"/>
      <c r="N10" s="632"/>
      <c r="O10" s="632"/>
      <c r="P10" s="632"/>
      <c r="Q10" s="632"/>
      <c r="R10" s="632"/>
      <c r="S10" s="632"/>
      <c r="T10" s="632"/>
      <c r="U10" s="632"/>
      <c r="V10" s="632"/>
      <c r="W10" s="632"/>
      <c r="X10" s="663"/>
    </row>
    <row r="11" ht="21" customHeight="1" spans="1:24">
      <c r="A11" s="65" t="s">
        <v>718</v>
      </c>
      <c r="B11" s="65"/>
      <c r="C11" s="66">
        <v>1.3</v>
      </c>
      <c r="D11" s="225" t="s">
        <v>719</v>
      </c>
      <c r="E11" s="226"/>
      <c r="F11" s="226"/>
      <c r="G11" s="226"/>
      <c r="H11" s="226"/>
      <c r="I11" s="226"/>
      <c r="J11" s="226"/>
      <c r="K11" s="300"/>
      <c r="L11" s="633" t="s">
        <v>720</v>
      </c>
      <c r="M11" s="634"/>
      <c r="N11" s="634"/>
      <c r="O11" s="634"/>
      <c r="P11" s="634"/>
      <c r="Q11" s="634"/>
      <c r="R11" s="634"/>
      <c r="S11" s="634"/>
      <c r="T11" s="634"/>
      <c r="U11" s="634"/>
      <c r="V11" s="634"/>
      <c r="W11" s="634"/>
      <c r="X11" s="664"/>
    </row>
    <row r="12" ht="21" customHeight="1" spans="1:24">
      <c r="A12" s="122" t="s">
        <v>721</v>
      </c>
      <c r="B12" s="122"/>
      <c r="C12" s="41">
        <v>2.5</v>
      </c>
      <c r="D12" s="598">
        <v>2.4</v>
      </c>
      <c r="E12" s="598">
        <v>2.3</v>
      </c>
      <c r="F12" s="599">
        <v>2.2</v>
      </c>
      <c r="G12" s="598">
        <v>2.1</v>
      </c>
      <c r="H12" s="600">
        <v>2</v>
      </c>
      <c r="I12" s="598">
        <v>1.9</v>
      </c>
      <c r="J12" s="635">
        <v>1.8</v>
      </c>
      <c r="K12" s="636">
        <v>1.7</v>
      </c>
      <c r="L12" s="637" t="s">
        <v>722</v>
      </c>
      <c r="M12" s="638"/>
      <c r="N12" s="638"/>
      <c r="O12" s="638"/>
      <c r="P12" s="638"/>
      <c r="Q12" s="638"/>
      <c r="R12" s="638"/>
      <c r="S12" s="638"/>
      <c r="T12" s="638"/>
      <c r="U12" s="638"/>
      <c r="V12" s="638"/>
      <c r="W12" s="638"/>
      <c r="X12" s="665"/>
    </row>
    <row r="13" ht="21" customHeight="1" spans="1:24">
      <c r="A13" s="65" t="s">
        <v>723</v>
      </c>
      <c r="B13" s="65"/>
      <c r="C13" s="66">
        <v>50</v>
      </c>
      <c r="D13" s="67">
        <v>47</v>
      </c>
      <c r="E13" s="67">
        <v>44</v>
      </c>
      <c r="F13" s="93">
        <v>41</v>
      </c>
      <c r="G13" s="67">
        <v>37</v>
      </c>
      <c r="H13" s="69">
        <v>34</v>
      </c>
      <c r="I13" s="67">
        <v>30</v>
      </c>
      <c r="J13" s="178">
        <v>25</v>
      </c>
      <c r="K13" s="378">
        <v>20</v>
      </c>
      <c r="L13" s="165" t="s">
        <v>724</v>
      </c>
      <c r="M13" s="166"/>
      <c r="N13" s="166"/>
      <c r="O13" s="166"/>
      <c r="P13" s="166"/>
      <c r="Q13" s="166"/>
      <c r="R13" s="166"/>
      <c r="S13" s="166"/>
      <c r="T13" s="166"/>
      <c r="U13" s="166"/>
      <c r="V13" s="166"/>
      <c r="W13" s="166"/>
      <c r="X13" s="251"/>
    </row>
    <row r="14" ht="21" customHeight="1" spans="1:24">
      <c r="A14" s="601" t="s">
        <v>725</v>
      </c>
      <c r="B14" s="602"/>
      <c r="C14" s="602"/>
      <c r="D14" s="602"/>
      <c r="E14" s="602"/>
      <c r="F14" s="602"/>
      <c r="G14" s="602"/>
      <c r="H14" s="602"/>
      <c r="I14" s="602"/>
      <c r="J14" s="602"/>
      <c r="K14" s="602"/>
      <c r="L14" s="602"/>
      <c r="M14" s="602"/>
      <c r="N14" s="602"/>
      <c r="O14" s="602"/>
      <c r="P14" s="602"/>
      <c r="Q14" s="602"/>
      <c r="R14" s="602"/>
      <c r="S14" s="602"/>
      <c r="T14" s="602"/>
      <c r="U14" s="602"/>
      <c r="V14" s="602"/>
      <c r="W14" s="602"/>
      <c r="X14" s="666"/>
    </row>
    <row r="15" ht="21" customHeight="1" spans="1:24">
      <c r="A15" s="603" t="s">
        <v>726</v>
      </c>
      <c r="B15" s="603"/>
      <c r="C15" s="603"/>
      <c r="D15" s="603"/>
      <c r="E15" s="603"/>
      <c r="F15" s="603"/>
      <c r="G15" s="603"/>
      <c r="H15" s="603"/>
      <c r="I15" s="603"/>
      <c r="J15" s="603"/>
      <c r="K15" s="603"/>
      <c r="L15" s="603"/>
      <c r="M15" s="603"/>
      <c r="N15" s="603"/>
      <c r="O15" s="603"/>
      <c r="P15" s="603"/>
      <c r="Q15" s="603"/>
      <c r="R15" s="603"/>
      <c r="S15" s="603"/>
      <c r="T15" s="603"/>
      <c r="U15" s="603"/>
      <c r="V15" s="603"/>
      <c r="W15" s="603"/>
      <c r="X15" s="603"/>
    </row>
    <row r="16" ht="21" customHeight="1" spans="1:24">
      <c r="A16" s="603" t="s">
        <v>727</v>
      </c>
      <c r="B16" s="603"/>
      <c r="C16" s="603"/>
      <c r="D16" s="603"/>
      <c r="E16" s="603"/>
      <c r="F16" s="603"/>
      <c r="G16" s="603"/>
      <c r="H16" s="603"/>
      <c r="I16" s="603"/>
      <c r="J16" s="603"/>
      <c r="K16" s="603"/>
      <c r="L16" s="603"/>
      <c r="M16" s="603"/>
      <c r="N16" s="603"/>
      <c r="O16" s="603"/>
      <c r="P16" s="603"/>
      <c r="Q16" s="603"/>
      <c r="R16" s="603"/>
      <c r="S16" s="603"/>
      <c r="T16" s="603"/>
      <c r="U16" s="603"/>
      <c r="V16" s="603"/>
      <c r="W16" s="603"/>
      <c r="X16" s="603"/>
    </row>
    <row r="17" ht="21" customHeight="1" spans="1:24">
      <c r="A17" s="12"/>
      <c r="B17" s="13"/>
      <c r="C17" s="13"/>
      <c r="D17" s="343"/>
      <c r="E17" s="343"/>
      <c r="F17" s="343"/>
      <c r="G17" s="343"/>
      <c r="H17" s="343"/>
      <c r="I17" s="343"/>
      <c r="J17" s="343"/>
      <c r="K17" s="343"/>
      <c r="L17" s="343"/>
      <c r="M17" s="343"/>
      <c r="N17" s="343"/>
      <c r="O17" s="343"/>
      <c r="P17" s="343"/>
      <c r="Q17" s="343"/>
      <c r="R17" s="343"/>
      <c r="S17" s="343"/>
      <c r="T17" s="343"/>
      <c r="U17" s="343"/>
      <c r="V17" s="343"/>
      <c r="W17" s="343"/>
      <c r="X17" s="419"/>
    </row>
    <row r="18" ht="44" customHeight="1" spans="1:24">
      <c r="A18" s="47" t="str">
        <f>_xlfn.DISPIMG("ID_56F9375A6660467CA003844FAED8BDB0",1)</f>
        <v>=DISPIMG("ID_56F9375A6660467CA003844FAED8BDB0",1)</v>
      </c>
      <c r="B18" s="48" t="str">
        <f>_xlfn.DISPIMG("ID_C4305B1EE4A9418681886D766BD328AD",1)</f>
        <v>=DISPIMG("ID_C4305B1EE4A9418681886D766BD328AD",1)</v>
      </c>
      <c r="C18" s="48" t="str">
        <f>_xlfn.DISPIMG("ID_C9EDCEFC15F848948623F5CE0D8048BC",1)</f>
        <v>=DISPIMG("ID_C9EDCEFC15F848948623F5CE0D8048BC",1)</v>
      </c>
      <c r="D18" s="48" t="str">
        <f>_xlfn.DISPIMG("ID_4B0AC738F0CC4E9C940DF74D6905DDFE",1)</f>
        <v>=DISPIMG("ID_4B0AC738F0CC4E9C940DF74D6905DDFE",1)</v>
      </c>
      <c r="E18" s="48" t="str">
        <f>_xlfn.DISPIMG("ID_FA63B1711601488B8197CBC195B8A8F2",1)</f>
        <v>=DISPIMG("ID_FA63B1711601488B8197CBC195B8A8F2",1)</v>
      </c>
      <c r="F18" s="70"/>
      <c r="G18" s="334" t="s">
        <v>728</v>
      </c>
      <c r="H18" s="335"/>
      <c r="I18" s="335"/>
      <c r="J18" s="335"/>
      <c r="K18" s="335"/>
      <c r="L18" s="335"/>
      <c r="M18" s="335"/>
      <c r="N18" s="335"/>
      <c r="O18" s="374"/>
      <c r="P18" s="639" t="s">
        <v>729</v>
      </c>
      <c r="Q18" s="667"/>
      <c r="R18" s="667"/>
      <c r="S18" s="667"/>
      <c r="T18" s="667"/>
      <c r="U18" s="667"/>
      <c r="V18" s="667"/>
      <c r="W18" s="667"/>
      <c r="X18" s="668"/>
    </row>
    <row r="19" ht="21" customHeight="1" spans="1:24">
      <c r="A19" s="19"/>
      <c r="B19" s="20"/>
      <c r="C19" s="20"/>
      <c r="D19" s="20"/>
      <c r="E19" s="20"/>
      <c r="F19" s="20"/>
      <c r="G19" s="20"/>
      <c r="H19" s="20"/>
      <c r="I19" s="20"/>
      <c r="J19" s="20"/>
      <c r="K19" s="20"/>
      <c r="L19" s="20"/>
      <c r="M19" s="20"/>
      <c r="N19" s="20"/>
      <c r="O19" s="20"/>
      <c r="P19" s="20"/>
      <c r="Q19" s="20"/>
      <c r="R19" s="20"/>
      <c r="S19" s="20"/>
      <c r="T19" s="20"/>
      <c r="U19" s="20"/>
      <c r="V19" s="20"/>
      <c r="W19" s="20"/>
      <c r="X19" s="235"/>
    </row>
    <row r="20" ht="21" customHeight="1" spans="1:24">
      <c r="A20" s="21" t="s">
        <v>8</v>
      </c>
      <c r="B20" s="22"/>
      <c r="C20" s="23">
        <v>0</v>
      </c>
      <c r="D20" s="24">
        <v>1</v>
      </c>
      <c r="E20" s="24">
        <v>2</v>
      </c>
      <c r="F20" s="24">
        <v>3</v>
      </c>
      <c r="G20" s="24">
        <v>4</v>
      </c>
      <c r="H20" s="24">
        <v>5</v>
      </c>
      <c r="I20" s="24">
        <v>6</v>
      </c>
      <c r="J20" s="24">
        <v>7</v>
      </c>
      <c r="K20" s="135">
        <v>8</v>
      </c>
      <c r="L20" s="136">
        <v>9</v>
      </c>
      <c r="M20" s="137"/>
      <c r="N20" s="138"/>
      <c r="O20" s="139">
        <v>10</v>
      </c>
      <c r="P20" s="140">
        <v>11</v>
      </c>
      <c r="Q20" s="236">
        <v>12</v>
      </c>
      <c r="R20" s="236"/>
      <c r="S20" s="236"/>
      <c r="T20" s="139">
        <v>13</v>
      </c>
      <c r="U20" s="237">
        <v>14</v>
      </c>
      <c r="V20" s="140">
        <v>15</v>
      </c>
      <c r="W20" s="137">
        <v>16</v>
      </c>
      <c r="X20" s="138"/>
    </row>
    <row r="21" ht="21" customHeight="1" spans="1:24">
      <c r="A21" s="25" t="s">
        <v>358</v>
      </c>
      <c r="B21" s="26"/>
      <c r="C21" s="336">
        <v>10</v>
      </c>
      <c r="D21" s="337">
        <v>12</v>
      </c>
      <c r="E21" s="337">
        <v>14</v>
      </c>
      <c r="F21" s="337">
        <v>16</v>
      </c>
      <c r="G21" s="337">
        <v>18</v>
      </c>
      <c r="H21" s="337">
        <v>20</v>
      </c>
      <c r="I21" s="337">
        <v>22</v>
      </c>
      <c r="J21" s="337">
        <v>26</v>
      </c>
      <c r="K21" s="379">
        <v>32</v>
      </c>
      <c r="L21" s="380"/>
      <c r="M21" s="218">
        <v>40</v>
      </c>
      <c r="N21" s="367"/>
      <c r="O21" s="203">
        <v>55</v>
      </c>
      <c r="P21" s="204">
        <v>70</v>
      </c>
      <c r="Q21" s="367"/>
      <c r="R21" s="272">
        <v>85</v>
      </c>
      <c r="S21" s="367"/>
      <c r="T21" s="203">
        <v>100</v>
      </c>
      <c r="U21" s="273">
        <v>115</v>
      </c>
      <c r="V21" s="204">
        <v>130</v>
      </c>
      <c r="W21" s="403"/>
      <c r="X21" s="275">
        <v>145</v>
      </c>
    </row>
    <row r="22" ht="21" customHeight="1" spans="1:24">
      <c r="A22" s="59" t="s">
        <v>18</v>
      </c>
      <c r="B22" s="60"/>
      <c r="C22" s="61">
        <v>0</v>
      </c>
      <c r="D22" s="62">
        <v>1</v>
      </c>
      <c r="E22" s="62">
        <v>2</v>
      </c>
      <c r="F22" s="63">
        <v>3</v>
      </c>
      <c r="G22" s="62">
        <v>4</v>
      </c>
      <c r="H22" s="64">
        <v>5</v>
      </c>
      <c r="I22" s="62">
        <v>6</v>
      </c>
      <c r="J22" s="174">
        <v>7</v>
      </c>
      <c r="K22" s="626">
        <v>8</v>
      </c>
      <c r="L22" s="640" t="s">
        <v>730</v>
      </c>
      <c r="M22" s="641"/>
      <c r="N22" s="641"/>
      <c r="O22" s="641"/>
      <c r="P22" s="641"/>
      <c r="Q22" s="641"/>
      <c r="R22" s="641"/>
      <c r="S22" s="641"/>
      <c r="T22" s="641"/>
      <c r="U22" s="641"/>
      <c r="V22" s="641"/>
      <c r="W22" s="641"/>
      <c r="X22" s="669"/>
    </row>
    <row r="23" ht="21" customHeight="1" spans="1:24">
      <c r="A23" s="25" t="s">
        <v>358</v>
      </c>
      <c r="B23" s="25"/>
      <c r="C23" s="41">
        <v>1.3</v>
      </c>
      <c r="D23" s="42">
        <v>1.25</v>
      </c>
      <c r="E23" s="42">
        <v>1.2</v>
      </c>
      <c r="F23" s="43">
        <v>1.15</v>
      </c>
      <c r="G23" s="42">
        <v>1.1</v>
      </c>
      <c r="H23" s="44">
        <v>1.05</v>
      </c>
      <c r="I23" s="42">
        <v>1</v>
      </c>
      <c r="J23" s="163">
        <v>0.95</v>
      </c>
      <c r="K23" s="575">
        <v>0.9</v>
      </c>
      <c r="L23" s="642"/>
      <c r="M23" s="643"/>
      <c r="N23" s="643"/>
      <c r="O23" s="643"/>
      <c r="P23" s="643"/>
      <c r="Q23" s="643"/>
      <c r="R23" s="643"/>
      <c r="S23" s="643"/>
      <c r="T23" s="643"/>
      <c r="U23" s="643"/>
      <c r="V23" s="643"/>
      <c r="W23" s="643"/>
      <c r="X23" s="670"/>
    </row>
    <row r="24" ht="21" customHeight="1" spans="1:24">
      <c r="A24" s="342" t="s">
        <v>731</v>
      </c>
      <c r="B24" s="343"/>
      <c r="C24" s="343"/>
      <c r="D24" s="343"/>
      <c r="E24" s="343"/>
      <c r="F24" s="343"/>
      <c r="G24" s="343"/>
      <c r="H24" s="343"/>
      <c r="I24" s="343"/>
      <c r="J24" s="343"/>
      <c r="K24" s="343"/>
      <c r="L24" s="343"/>
      <c r="M24" s="343"/>
      <c r="N24" s="343"/>
      <c r="O24" s="343"/>
      <c r="P24" s="343"/>
      <c r="Q24" s="343"/>
      <c r="R24" s="343"/>
      <c r="S24" s="343"/>
      <c r="T24" s="343"/>
      <c r="U24" s="343"/>
      <c r="V24" s="343"/>
      <c r="W24" s="343"/>
      <c r="X24" s="419"/>
    </row>
    <row r="25" ht="44" customHeight="1" spans="1:24">
      <c r="A25" s="443" t="str">
        <f>_xlfn.DISPIMG("ID_5A9B22520BCB41FD9D196C836132B217",1)</f>
        <v>=DISPIMG("ID_5A9B22520BCB41FD9D196C836132B217",1)</v>
      </c>
      <c r="B25" s="446"/>
      <c r="C25" s="446"/>
      <c r="D25" s="446"/>
      <c r="E25" s="446"/>
      <c r="F25" s="447"/>
      <c r="G25" s="604" t="s">
        <v>732</v>
      </c>
      <c r="H25" s="605"/>
      <c r="I25" s="605"/>
      <c r="J25" s="605"/>
      <c r="K25" s="605"/>
      <c r="L25" s="605"/>
      <c r="M25" s="605"/>
      <c r="N25" s="605"/>
      <c r="O25" s="644"/>
      <c r="P25" s="375"/>
      <c r="Q25" s="409"/>
      <c r="R25" s="409"/>
      <c r="S25" s="409"/>
      <c r="T25" s="409"/>
      <c r="U25" s="409"/>
      <c r="V25" s="409"/>
      <c r="W25" s="409"/>
      <c r="X25" s="410"/>
    </row>
    <row r="26" ht="21" customHeight="1" spans="1:24">
      <c r="A26" s="476" t="s">
        <v>733</v>
      </c>
      <c r="B26" s="476"/>
      <c r="C26" s="476"/>
      <c r="D26" s="476"/>
      <c r="E26" s="476"/>
      <c r="F26" s="476"/>
      <c r="G26" s="476"/>
      <c r="H26" s="476"/>
      <c r="I26" s="476"/>
      <c r="J26" s="476"/>
      <c r="K26" s="476"/>
      <c r="L26" s="476"/>
      <c r="M26" s="476"/>
      <c r="N26" s="476"/>
      <c r="O26" s="476"/>
      <c r="P26" s="476"/>
      <c r="Q26" s="476"/>
      <c r="R26" s="476"/>
      <c r="S26" s="476"/>
      <c r="T26" s="476"/>
      <c r="U26" s="476"/>
      <c r="V26" s="476"/>
      <c r="W26" s="476"/>
      <c r="X26" s="476"/>
    </row>
    <row r="27" ht="21" customHeight="1" spans="1:24">
      <c r="A27" s="21" t="s">
        <v>8</v>
      </c>
      <c r="B27" s="22"/>
      <c r="C27" s="23">
        <v>0</v>
      </c>
      <c r="D27" s="24">
        <v>1</v>
      </c>
      <c r="E27" s="24">
        <v>2</v>
      </c>
      <c r="F27" s="24">
        <v>3</v>
      </c>
      <c r="G27" s="24">
        <v>4</v>
      </c>
      <c r="H27" s="24">
        <v>5</v>
      </c>
      <c r="I27" s="24">
        <v>6</v>
      </c>
      <c r="J27" s="24">
        <v>7</v>
      </c>
      <c r="K27" s="135">
        <v>8</v>
      </c>
      <c r="L27" s="136">
        <v>9</v>
      </c>
      <c r="M27" s="137"/>
      <c r="N27" s="138"/>
      <c r="O27" s="139">
        <v>10</v>
      </c>
      <c r="P27" s="140">
        <v>11</v>
      </c>
      <c r="Q27" s="236">
        <v>12</v>
      </c>
      <c r="R27" s="236"/>
      <c r="S27" s="236"/>
      <c r="T27" s="139">
        <v>13</v>
      </c>
      <c r="U27" s="237">
        <v>14</v>
      </c>
      <c r="V27" s="140">
        <v>15</v>
      </c>
      <c r="W27" s="137">
        <v>16</v>
      </c>
      <c r="X27" s="138"/>
    </row>
    <row r="28" ht="21" customHeight="1" spans="1:24">
      <c r="A28" s="25" t="s">
        <v>734</v>
      </c>
      <c r="B28" s="26"/>
      <c r="C28" s="113">
        <v>10</v>
      </c>
      <c r="D28" s="307">
        <v>12</v>
      </c>
      <c r="E28" s="307">
        <v>14</v>
      </c>
      <c r="F28" s="307">
        <v>16</v>
      </c>
      <c r="G28" s="307">
        <v>18</v>
      </c>
      <c r="H28" s="307">
        <v>20</v>
      </c>
      <c r="I28" s="307">
        <v>22</v>
      </c>
      <c r="J28" s="307">
        <v>26</v>
      </c>
      <c r="K28" s="312">
        <v>32</v>
      </c>
      <c r="L28" s="185"/>
      <c r="M28" s="143">
        <v>40</v>
      </c>
      <c r="N28" s="187"/>
      <c r="O28" s="145">
        <v>55</v>
      </c>
      <c r="P28" s="146">
        <v>70</v>
      </c>
      <c r="Q28" s="187"/>
      <c r="R28" s="238">
        <v>85</v>
      </c>
      <c r="S28" s="187"/>
      <c r="T28" s="145">
        <v>100</v>
      </c>
      <c r="U28" s="239">
        <v>115</v>
      </c>
      <c r="V28" s="146">
        <v>130</v>
      </c>
      <c r="W28" s="264"/>
      <c r="X28" s="241">
        <v>145</v>
      </c>
    </row>
    <row r="29" ht="21" customHeight="1" spans="1:24">
      <c r="A29" s="456" t="s">
        <v>735</v>
      </c>
      <c r="B29" s="30"/>
      <c r="C29" s="559">
        <f t="shared" ref="C29:K29" si="0">INT(C28*1.3)</f>
        <v>13</v>
      </c>
      <c r="D29" s="560">
        <f t="shared" si="0"/>
        <v>15</v>
      </c>
      <c r="E29" s="560">
        <f t="shared" si="0"/>
        <v>18</v>
      </c>
      <c r="F29" s="560">
        <f t="shared" si="0"/>
        <v>20</v>
      </c>
      <c r="G29" s="560">
        <f t="shared" si="0"/>
        <v>23</v>
      </c>
      <c r="H29" s="560">
        <f t="shared" si="0"/>
        <v>26</v>
      </c>
      <c r="I29" s="560">
        <f t="shared" si="0"/>
        <v>28</v>
      </c>
      <c r="J29" s="560">
        <f t="shared" si="0"/>
        <v>33</v>
      </c>
      <c r="K29" s="570">
        <f t="shared" si="0"/>
        <v>41</v>
      </c>
      <c r="L29" s="571"/>
      <c r="M29" s="572">
        <f t="shared" ref="M29:P29" si="1">INT(M28*1.3)</f>
        <v>52</v>
      </c>
      <c r="N29" s="573"/>
      <c r="O29" s="151">
        <f t="shared" si="1"/>
        <v>71</v>
      </c>
      <c r="P29" s="152">
        <f t="shared" si="1"/>
        <v>91</v>
      </c>
      <c r="Q29" s="573"/>
      <c r="R29" s="242">
        <f t="shared" ref="R29:V29" si="2">INT(R28*1.3)</f>
        <v>110</v>
      </c>
      <c r="S29" s="573"/>
      <c r="T29" s="151">
        <f t="shared" si="2"/>
        <v>130</v>
      </c>
      <c r="U29" s="243">
        <f t="shared" si="2"/>
        <v>149</v>
      </c>
      <c r="V29" s="152">
        <f t="shared" si="2"/>
        <v>169</v>
      </c>
      <c r="W29" s="583"/>
      <c r="X29" s="245">
        <f>INT(X28*1.3)</f>
        <v>188</v>
      </c>
    </row>
    <row r="30" ht="21" customHeight="1" spans="1:24">
      <c r="A30" s="59" t="s">
        <v>18</v>
      </c>
      <c r="B30" s="60"/>
      <c r="C30" s="61">
        <v>0</v>
      </c>
      <c r="D30" s="62">
        <v>1</v>
      </c>
      <c r="E30" s="62">
        <v>2</v>
      </c>
      <c r="F30" s="63">
        <v>3</v>
      </c>
      <c r="G30" s="62">
        <v>4</v>
      </c>
      <c r="H30" s="64">
        <v>5</v>
      </c>
      <c r="I30" s="62">
        <v>6</v>
      </c>
      <c r="J30" s="174">
        <v>7</v>
      </c>
      <c r="K30" s="626">
        <v>8</v>
      </c>
      <c r="L30" s="283" t="s">
        <v>736</v>
      </c>
      <c r="M30" s="284"/>
      <c r="N30" s="284"/>
      <c r="O30" s="284"/>
      <c r="P30" s="284"/>
      <c r="Q30" s="284"/>
      <c r="R30" s="284"/>
      <c r="S30" s="284"/>
      <c r="T30" s="284"/>
      <c r="U30" s="284"/>
      <c r="V30" s="284"/>
      <c r="W30" s="284"/>
      <c r="X30" s="285"/>
    </row>
    <row r="31" ht="21" customHeight="1" spans="1:24">
      <c r="A31" s="122" t="s">
        <v>734</v>
      </c>
      <c r="B31" s="122"/>
      <c r="C31" s="41">
        <v>1.3</v>
      </c>
      <c r="D31" s="42">
        <v>1.25</v>
      </c>
      <c r="E31" s="42">
        <v>1.2</v>
      </c>
      <c r="F31" s="43">
        <v>1.15</v>
      </c>
      <c r="G31" s="42">
        <v>1.1</v>
      </c>
      <c r="H31" s="44">
        <v>1.05</v>
      </c>
      <c r="I31" s="42">
        <v>1</v>
      </c>
      <c r="J31" s="163">
        <v>0.95</v>
      </c>
      <c r="K31" s="575">
        <v>0.9</v>
      </c>
      <c r="L31" s="645" t="s">
        <v>737</v>
      </c>
      <c r="M31" s="646"/>
      <c r="N31" s="646"/>
      <c r="O31" s="646"/>
      <c r="P31" s="646"/>
      <c r="Q31" s="646"/>
      <c r="R31" s="646"/>
      <c r="S31" s="646"/>
      <c r="T31" s="646"/>
      <c r="U31" s="646"/>
      <c r="V31" s="646"/>
      <c r="W31" s="646"/>
      <c r="X31" s="671"/>
    </row>
    <row r="32" ht="21" customHeight="1" spans="1:24">
      <c r="A32" s="342"/>
      <c r="B32" s="343"/>
      <c r="C32" s="343"/>
      <c r="D32" s="343"/>
      <c r="E32" s="343"/>
      <c r="F32" s="343"/>
      <c r="G32" s="343"/>
      <c r="H32" s="343"/>
      <c r="I32" s="343"/>
      <c r="J32" s="343"/>
      <c r="K32" s="343"/>
      <c r="L32" s="343"/>
      <c r="M32" s="343"/>
      <c r="N32" s="343"/>
      <c r="O32" s="343"/>
      <c r="P32" s="343"/>
      <c r="Q32" s="343"/>
      <c r="R32" s="343"/>
      <c r="S32" s="343"/>
      <c r="T32" s="343"/>
      <c r="U32" s="343"/>
      <c r="V32" s="343"/>
      <c r="W32" s="343"/>
      <c r="X32" s="419"/>
    </row>
    <row r="33" ht="44" customHeight="1" spans="1:24">
      <c r="A33" s="14" t="str">
        <f>_xlfn.DISPIMG("ID_A58F796264C64DF7B093814029A2F9F4",1)</f>
        <v>=DISPIMG("ID_A58F796264C64DF7B093814029A2F9F4",1)</v>
      </c>
      <c r="B33" s="15" t="str">
        <f>_xlfn.DISPIMG("ID_2F87B2E5A31B4A7C9CB20AE1A70BC5AC",1)</f>
        <v>=DISPIMG("ID_2F87B2E5A31B4A7C9CB20AE1A70BC5AC",1)</v>
      </c>
      <c r="C33" s="15" t="str">
        <f>_xlfn.DISPIMG("ID_3973321D8AA3430F9FE5976AC57C13F5",1)</f>
        <v>=DISPIMG("ID_3973321D8AA3430F9FE5976AC57C13F5",1)</v>
      </c>
      <c r="D33" s="15" t="str">
        <f>_xlfn.DISPIMG("ID_98E7B56800AE4F06B9524E55A2ED8052",1)</f>
        <v>=DISPIMG("ID_98E7B56800AE4F06B9524E55A2ED8052",1)</v>
      </c>
      <c r="E33" s="15"/>
      <c r="F33" s="16" t="str">
        <f>_xlfn.DISPIMG("ID_DF3F546E7C284827B90BFE82145263CB",1)</f>
        <v>=DISPIMG("ID_DF3F546E7C284827B90BFE82145263CB",1)</v>
      </c>
      <c r="G33" s="606" t="s">
        <v>738</v>
      </c>
      <c r="H33" s="607"/>
      <c r="I33" s="607"/>
      <c r="J33" s="607"/>
      <c r="K33" s="607"/>
      <c r="L33" s="607"/>
      <c r="M33" s="607"/>
      <c r="N33" s="607"/>
      <c r="O33" s="647"/>
      <c r="P33" s="14" t="str">
        <f>_xlfn.DISPIMG("ID_4ABCF0B329B34D059D567DAEFC50D6EF",1)</f>
        <v>=DISPIMG("ID_4ABCF0B329B34D059D567DAEFC50D6EF",1)</v>
      </c>
      <c r="Q33" s="15"/>
      <c r="R33" s="15" t="str">
        <f>_xlfn.DISPIMG("ID_0B0B14C6FC064FA1A4494AE140D77BF1",1)</f>
        <v>=DISPIMG("ID_0B0B14C6FC064FA1A4494AE140D77BF1",1)</v>
      </c>
      <c r="S33" s="15"/>
      <c r="T33" s="15" t="str">
        <f>_xlfn.DISPIMG("ID_1F2D7721EC4D44E6AC93CA1B7F8B2990",1)</f>
        <v>=DISPIMG("ID_1F2D7721EC4D44E6AC93CA1B7F8B2990",1)</v>
      </c>
      <c r="U33" s="15" t="str">
        <f>_xlfn.DISPIMG("ID_0E368EE2B8C14761BC9A0B228F0CC249",1)</f>
        <v>=DISPIMG("ID_0E368EE2B8C14761BC9A0B228F0CC249",1)</v>
      </c>
      <c r="V33" s="15" t="str">
        <f>_xlfn.DISPIMG("ID_70157EC529E04F8DA2AA12E515434047",1)</f>
        <v>=DISPIMG("ID_70157EC529E04F8DA2AA12E515434047",1)</v>
      </c>
      <c r="W33" s="15"/>
      <c r="X33" s="16"/>
    </row>
    <row r="34" ht="21" customHeight="1" spans="1:24">
      <c r="A34" s="342" t="s">
        <v>739</v>
      </c>
      <c r="B34" s="608"/>
      <c r="C34" s="608"/>
      <c r="D34" s="608"/>
      <c r="E34" s="608"/>
      <c r="F34" s="608"/>
      <c r="G34" s="608"/>
      <c r="H34" s="608"/>
      <c r="I34" s="608"/>
      <c r="J34" s="608"/>
      <c r="K34" s="608"/>
      <c r="L34" s="608"/>
      <c r="M34" s="608"/>
      <c r="N34" s="608"/>
      <c r="O34" s="608"/>
      <c r="P34" s="608"/>
      <c r="Q34" s="608"/>
      <c r="R34" s="608"/>
      <c r="S34" s="608"/>
      <c r="T34" s="608"/>
      <c r="U34" s="608"/>
      <c r="V34" s="608"/>
      <c r="W34" s="608"/>
      <c r="X34" s="419"/>
    </row>
    <row r="35" ht="25" customHeight="1" spans="1:24">
      <c r="A35" s="609" t="s">
        <v>740</v>
      </c>
      <c r="B35" s="610"/>
      <c r="C35" s="610"/>
      <c r="D35" s="610"/>
      <c r="E35" s="610"/>
      <c r="F35" s="610"/>
      <c r="G35" s="610"/>
      <c r="H35" s="610"/>
      <c r="I35" s="610"/>
      <c r="J35" s="610"/>
      <c r="K35" s="610"/>
      <c r="L35" s="610"/>
      <c r="M35" s="610"/>
      <c r="N35" s="610"/>
      <c r="O35" s="610"/>
      <c r="P35" s="610"/>
      <c r="Q35" s="610"/>
      <c r="R35" s="610"/>
      <c r="S35" s="610"/>
      <c r="T35" s="610"/>
      <c r="U35" s="610"/>
      <c r="V35" s="610"/>
      <c r="W35" s="610"/>
      <c r="X35" s="672"/>
    </row>
    <row r="36" ht="21" customHeight="1" spans="1:24">
      <c r="A36" s="21" t="s">
        <v>8</v>
      </c>
      <c r="B36" s="22"/>
      <c r="C36" s="23">
        <v>0</v>
      </c>
      <c r="D36" s="24">
        <v>1</v>
      </c>
      <c r="E36" s="24">
        <v>2</v>
      </c>
      <c r="F36" s="24">
        <v>3</v>
      </c>
      <c r="G36" s="24">
        <v>4</v>
      </c>
      <c r="H36" s="24">
        <v>5</v>
      </c>
      <c r="I36" s="24">
        <v>6</v>
      </c>
      <c r="J36" s="24">
        <v>7</v>
      </c>
      <c r="K36" s="135">
        <v>8</v>
      </c>
      <c r="L36" s="136">
        <v>9</v>
      </c>
      <c r="M36" s="137"/>
      <c r="N36" s="138"/>
      <c r="O36" s="139">
        <v>10</v>
      </c>
      <c r="P36" s="140">
        <v>11</v>
      </c>
      <c r="Q36" s="236">
        <v>12</v>
      </c>
      <c r="R36" s="236"/>
      <c r="S36" s="236"/>
      <c r="T36" s="139">
        <v>13</v>
      </c>
      <c r="U36" s="237">
        <v>14</v>
      </c>
      <c r="V36" s="140">
        <v>15</v>
      </c>
      <c r="W36" s="137">
        <v>16</v>
      </c>
      <c r="X36" s="138"/>
    </row>
    <row r="37" ht="21" customHeight="1" spans="1:24">
      <c r="A37" s="25" t="s">
        <v>741</v>
      </c>
      <c r="B37" s="26"/>
      <c r="C37" s="113">
        <v>20</v>
      </c>
      <c r="D37" s="307">
        <v>24</v>
      </c>
      <c r="E37" s="307">
        <v>28</v>
      </c>
      <c r="F37" s="307">
        <v>32</v>
      </c>
      <c r="G37" s="307">
        <v>36</v>
      </c>
      <c r="H37" s="307">
        <v>40</v>
      </c>
      <c r="I37" s="307">
        <v>44</v>
      </c>
      <c r="J37" s="307">
        <v>52</v>
      </c>
      <c r="K37" s="312">
        <v>64</v>
      </c>
      <c r="L37" s="185"/>
      <c r="M37" s="143">
        <v>80</v>
      </c>
      <c r="N37" s="187"/>
      <c r="O37" s="145">
        <v>110</v>
      </c>
      <c r="P37" s="146">
        <v>140</v>
      </c>
      <c r="Q37" s="187"/>
      <c r="R37" s="238">
        <v>170</v>
      </c>
      <c r="S37" s="187"/>
      <c r="T37" s="145">
        <v>200</v>
      </c>
      <c r="U37" s="239">
        <v>230</v>
      </c>
      <c r="V37" s="146">
        <v>260</v>
      </c>
      <c r="W37" s="264"/>
      <c r="X37" s="241">
        <v>290</v>
      </c>
    </row>
    <row r="38" ht="21" customHeight="1" spans="1:24">
      <c r="A38" s="456" t="s">
        <v>742</v>
      </c>
      <c r="B38" s="30"/>
      <c r="C38" s="559">
        <f t="shared" ref="C38:K38" si="3">C37*2</f>
        <v>40</v>
      </c>
      <c r="D38" s="560">
        <f t="shared" si="3"/>
        <v>48</v>
      </c>
      <c r="E38" s="560">
        <f t="shared" si="3"/>
        <v>56</v>
      </c>
      <c r="F38" s="560">
        <f t="shared" si="3"/>
        <v>64</v>
      </c>
      <c r="G38" s="560">
        <f t="shared" si="3"/>
        <v>72</v>
      </c>
      <c r="H38" s="560">
        <f t="shared" si="3"/>
        <v>80</v>
      </c>
      <c r="I38" s="560">
        <f t="shared" si="3"/>
        <v>88</v>
      </c>
      <c r="J38" s="560">
        <f t="shared" si="3"/>
        <v>104</v>
      </c>
      <c r="K38" s="570">
        <f t="shared" si="3"/>
        <v>128</v>
      </c>
      <c r="L38" s="571"/>
      <c r="M38" s="572">
        <f t="shared" ref="M38:P38" si="4">M37*2</f>
        <v>160</v>
      </c>
      <c r="N38" s="573"/>
      <c r="O38" s="151">
        <f t="shared" si="4"/>
        <v>220</v>
      </c>
      <c r="P38" s="152">
        <f t="shared" si="4"/>
        <v>280</v>
      </c>
      <c r="Q38" s="573"/>
      <c r="R38" s="242">
        <f t="shared" ref="R38:V38" si="5">R37*2</f>
        <v>340</v>
      </c>
      <c r="S38" s="573"/>
      <c r="T38" s="151">
        <f t="shared" si="5"/>
        <v>400</v>
      </c>
      <c r="U38" s="243">
        <f t="shared" si="5"/>
        <v>460</v>
      </c>
      <c r="V38" s="152">
        <f t="shared" si="5"/>
        <v>520</v>
      </c>
      <c r="W38" s="583"/>
      <c r="X38" s="245">
        <f>X37*2</f>
        <v>580</v>
      </c>
    </row>
    <row r="39" ht="21" customHeight="1" spans="1:24">
      <c r="A39" s="25" t="s">
        <v>743</v>
      </c>
      <c r="B39" s="26"/>
      <c r="C39" s="113">
        <v>10</v>
      </c>
      <c r="D39" s="307">
        <v>12</v>
      </c>
      <c r="E39" s="307">
        <v>13</v>
      </c>
      <c r="F39" s="307">
        <v>15</v>
      </c>
      <c r="G39" s="307">
        <v>17</v>
      </c>
      <c r="H39" s="307">
        <v>19</v>
      </c>
      <c r="I39" s="307">
        <v>22</v>
      </c>
      <c r="J39" s="312">
        <v>25</v>
      </c>
      <c r="K39" s="312">
        <v>30</v>
      </c>
      <c r="L39" s="185"/>
      <c r="M39" s="143">
        <v>45</v>
      </c>
      <c r="N39" s="187"/>
      <c r="O39" s="145">
        <v>60</v>
      </c>
      <c r="P39" s="146">
        <v>75</v>
      </c>
      <c r="Q39" s="187"/>
      <c r="R39" s="238">
        <v>90</v>
      </c>
      <c r="S39" s="187"/>
      <c r="T39" s="145">
        <v>105</v>
      </c>
      <c r="U39" s="239">
        <v>120</v>
      </c>
      <c r="V39" s="146">
        <v>135</v>
      </c>
      <c r="W39" s="264"/>
      <c r="X39" s="241">
        <v>150</v>
      </c>
    </row>
    <row r="40" ht="21" customHeight="1" spans="1:24">
      <c r="A40" s="456" t="s">
        <v>744</v>
      </c>
      <c r="B40" s="30"/>
      <c r="C40" s="559">
        <f t="shared" ref="C40:K40" si="6">INT(C39*1.3)</f>
        <v>13</v>
      </c>
      <c r="D40" s="560">
        <f t="shared" si="6"/>
        <v>15</v>
      </c>
      <c r="E40" s="560">
        <f t="shared" si="6"/>
        <v>16</v>
      </c>
      <c r="F40" s="560">
        <f t="shared" si="6"/>
        <v>19</v>
      </c>
      <c r="G40" s="560">
        <f t="shared" si="6"/>
        <v>22</v>
      </c>
      <c r="H40" s="560">
        <f t="shared" si="6"/>
        <v>24</v>
      </c>
      <c r="I40" s="560">
        <f t="shared" si="6"/>
        <v>28</v>
      </c>
      <c r="J40" s="560">
        <f t="shared" si="6"/>
        <v>32</v>
      </c>
      <c r="K40" s="570">
        <f t="shared" si="6"/>
        <v>39</v>
      </c>
      <c r="L40" s="571"/>
      <c r="M40" s="572">
        <f t="shared" ref="M40:P40" si="7">INT(M39*1.3)</f>
        <v>58</v>
      </c>
      <c r="N40" s="573"/>
      <c r="O40" s="151">
        <f t="shared" si="7"/>
        <v>78</v>
      </c>
      <c r="P40" s="152">
        <f t="shared" si="7"/>
        <v>97</v>
      </c>
      <c r="Q40" s="573"/>
      <c r="R40" s="242">
        <f t="shared" ref="R40:V40" si="8">INT(R39*1.3)</f>
        <v>117</v>
      </c>
      <c r="S40" s="573"/>
      <c r="T40" s="151">
        <f t="shared" si="8"/>
        <v>136</v>
      </c>
      <c r="U40" s="243">
        <f t="shared" si="8"/>
        <v>156</v>
      </c>
      <c r="V40" s="152">
        <f t="shared" si="8"/>
        <v>175</v>
      </c>
      <c r="W40" s="583"/>
      <c r="X40" s="245">
        <f>INT(X39*1.3)</f>
        <v>195</v>
      </c>
    </row>
    <row r="41" ht="21" customHeight="1" spans="1:24">
      <c r="A41" s="59" t="s">
        <v>18</v>
      </c>
      <c r="B41" s="60"/>
      <c r="C41" s="61">
        <v>0</v>
      </c>
      <c r="D41" s="62">
        <v>1</v>
      </c>
      <c r="E41" s="62">
        <v>2</v>
      </c>
      <c r="F41" s="63">
        <v>3</v>
      </c>
      <c r="G41" s="62">
        <v>4</v>
      </c>
      <c r="H41" s="64">
        <v>5</v>
      </c>
      <c r="I41" s="62">
        <v>6</v>
      </c>
      <c r="J41" s="174">
        <v>7</v>
      </c>
      <c r="K41" s="175">
        <v>8</v>
      </c>
      <c r="L41" s="648" t="s">
        <v>745</v>
      </c>
      <c r="M41" s="574"/>
      <c r="N41" s="574"/>
      <c r="O41" s="574"/>
      <c r="P41" s="574"/>
      <c r="Q41" s="574"/>
      <c r="R41" s="574"/>
      <c r="S41" s="574"/>
      <c r="T41" s="574"/>
      <c r="U41" s="574"/>
      <c r="V41" s="574"/>
      <c r="W41" s="574"/>
      <c r="X41" s="584"/>
    </row>
    <row r="42" ht="21" customHeight="1" spans="1:24">
      <c r="A42" s="25" t="s">
        <v>741</v>
      </c>
      <c r="B42" s="25"/>
      <c r="C42" s="41">
        <v>1.3</v>
      </c>
      <c r="D42" s="42">
        <v>1.25</v>
      </c>
      <c r="E42" s="42">
        <v>1.2</v>
      </c>
      <c r="F42" s="43">
        <v>1.15</v>
      </c>
      <c r="G42" s="42">
        <v>1.1</v>
      </c>
      <c r="H42" s="44">
        <v>1.05</v>
      </c>
      <c r="I42" s="42">
        <v>1</v>
      </c>
      <c r="J42" s="163">
        <v>0.95</v>
      </c>
      <c r="K42" s="164">
        <v>0.9</v>
      </c>
      <c r="L42" s="176" t="s">
        <v>746</v>
      </c>
      <c r="M42" s="177"/>
      <c r="N42" s="177"/>
      <c r="O42" s="177"/>
      <c r="P42" s="177"/>
      <c r="Q42" s="177"/>
      <c r="R42" s="177"/>
      <c r="S42" s="177"/>
      <c r="T42" s="177"/>
      <c r="U42" s="177"/>
      <c r="V42" s="177"/>
      <c r="W42" s="177"/>
      <c r="X42" s="258"/>
    </row>
    <row r="43" ht="21" customHeight="1" spans="1:24">
      <c r="A43" s="65" t="s">
        <v>743</v>
      </c>
      <c r="B43" s="65"/>
      <c r="C43" s="66">
        <v>1.6</v>
      </c>
      <c r="D43" s="67">
        <v>1.55</v>
      </c>
      <c r="E43" s="67">
        <v>1.5</v>
      </c>
      <c r="F43" s="93">
        <v>1.45</v>
      </c>
      <c r="G43" s="67">
        <v>1.4</v>
      </c>
      <c r="H43" s="69">
        <v>1.35</v>
      </c>
      <c r="I43" s="67">
        <v>1.25</v>
      </c>
      <c r="J43" s="178">
        <v>1.15</v>
      </c>
      <c r="K43" s="378">
        <v>1</v>
      </c>
      <c r="L43" s="176" t="s">
        <v>747</v>
      </c>
      <c r="M43" s="177"/>
      <c r="N43" s="177"/>
      <c r="O43" s="177"/>
      <c r="P43" s="177"/>
      <c r="Q43" s="177"/>
      <c r="R43" s="177"/>
      <c r="S43" s="177"/>
      <c r="T43" s="177"/>
      <c r="U43" s="177"/>
      <c r="V43" s="177"/>
      <c r="W43" s="177"/>
      <c r="X43" s="258"/>
    </row>
    <row r="44" ht="25" customHeight="1" spans="1:24">
      <c r="A44" s="609" t="s">
        <v>748</v>
      </c>
      <c r="B44" s="610"/>
      <c r="C44" s="610"/>
      <c r="D44" s="610"/>
      <c r="E44" s="610"/>
      <c r="F44" s="610"/>
      <c r="G44" s="610"/>
      <c r="H44" s="610"/>
      <c r="I44" s="610"/>
      <c r="J44" s="610"/>
      <c r="K44" s="610"/>
      <c r="L44" s="610"/>
      <c r="M44" s="610"/>
      <c r="N44" s="610"/>
      <c r="O44" s="610"/>
      <c r="P44" s="610"/>
      <c r="Q44" s="610"/>
      <c r="R44" s="610"/>
      <c r="S44" s="610"/>
      <c r="T44" s="610"/>
      <c r="U44" s="610"/>
      <c r="V44" s="610"/>
      <c r="W44" s="610"/>
      <c r="X44" s="672"/>
    </row>
    <row r="45" ht="21" customHeight="1" spans="1:24">
      <c r="A45" s="21" t="s">
        <v>8</v>
      </c>
      <c r="B45" s="22"/>
      <c r="C45" s="23">
        <v>0</v>
      </c>
      <c r="D45" s="24">
        <v>1</v>
      </c>
      <c r="E45" s="24">
        <v>2</v>
      </c>
      <c r="F45" s="24">
        <v>3</v>
      </c>
      <c r="G45" s="24">
        <v>4</v>
      </c>
      <c r="H45" s="24">
        <v>5</v>
      </c>
      <c r="I45" s="24">
        <v>6</v>
      </c>
      <c r="J45" s="24">
        <v>7</v>
      </c>
      <c r="K45" s="135">
        <v>8</v>
      </c>
      <c r="L45" s="136">
        <v>9</v>
      </c>
      <c r="M45" s="137"/>
      <c r="N45" s="138"/>
      <c r="O45" s="139">
        <v>10</v>
      </c>
      <c r="P45" s="140">
        <v>11</v>
      </c>
      <c r="Q45" s="236">
        <v>12</v>
      </c>
      <c r="R45" s="236"/>
      <c r="S45" s="236"/>
      <c r="T45" s="139">
        <v>13</v>
      </c>
      <c r="U45" s="237">
        <v>14</v>
      </c>
      <c r="V45" s="140">
        <v>15</v>
      </c>
      <c r="W45" s="137">
        <v>16</v>
      </c>
      <c r="X45" s="138"/>
    </row>
    <row r="46" ht="21" customHeight="1" spans="1:24">
      <c r="A46" s="25" t="s">
        <v>749</v>
      </c>
      <c r="B46" s="26"/>
      <c r="C46" s="87">
        <v>10</v>
      </c>
      <c r="D46" s="88">
        <v>12</v>
      </c>
      <c r="E46" s="88">
        <v>14</v>
      </c>
      <c r="F46" s="88">
        <v>16</v>
      </c>
      <c r="G46" s="88">
        <v>18</v>
      </c>
      <c r="H46" s="88">
        <v>20</v>
      </c>
      <c r="I46" s="88">
        <v>22</v>
      </c>
      <c r="J46" s="88">
        <v>26</v>
      </c>
      <c r="K46" s="199">
        <v>32</v>
      </c>
      <c r="L46" s="217"/>
      <c r="M46" s="218">
        <v>40</v>
      </c>
      <c r="N46" s="219"/>
      <c r="O46" s="203">
        <v>55</v>
      </c>
      <c r="P46" s="204">
        <v>70</v>
      </c>
      <c r="Q46" s="219"/>
      <c r="R46" s="272">
        <v>85</v>
      </c>
      <c r="S46" s="219"/>
      <c r="T46" s="203">
        <v>100</v>
      </c>
      <c r="U46" s="273">
        <v>115</v>
      </c>
      <c r="V46" s="204">
        <v>130</v>
      </c>
      <c r="W46" s="295"/>
      <c r="X46" s="275">
        <v>150</v>
      </c>
    </row>
    <row r="47" ht="21" customHeight="1" spans="1:24">
      <c r="A47" s="456" t="s">
        <v>750</v>
      </c>
      <c r="B47" s="30"/>
      <c r="C47" s="559">
        <f t="shared" ref="C47:Z47" si="9">INT(C46*1.35)</f>
        <v>13</v>
      </c>
      <c r="D47" s="560">
        <f t="shared" si="9"/>
        <v>16</v>
      </c>
      <c r="E47" s="560">
        <f t="shared" si="9"/>
        <v>18</v>
      </c>
      <c r="F47" s="560">
        <f t="shared" si="9"/>
        <v>21</v>
      </c>
      <c r="G47" s="560">
        <f t="shared" si="9"/>
        <v>24</v>
      </c>
      <c r="H47" s="560">
        <f t="shared" si="9"/>
        <v>27</v>
      </c>
      <c r="I47" s="560">
        <f t="shared" si="9"/>
        <v>29</v>
      </c>
      <c r="J47" s="560">
        <f t="shared" si="9"/>
        <v>35</v>
      </c>
      <c r="K47" s="570">
        <f t="shared" si="9"/>
        <v>43</v>
      </c>
      <c r="L47" s="649">
        <f t="shared" si="9"/>
        <v>0</v>
      </c>
      <c r="M47" s="149">
        <f t="shared" si="9"/>
        <v>54</v>
      </c>
      <c r="N47" s="650">
        <f t="shared" si="9"/>
        <v>0</v>
      </c>
      <c r="O47" s="151">
        <f t="shared" si="9"/>
        <v>74</v>
      </c>
      <c r="P47" s="152">
        <f t="shared" si="9"/>
        <v>94</v>
      </c>
      <c r="Q47" s="650">
        <f t="shared" si="9"/>
        <v>0</v>
      </c>
      <c r="R47" s="242">
        <f t="shared" si="9"/>
        <v>114</v>
      </c>
      <c r="S47" s="650">
        <f t="shared" si="9"/>
        <v>0</v>
      </c>
      <c r="T47" s="151">
        <f t="shared" si="9"/>
        <v>135</v>
      </c>
      <c r="U47" s="243">
        <f t="shared" si="9"/>
        <v>155</v>
      </c>
      <c r="V47" s="152">
        <f t="shared" si="9"/>
        <v>175</v>
      </c>
      <c r="W47" s="673">
        <f t="shared" si="9"/>
        <v>0</v>
      </c>
      <c r="X47" s="245">
        <f t="shared" si="9"/>
        <v>202</v>
      </c>
    </row>
    <row r="48" ht="21" customHeight="1" spans="1:24">
      <c r="A48" s="25" t="s">
        <v>751</v>
      </c>
      <c r="B48" s="26"/>
      <c r="C48" s="113">
        <v>10</v>
      </c>
      <c r="D48" s="307">
        <v>12</v>
      </c>
      <c r="E48" s="307">
        <v>14</v>
      </c>
      <c r="F48" s="307">
        <v>16</v>
      </c>
      <c r="G48" s="307">
        <v>18</v>
      </c>
      <c r="H48" s="307">
        <v>20</v>
      </c>
      <c r="I48" s="307">
        <v>22</v>
      </c>
      <c r="J48" s="307">
        <v>26</v>
      </c>
      <c r="K48" s="312">
        <v>32</v>
      </c>
      <c r="L48" s="185"/>
      <c r="M48" s="143">
        <v>40</v>
      </c>
      <c r="N48" s="187"/>
      <c r="O48" s="145">
        <v>55</v>
      </c>
      <c r="P48" s="146">
        <v>70</v>
      </c>
      <c r="Q48" s="187"/>
      <c r="R48" s="238">
        <v>85</v>
      </c>
      <c r="S48" s="187"/>
      <c r="T48" s="145">
        <v>100</v>
      </c>
      <c r="U48" s="239">
        <v>115</v>
      </c>
      <c r="V48" s="146">
        <v>130</v>
      </c>
      <c r="W48" s="264"/>
      <c r="X48" s="241">
        <v>145</v>
      </c>
    </row>
    <row r="49" ht="21" customHeight="1" spans="1:24">
      <c r="A49" s="456" t="s">
        <v>752</v>
      </c>
      <c r="B49" s="30"/>
      <c r="C49" s="559">
        <v>14</v>
      </c>
      <c r="D49" s="560">
        <v>19</v>
      </c>
      <c r="E49" s="560">
        <v>23</v>
      </c>
      <c r="F49" s="560">
        <v>26</v>
      </c>
      <c r="G49" s="560">
        <v>29</v>
      </c>
      <c r="H49" s="560">
        <v>33</v>
      </c>
      <c r="I49" s="560">
        <v>36</v>
      </c>
      <c r="J49" s="560">
        <v>42</v>
      </c>
      <c r="K49" s="570">
        <v>53</v>
      </c>
      <c r="L49" s="571"/>
      <c r="M49" s="572">
        <v>67</v>
      </c>
      <c r="N49" s="573"/>
      <c r="O49" s="151">
        <v>92</v>
      </c>
      <c r="P49" s="152">
        <v>118</v>
      </c>
      <c r="Q49" s="573"/>
      <c r="R49" s="242">
        <v>143</v>
      </c>
      <c r="S49" s="573"/>
      <c r="T49" s="151">
        <v>169</v>
      </c>
      <c r="U49" s="243">
        <v>193</v>
      </c>
      <c r="V49" s="152">
        <v>219</v>
      </c>
      <c r="W49" s="583"/>
      <c r="X49" s="245">
        <v>244</v>
      </c>
    </row>
    <row r="50" ht="21" customHeight="1" spans="1:24">
      <c r="A50" s="25" t="s">
        <v>753</v>
      </c>
      <c r="B50" s="26"/>
      <c r="C50" s="113">
        <v>35</v>
      </c>
      <c r="D50" s="307">
        <v>40</v>
      </c>
      <c r="E50" s="307">
        <v>45</v>
      </c>
      <c r="F50" s="307">
        <v>50</v>
      </c>
      <c r="G50" s="307">
        <v>55</v>
      </c>
      <c r="H50" s="307">
        <v>60</v>
      </c>
      <c r="I50" s="307">
        <v>70</v>
      </c>
      <c r="J50" s="307">
        <v>80</v>
      </c>
      <c r="K50" s="312">
        <v>100</v>
      </c>
      <c r="L50" s="185"/>
      <c r="M50" s="143">
        <v>120</v>
      </c>
      <c r="N50" s="187"/>
      <c r="O50" s="145">
        <v>170</v>
      </c>
      <c r="P50" s="146">
        <v>220</v>
      </c>
      <c r="Q50" s="187"/>
      <c r="R50" s="238">
        <v>270</v>
      </c>
      <c r="S50" s="187"/>
      <c r="T50" s="145">
        <v>320</v>
      </c>
      <c r="U50" s="239">
        <v>370</v>
      </c>
      <c r="V50" s="146">
        <v>420</v>
      </c>
      <c r="W50" s="264"/>
      <c r="X50" s="241">
        <v>470</v>
      </c>
    </row>
    <row r="51" ht="21" customHeight="1" spans="1:24">
      <c r="A51" s="611" t="s">
        <v>754</v>
      </c>
      <c r="B51" s="612"/>
      <c r="C51" s="613">
        <v>46</v>
      </c>
      <c r="D51" s="614">
        <v>54</v>
      </c>
      <c r="E51" s="614">
        <v>62</v>
      </c>
      <c r="F51" s="614">
        <v>70</v>
      </c>
      <c r="G51" s="614">
        <v>78</v>
      </c>
      <c r="H51" s="614">
        <v>86</v>
      </c>
      <c r="I51" s="614">
        <v>94</v>
      </c>
      <c r="J51" s="614">
        <v>109</v>
      </c>
      <c r="K51" s="651">
        <v>130</v>
      </c>
      <c r="L51" s="652"/>
      <c r="M51" s="653">
        <v>170</v>
      </c>
      <c r="N51" s="654"/>
      <c r="O51" s="655">
        <v>230</v>
      </c>
      <c r="P51" s="656">
        <v>300</v>
      </c>
      <c r="Q51" s="654"/>
      <c r="R51" s="674">
        <v>370</v>
      </c>
      <c r="S51" s="654"/>
      <c r="T51" s="655">
        <v>450</v>
      </c>
      <c r="U51" s="675">
        <v>580</v>
      </c>
      <c r="V51" s="656">
        <v>710</v>
      </c>
      <c r="W51" s="676"/>
      <c r="X51" s="677">
        <v>830</v>
      </c>
    </row>
    <row r="52" ht="21" customHeight="1" spans="1:24">
      <c r="A52" s="615" t="s">
        <v>755</v>
      </c>
      <c r="B52" s="26"/>
      <c r="C52" s="113">
        <f t="shared" ref="C52:K52" si="10">INT(C51*1.15)</f>
        <v>52</v>
      </c>
      <c r="D52" s="307">
        <f t="shared" si="10"/>
        <v>62</v>
      </c>
      <c r="E52" s="307">
        <f t="shared" si="10"/>
        <v>71</v>
      </c>
      <c r="F52" s="307">
        <f t="shared" si="10"/>
        <v>80</v>
      </c>
      <c r="G52" s="307">
        <f t="shared" si="10"/>
        <v>89</v>
      </c>
      <c r="H52" s="307">
        <f t="shared" si="10"/>
        <v>98</v>
      </c>
      <c r="I52" s="307">
        <f t="shared" si="10"/>
        <v>108</v>
      </c>
      <c r="J52" s="307">
        <f t="shared" si="10"/>
        <v>125</v>
      </c>
      <c r="K52" s="312">
        <f t="shared" si="10"/>
        <v>149</v>
      </c>
      <c r="L52" s="154"/>
      <c r="M52" s="155">
        <f t="shared" ref="M52:P52" si="11">INT(M51*1.15)</f>
        <v>195</v>
      </c>
      <c r="N52" s="156"/>
      <c r="O52" s="145">
        <f t="shared" si="11"/>
        <v>264</v>
      </c>
      <c r="P52" s="146">
        <f t="shared" si="11"/>
        <v>345</v>
      </c>
      <c r="Q52" s="156"/>
      <c r="R52" s="238">
        <f t="shared" ref="R52:V52" si="12">INT(R51*1.15)</f>
        <v>425</v>
      </c>
      <c r="S52" s="156"/>
      <c r="T52" s="145">
        <f t="shared" si="12"/>
        <v>517</v>
      </c>
      <c r="U52" s="239">
        <f t="shared" si="12"/>
        <v>667</v>
      </c>
      <c r="V52" s="146">
        <f t="shared" si="12"/>
        <v>816</v>
      </c>
      <c r="W52" s="246"/>
      <c r="X52" s="241">
        <f>INT(X51*1.15)</f>
        <v>954</v>
      </c>
    </row>
    <row r="53" ht="21" customHeight="1" spans="1:24">
      <c r="A53" s="79" t="s">
        <v>756</v>
      </c>
      <c r="B53" s="616"/>
      <c r="C53" s="81">
        <v>55</v>
      </c>
      <c r="D53" s="82">
        <v>65</v>
      </c>
      <c r="E53" s="82">
        <v>75</v>
      </c>
      <c r="F53" s="82">
        <v>85</v>
      </c>
      <c r="G53" s="82">
        <v>95</v>
      </c>
      <c r="H53" s="82">
        <v>105</v>
      </c>
      <c r="I53" s="82">
        <v>115</v>
      </c>
      <c r="J53" s="82">
        <v>125</v>
      </c>
      <c r="K53" s="190">
        <v>155</v>
      </c>
      <c r="L53" s="191"/>
      <c r="M53" s="192">
        <v>205</v>
      </c>
      <c r="N53" s="193"/>
      <c r="O53" s="194">
        <v>280</v>
      </c>
      <c r="P53" s="195">
        <v>360</v>
      </c>
      <c r="Q53" s="193"/>
      <c r="R53" s="266">
        <v>440</v>
      </c>
      <c r="S53" s="193"/>
      <c r="T53" s="194">
        <v>540</v>
      </c>
      <c r="U53" s="267">
        <v>690</v>
      </c>
      <c r="V53" s="195">
        <v>840</v>
      </c>
      <c r="W53" s="268"/>
      <c r="X53" s="269">
        <v>990</v>
      </c>
    </row>
    <row r="54" ht="21" customHeight="1" spans="1:24">
      <c r="A54" s="615" t="s">
        <v>757</v>
      </c>
      <c r="B54" s="26"/>
      <c r="C54" s="87">
        <v>68</v>
      </c>
      <c r="D54" s="88">
        <v>81</v>
      </c>
      <c r="E54" s="88">
        <v>93</v>
      </c>
      <c r="F54" s="88">
        <v>106</v>
      </c>
      <c r="G54" s="88">
        <v>118</v>
      </c>
      <c r="H54" s="88">
        <v>131</v>
      </c>
      <c r="I54" s="88">
        <v>143</v>
      </c>
      <c r="J54" s="88">
        <v>156</v>
      </c>
      <c r="K54" s="199">
        <v>193</v>
      </c>
      <c r="L54" s="200"/>
      <c r="M54" s="201">
        <v>256</v>
      </c>
      <c r="N54" s="202"/>
      <c r="O54" s="203">
        <v>350</v>
      </c>
      <c r="P54" s="204">
        <v>450</v>
      </c>
      <c r="Q54" s="202"/>
      <c r="R54" s="272">
        <v>550</v>
      </c>
      <c r="S54" s="202"/>
      <c r="T54" s="203">
        <v>675</v>
      </c>
      <c r="U54" s="273">
        <v>862</v>
      </c>
      <c r="V54" s="204">
        <v>1050</v>
      </c>
      <c r="W54" s="274"/>
      <c r="X54" s="275">
        <v>1237</v>
      </c>
    </row>
    <row r="55" ht="21" customHeight="1" spans="1:24">
      <c r="A55" s="59" t="s">
        <v>18</v>
      </c>
      <c r="B55" s="60"/>
      <c r="C55" s="61">
        <v>0</v>
      </c>
      <c r="D55" s="62">
        <v>1</v>
      </c>
      <c r="E55" s="62">
        <v>2</v>
      </c>
      <c r="F55" s="63">
        <v>3</v>
      </c>
      <c r="G55" s="62">
        <v>4</v>
      </c>
      <c r="H55" s="64">
        <v>5</v>
      </c>
      <c r="I55" s="62">
        <v>6</v>
      </c>
      <c r="J55" s="174">
        <v>7</v>
      </c>
      <c r="K55" s="626">
        <v>8</v>
      </c>
      <c r="L55" s="550" t="s">
        <v>758</v>
      </c>
      <c r="M55" s="657"/>
      <c r="N55" s="657"/>
      <c r="O55" s="657"/>
      <c r="P55" s="657"/>
      <c r="Q55" s="657"/>
      <c r="R55" s="657"/>
      <c r="S55" s="657"/>
      <c r="T55" s="657"/>
      <c r="U55" s="657"/>
      <c r="V55" s="657"/>
      <c r="W55" s="657"/>
      <c r="X55" s="678"/>
    </row>
    <row r="56" ht="21" customHeight="1" spans="1:24">
      <c r="A56" s="25" t="s">
        <v>749</v>
      </c>
      <c r="B56" s="25"/>
      <c r="C56" s="41">
        <v>1.8</v>
      </c>
      <c r="D56" s="42">
        <v>1.75</v>
      </c>
      <c r="E56" s="42">
        <v>1.7</v>
      </c>
      <c r="F56" s="43">
        <v>1.65</v>
      </c>
      <c r="G56" s="42">
        <v>1.6</v>
      </c>
      <c r="H56" s="44">
        <v>1.55</v>
      </c>
      <c r="I56" s="42">
        <v>1.5</v>
      </c>
      <c r="J56" s="163">
        <v>1.4</v>
      </c>
      <c r="K56" s="575">
        <v>1.3</v>
      </c>
      <c r="L56" s="550" t="s">
        <v>759</v>
      </c>
      <c r="M56" s="657"/>
      <c r="N56" s="657"/>
      <c r="O56" s="657"/>
      <c r="P56" s="657"/>
      <c r="Q56" s="657"/>
      <c r="R56" s="657"/>
      <c r="S56" s="657"/>
      <c r="T56" s="657"/>
      <c r="U56" s="657"/>
      <c r="V56" s="657"/>
      <c r="W56" s="657"/>
      <c r="X56" s="678"/>
    </row>
    <row r="57" ht="21" customHeight="1" spans="1:24">
      <c r="A57" s="65" t="s">
        <v>751</v>
      </c>
      <c r="B57" s="65"/>
      <c r="C57" s="66">
        <v>1.3</v>
      </c>
      <c r="D57" s="67">
        <v>1.25</v>
      </c>
      <c r="E57" s="67">
        <v>1.2</v>
      </c>
      <c r="F57" s="93">
        <v>1.15</v>
      </c>
      <c r="G57" s="67">
        <v>1.1</v>
      </c>
      <c r="H57" s="69">
        <v>1.05</v>
      </c>
      <c r="I57" s="67">
        <v>1</v>
      </c>
      <c r="J57" s="178">
        <v>0.95</v>
      </c>
      <c r="K57" s="179">
        <v>0.9</v>
      </c>
      <c r="L57" s="550" t="s">
        <v>760</v>
      </c>
      <c r="M57" s="657"/>
      <c r="N57" s="657"/>
      <c r="O57" s="657"/>
      <c r="P57" s="657"/>
      <c r="Q57" s="657"/>
      <c r="R57" s="657"/>
      <c r="S57" s="657"/>
      <c r="T57" s="657"/>
      <c r="U57" s="657"/>
      <c r="V57" s="657"/>
      <c r="W57" s="657"/>
      <c r="X57" s="678"/>
    </row>
    <row r="58" ht="21" customHeight="1" spans="1:24">
      <c r="A58" s="25" t="s">
        <v>753</v>
      </c>
      <c r="B58" s="25"/>
      <c r="C58" s="89">
        <v>1.6</v>
      </c>
      <c r="D58" s="90">
        <v>1.55</v>
      </c>
      <c r="E58" s="90">
        <v>1.5</v>
      </c>
      <c r="F58" s="91">
        <v>1.45</v>
      </c>
      <c r="G58" s="90">
        <v>1.4</v>
      </c>
      <c r="H58" s="92">
        <v>1.35</v>
      </c>
      <c r="I58" s="90">
        <v>1.25</v>
      </c>
      <c r="J58" s="206">
        <v>1.15</v>
      </c>
      <c r="K58" s="658">
        <v>1</v>
      </c>
      <c r="L58" s="550" t="s">
        <v>761</v>
      </c>
      <c r="M58" s="657"/>
      <c r="N58" s="657"/>
      <c r="O58" s="657"/>
      <c r="P58" s="657"/>
      <c r="Q58" s="657"/>
      <c r="R58" s="657"/>
      <c r="S58" s="657"/>
      <c r="T58" s="657"/>
      <c r="U58" s="657"/>
      <c r="V58" s="657"/>
      <c r="W58" s="657"/>
      <c r="X58" s="678"/>
    </row>
    <row r="59" ht="21" customHeight="1" spans="1:24">
      <c r="A59" s="617" t="s">
        <v>754</v>
      </c>
      <c r="B59" s="617"/>
      <c r="C59" s="618">
        <v>1.3</v>
      </c>
      <c r="D59" s="619">
        <v>1.25</v>
      </c>
      <c r="E59" s="619">
        <v>1.2</v>
      </c>
      <c r="F59" s="620">
        <v>1.15</v>
      </c>
      <c r="G59" s="619">
        <v>1.1</v>
      </c>
      <c r="H59" s="621">
        <v>1.05</v>
      </c>
      <c r="I59" s="619">
        <v>1</v>
      </c>
      <c r="J59" s="659">
        <v>0.9</v>
      </c>
      <c r="K59" s="660">
        <v>0.8</v>
      </c>
      <c r="L59" s="550" t="s">
        <v>762</v>
      </c>
      <c r="M59" s="657"/>
      <c r="N59" s="657"/>
      <c r="O59" s="657"/>
      <c r="P59" s="657"/>
      <c r="Q59" s="657"/>
      <c r="R59" s="657"/>
      <c r="S59" s="657"/>
      <c r="T59" s="657"/>
      <c r="U59" s="657"/>
      <c r="V59" s="657"/>
      <c r="W59" s="657"/>
      <c r="X59" s="678"/>
    </row>
    <row r="60" ht="21" customHeight="1" spans="1:24">
      <c r="A60" s="25" t="s">
        <v>756</v>
      </c>
      <c r="B60" s="25"/>
      <c r="C60" s="89">
        <v>1.3</v>
      </c>
      <c r="D60" s="90">
        <v>1.25</v>
      </c>
      <c r="E60" s="90">
        <v>1.2</v>
      </c>
      <c r="F60" s="91">
        <v>1.15</v>
      </c>
      <c r="G60" s="90">
        <v>1.1</v>
      </c>
      <c r="H60" s="92">
        <v>1.05</v>
      </c>
      <c r="I60" s="90">
        <v>1</v>
      </c>
      <c r="J60" s="206">
        <v>0.9</v>
      </c>
      <c r="K60" s="658">
        <v>0.8</v>
      </c>
      <c r="L60" s="550" t="s">
        <v>763</v>
      </c>
      <c r="M60" s="657"/>
      <c r="N60" s="657"/>
      <c r="O60" s="657"/>
      <c r="P60" s="657"/>
      <c r="Q60" s="657"/>
      <c r="R60" s="657"/>
      <c r="S60" s="657"/>
      <c r="T60" s="657"/>
      <c r="U60" s="657"/>
      <c r="V60" s="657"/>
      <c r="W60" s="657"/>
      <c r="X60" s="678"/>
    </row>
    <row r="61" ht="21" customHeight="1" spans="1:24">
      <c r="A61" s="622" t="s">
        <v>764</v>
      </c>
      <c r="B61" s="622"/>
      <c r="C61" s="622"/>
      <c r="D61" s="622"/>
      <c r="E61" s="622"/>
      <c r="F61" s="622"/>
      <c r="G61" s="622"/>
      <c r="H61" s="622"/>
      <c r="I61" s="622"/>
      <c r="J61" s="622"/>
      <c r="K61" s="622"/>
      <c r="L61" s="622"/>
      <c r="M61" s="622"/>
      <c r="N61" s="622"/>
      <c r="O61" s="622"/>
      <c r="P61" s="622"/>
      <c r="Q61" s="622"/>
      <c r="R61" s="622"/>
      <c r="S61" s="622"/>
      <c r="T61" s="622"/>
      <c r="U61" s="622"/>
      <c r="V61" s="622"/>
      <c r="W61" s="622"/>
      <c r="X61" s="622"/>
    </row>
    <row r="62" ht="21" customHeight="1" spans="1:24">
      <c r="A62" s="79" t="s">
        <v>765</v>
      </c>
      <c r="B62" s="80"/>
      <c r="C62" s="81">
        <f t="shared" ref="C62:K62" si="13">INT(C51*1.15)</f>
        <v>52</v>
      </c>
      <c r="D62" s="82">
        <f t="shared" si="13"/>
        <v>62</v>
      </c>
      <c r="E62" s="82">
        <f t="shared" si="13"/>
        <v>71</v>
      </c>
      <c r="F62" s="82">
        <f t="shared" si="13"/>
        <v>80</v>
      </c>
      <c r="G62" s="82">
        <f t="shared" si="13"/>
        <v>89</v>
      </c>
      <c r="H62" s="82">
        <f t="shared" si="13"/>
        <v>98</v>
      </c>
      <c r="I62" s="82">
        <f t="shared" si="13"/>
        <v>108</v>
      </c>
      <c r="J62" s="82">
        <f t="shared" si="13"/>
        <v>125</v>
      </c>
      <c r="K62" s="190">
        <f t="shared" si="13"/>
        <v>149</v>
      </c>
      <c r="L62" s="191"/>
      <c r="M62" s="192">
        <f t="shared" ref="M62:P62" si="14">INT(M51*1.15)</f>
        <v>195</v>
      </c>
      <c r="N62" s="193"/>
      <c r="O62" s="194">
        <f t="shared" si="14"/>
        <v>264</v>
      </c>
      <c r="P62" s="195">
        <f t="shared" si="14"/>
        <v>345</v>
      </c>
      <c r="Q62" s="193"/>
      <c r="R62" s="266">
        <f t="shared" ref="R62:V62" si="15">INT(R51*1.15)</f>
        <v>425</v>
      </c>
      <c r="S62" s="193"/>
      <c r="T62" s="194">
        <f t="shared" si="15"/>
        <v>517</v>
      </c>
      <c r="U62" s="267">
        <f t="shared" si="15"/>
        <v>667</v>
      </c>
      <c r="V62" s="195">
        <f t="shared" si="15"/>
        <v>816</v>
      </c>
      <c r="W62" s="268"/>
      <c r="X62" s="269">
        <f>INT(X51*1.15)</f>
        <v>954</v>
      </c>
    </row>
    <row r="63" ht="21" customHeight="1" spans="1:24">
      <c r="A63" s="623" t="s">
        <v>766</v>
      </c>
      <c r="B63" s="123"/>
      <c r="C63" s="87">
        <f t="shared" ref="C63:K63" si="16">INT(C52*1.15)</f>
        <v>59</v>
      </c>
      <c r="D63" s="88">
        <f t="shared" si="16"/>
        <v>71</v>
      </c>
      <c r="E63" s="88">
        <f t="shared" si="16"/>
        <v>81</v>
      </c>
      <c r="F63" s="88">
        <f t="shared" si="16"/>
        <v>92</v>
      </c>
      <c r="G63" s="88">
        <f t="shared" si="16"/>
        <v>102</v>
      </c>
      <c r="H63" s="88">
        <f t="shared" si="16"/>
        <v>112</v>
      </c>
      <c r="I63" s="88">
        <f t="shared" si="16"/>
        <v>124</v>
      </c>
      <c r="J63" s="88">
        <f t="shared" si="16"/>
        <v>143</v>
      </c>
      <c r="K63" s="199">
        <f t="shared" si="16"/>
        <v>171</v>
      </c>
      <c r="L63" s="200"/>
      <c r="M63" s="201">
        <f t="shared" ref="M63:P63" si="17">INT(M52*1.15)</f>
        <v>224</v>
      </c>
      <c r="N63" s="202"/>
      <c r="O63" s="203">
        <f t="shared" si="17"/>
        <v>303</v>
      </c>
      <c r="P63" s="204">
        <f t="shared" si="17"/>
        <v>396</v>
      </c>
      <c r="Q63" s="202"/>
      <c r="R63" s="272">
        <f t="shared" ref="R63:V63" si="18">INT(R52*1.15)</f>
        <v>488</v>
      </c>
      <c r="S63" s="202"/>
      <c r="T63" s="203">
        <f t="shared" si="18"/>
        <v>594</v>
      </c>
      <c r="U63" s="273">
        <f t="shared" si="18"/>
        <v>767</v>
      </c>
      <c r="V63" s="204">
        <f t="shared" si="18"/>
        <v>938</v>
      </c>
      <c r="W63" s="274"/>
      <c r="X63" s="275">
        <f>INT(X52*1.15)</f>
        <v>1097</v>
      </c>
    </row>
    <row r="64" ht="21" customHeight="1" spans="1:24">
      <c r="A64" s="455" t="s">
        <v>767</v>
      </c>
      <c r="B64" s="548"/>
      <c r="C64" s="548"/>
      <c r="D64" s="548"/>
      <c r="E64" s="548"/>
      <c r="F64" s="548"/>
      <c r="G64" s="548"/>
      <c r="H64" s="548"/>
      <c r="I64" s="548"/>
      <c r="J64" s="548"/>
      <c r="K64" s="548"/>
      <c r="L64" s="548"/>
      <c r="M64" s="548"/>
      <c r="N64" s="548"/>
      <c r="O64" s="548"/>
      <c r="P64" s="548"/>
      <c r="Q64" s="548"/>
      <c r="R64" s="548"/>
      <c r="S64" s="548"/>
      <c r="T64" s="548"/>
      <c r="U64" s="548"/>
      <c r="V64" s="548"/>
      <c r="W64" s="548"/>
      <c r="X64" s="548"/>
    </row>
    <row r="65" ht="25" customHeight="1" spans="1:24">
      <c r="A65" s="609" t="s">
        <v>768</v>
      </c>
      <c r="B65" s="610"/>
      <c r="C65" s="610"/>
      <c r="D65" s="610"/>
      <c r="E65" s="610"/>
      <c r="F65" s="610"/>
      <c r="G65" s="610"/>
      <c r="H65" s="610"/>
      <c r="I65" s="610"/>
      <c r="J65" s="610"/>
      <c r="K65" s="610"/>
      <c r="L65" s="610"/>
      <c r="M65" s="610"/>
      <c r="N65" s="610"/>
      <c r="O65" s="610"/>
      <c r="P65" s="610"/>
      <c r="Q65" s="610"/>
      <c r="R65" s="610"/>
      <c r="S65" s="610"/>
      <c r="T65" s="610"/>
      <c r="U65" s="610"/>
      <c r="V65" s="610"/>
      <c r="W65" s="610"/>
      <c r="X65" s="672"/>
    </row>
    <row r="66" ht="21" customHeight="1" spans="1:24">
      <c r="A66" s="21" t="s">
        <v>8</v>
      </c>
      <c r="B66" s="22"/>
      <c r="C66" s="23">
        <v>0</v>
      </c>
      <c r="D66" s="24">
        <v>1</v>
      </c>
      <c r="E66" s="24">
        <v>2</v>
      </c>
      <c r="F66" s="24">
        <v>3</v>
      </c>
      <c r="G66" s="24">
        <v>4</v>
      </c>
      <c r="H66" s="24">
        <v>5</v>
      </c>
      <c r="I66" s="24">
        <v>6</v>
      </c>
      <c r="J66" s="24">
        <v>7</v>
      </c>
      <c r="K66" s="135">
        <v>8</v>
      </c>
      <c r="L66" s="136">
        <v>9</v>
      </c>
      <c r="M66" s="137"/>
      <c r="N66" s="138"/>
      <c r="O66" s="139">
        <v>10</v>
      </c>
      <c r="P66" s="140">
        <v>11</v>
      </c>
      <c r="Q66" s="236">
        <v>12</v>
      </c>
      <c r="R66" s="236"/>
      <c r="S66" s="236"/>
      <c r="T66" s="139">
        <v>13</v>
      </c>
      <c r="U66" s="237">
        <v>14</v>
      </c>
      <c r="V66" s="140">
        <v>15</v>
      </c>
      <c r="W66" s="137">
        <v>16</v>
      </c>
      <c r="X66" s="138"/>
    </row>
    <row r="67" ht="21" customHeight="1" spans="1:24">
      <c r="A67" s="73" t="s">
        <v>769</v>
      </c>
      <c r="B67" s="74"/>
      <c r="C67" s="75">
        <v>40</v>
      </c>
      <c r="D67" s="76">
        <v>50</v>
      </c>
      <c r="E67" s="76">
        <v>60</v>
      </c>
      <c r="F67" s="76">
        <v>70</v>
      </c>
      <c r="G67" s="76">
        <v>80</v>
      </c>
      <c r="H67" s="76">
        <v>90</v>
      </c>
      <c r="I67" s="76">
        <v>100</v>
      </c>
      <c r="J67" s="76">
        <v>110</v>
      </c>
      <c r="K67" s="182">
        <v>120</v>
      </c>
      <c r="L67" s="183"/>
      <c r="M67" s="159">
        <v>130</v>
      </c>
      <c r="N67" s="184"/>
      <c r="O67" s="161">
        <v>160</v>
      </c>
      <c r="P67" s="162">
        <v>190</v>
      </c>
      <c r="Q67" s="184"/>
      <c r="R67" s="247">
        <v>220</v>
      </c>
      <c r="S67" s="184"/>
      <c r="T67" s="161">
        <v>250</v>
      </c>
      <c r="U67" s="248">
        <v>280</v>
      </c>
      <c r="V67" s="162">
        <v>310</v>
      </c>
      <c r="W67" s="261"/>
      <c r="X67" s="250">
        <v>340</v>
      </c>
    </row>
    <row r="68" ht="21" customHeight="1" spans="1:24">
      <c r="A68" s="25" t="s">
        <v>770</v>
      </c>
      <c r="B68" s="26"/>
      <c r="C68" s="113">
        <v>50</v>
      </c>
      <c r="D68" s="307">
        <v>60</v>
      </c>
      <c r="E68" s="307">
        <v>70</v>
      </c>
      <c r="F68" s="307">
        <v>80</v>
      </c>
      <c r="G68" s="307">
        <v>90</v>
      </c>
      <c r="H68" s="307">
        <v>100</v>
      </c>
      <c r="I68" s="307">
        <v>110</v>
      </c>
      <c r="J68" s="307">
        <v>120</v>
      </c>
      <c r="K68" s="312">
        <v>130</v>
      </c>
      <c r="L68" s="154"/>
      <c r="M68" s="468">
        <v>150</v>
      </c>
      <c r="N68" s="156"/>
      <c r="O68" s="188">
        <v>180</v>
      </c>
      <c r="P68" s="189">
        <v>210</v>
      </c>
      <c r="Q68" s="156"/>
      <c r="R68" s="262">
        <v>240</v>
      </c>
      <c r="S68" s="156"/>
      <c r="T68" s="188">
        <v>280</v>
      </c>
      <c r="U68" s="263">
        <v>330</v>
      </c>
      <c r="V68" s="189">
        <v>380</v>
      </c>
      <c r="W68" s="246"/>
      <c r="X68" s="418">
        <v>450</v>
      </c>
    </row>
    <row r="69" ht="21" customHeight="1" spans="1:24">
      <c r="A69" s="59" t="s">
        <v>18</v>
      </c>
      <c r="B69" s="60"/>
      <c r="C69" s="61">
        <v>0</v>
      </c>
      <c r="D69" s="62">
        <v>1</v>
      </c>
      <c r="E69" s="62">
        <v>2</v>
      </c>
      <c r="F69" s="63">
        <v>3</v>
      </c>
      <c r="G69" s="62">
        <v>4</v>
      </c>
      <c r="H69" s="64">
        <v>5</v>
      </c>
      <c r="I69" s="62">
        <v>6</v>
      </c>
      <c r="J69" s="174">
        <v>7</v>
      </c>
      <c r="K69" s="626">
        <v>8</v>
      </c>
      <c r="L69" s="123" t="s">
        <v>771</v>
      </c>
      <c r="M69" s="333"/>
      <c r="N69" s="333"/>
      <c r="O69" s="333"/>
      <c r="P69" s="333"/>
      <c r="Q69" s="333"/>
      <c r="R69" s="333"/>
      <c r="S69" s="333"/>
      <c r="T69" s="333"/>
      <c r="U69" s="333"/>
      <c r="V69" s="333"/>
      <c r="W69" s="333"/>
      <c r="X69" s="408"/>
    </row>
    <row r="70" ht="21" customHeight="1" spans="1:24">
      <c r="A70" s="25" t="s">
        <v>769</v>
      </c>
      <c r="B70" s="25"/>
      <c r="C70" s="89">
        <v>1.5</v>
      </c>
      <c r="D70" s="90">
        <v>1.45</v>
      </c>
      <c r="E70" s="90">
        <v>1.4</v>
      </c>
      <c r="F70" s="91">
        <v>1.35</v>
      </c>
      <c r="G70" s="90">
        <v>1.3</v>
      </c>
      <c r="H70" s="92">
        <v>1.25</v>
      </c>
      <c r="I70" s="90">
        <v>1.2</v>
      </c>
      <c r="J70" s="206">
        <v>1.15</v>
      </c>
      <c r="K70" s="658">
        <v>1.05</v>
      </c>
      <c r="L70" s="550" t="s">
        <v>772</v>
      </c>
      <c r="M70" s="657"/>
      <c r="N70" s="657"/>
      <c r="O70" s="657"/>
      <c r="P70" s="657"/>
      <c r="Q70" s="657"/>
      <c r="R70" s="657"/>
      <c r="S70" s="657"/>
      <c r="T70" s="657"/>
      <c r="U70" s="657"/>
      <c r="V70" s="657"/>
      <c r="W70" s="657"/>
      <c r="X70" s="678"/>
    </row>
    <row r="71" ht="21" customHeight="1" spans="1:24">
      <c r="A71" s="65" t="s">
        <v>770</v>
      </c>
      <c r="B71" s="65"/>
      <c r="C71" s="66">
        <v>1.3</v>
      </c>
      <c r="D71" s="67">
        <v>1.25</v>
      </c>
      <c r="E71" s="67">
        <v>1.2</v>
      </c>
      <c r="F71" s="93">
        <v>1.15</v>
      </c>
      <c r="G71" s="67">
        <v>1.1</v>
      </c>
      <c r="H71" s="69">
        <v>1.05</v>
      </c>
      <c r="I71" s="67">
        <v>1</v>
      </c>
      <c r="J71" s="178">
        <v>0.9</v>
      </c>
      <c r="K71" s="179">
        <v>0.8</v>
      </c>
      <c r="L71" s="550" t="s">
        <v>773</v>
      </c>
      <c r="M71" s="657"/>
      <c r="N71" s="657"/>
      <c r="O71" s="657"/>
      <c r="P71" s="657"/>
      <c r="Q71" s="657"/>
      <c r="R71" s="657"/>
      <c r="S71" s="657"/>
      <c r="T71" s="657"/>
      <c r="U71" s="657"/>
      <c r="V71" s="657"/>
      <c r="W71" s="657"/>
      <c r="X71" s="678"/>
    </row>
    <row r="72" ht="25" customHeight="1" spans="1:24">
      <c r="A72" s="609" t="s">
        <v>774</v>
      </c>
      <c r="B72" s="610"/>
      <c r="C72" s="610"/>
      <c r="D72" s="610"/>
      <c r="E72" s="610"/>
      <c r="F72" s="610"/>
      <c r="G72" s="610"/>
      <c r="H72" s="610"/>
      <c r="I72" s="610"/>
      <c r="J72" s="610"/>
      <c r="K72" s="610"/>
      <c r="L72" s="610"/>
      <c r="M72" s="610"/>
      <c r="N72" s="610"/>
      <c r="O72" s="610"/>
      <c r="P72" s="610"/>
      <c r="Q72" s="610"/>
      <c r="R72" s="610"/>
      <c r="S72" s="610"/>
      <c r="T72" s="610"/>
      <c r="U72" s="610"/>
      <c r="V72" s="610"/>
      <c r="W72" s="610"/>
      <c r="X72" s="672"/>
    </row>
    <row r="73" ht="21" customHeight="1" spans="1:24">
      <c r="A73" s="21" t="s">
        <v>8</v>
      </c>
      <c r="B73" s="22"/>
      <c r="C73" s="23">
        <v>0</v>
      </c>
      <c r="D73" s="24">
        <v>1</v>
      </c>
      <c r="E73" s="24">
        <v>2</v>
      </c>
      <c r="F73" s="24">
        <v>3</v>
      </c>
      <c r="G73" s="24">
        <v>4</v>
      </c>
      <c r="H73" s="24">
        <v>5</v>
      </c>
      <c r="I73" s="24">
        <v>6</v>
      </c>
      <c r="J73" s="24">
        <v>7</v>
      </c>
      <c r="K73" s="135">
        <v>8</v>
      </c>
      <c r="L73" s="136">
        <v>9</v>
      </c>
      <c r="M73" s="137"/>
      <c r="N73" s="138"/>
      <c r="O73" s="139">
        <v>10</v>
      </c>
      <c r="P73" s="140">
        <v>11</v>
      </c>
      <c r="Q73" s="236">
        <v>12</v>
      </c>
      <c r="R73" s="236"/>
      <c r="S73" s="236"/>
      <c r="T73" s="139">
        <v>13</v>
      </c>
      <c r="U73" s="237">
        <v>14</v>
      </c>
      <c r="V73" s="140">
        <v>15</v>
      </c>
      <c r="W73" s="137">
        <v>16</v>
      </c>
      <c r="X73" s="138"/>
    </row>
    <row r="74" ht="21" customHeight="1" spans="1:24">
      <c r="A74" s="122" t="s">
        <v>775</v>
      </c>
      <c r="B74" s="123"/>
      <c r="C74" s="87">
        <v>50</v>
      </c>
      <c r="D74" s="88">
        <v>60</v>
      </c>
      <c r="E74" s="88">
        <v>70</v>
      </c>
      <c r="F74" s="88">
        <v>80</v>
      </c>
      <c r="G74" s="88">
        <v>90</v>
      </c>
      <c r="H74" s="88">
        <v>100</v>
      </c>
      <c r="I74" s="88">
        <v>120</v>
      </c>
      <c r="J74" s="88">
        <v>140</v>
      </c>
      <c r="K74" s="199">
        <v>160</v>
      </c>
      <c r="L74" s="217"/>
      <c r="M74" s="218">
        <v>200</v>
      </c>
      <c r="N74" s="219"/>
      <c r="O74" s="203">
        <v>240</v>
      </c>
      <c r="P74" s="204">
        <v>280</v>
      </c>
      <c r="Q74" s="219"/>
      <c r="R74" s="272">
        <v>380</v>
      </c>
      <c r="S74" s="219"/>
      <c r="T74" s="203">
        <v>580</v>
      </c>
      <c r="U74" s="273">
        <v>780</v>
      </c>
      <c r="V74" s="204">
        <v>980</v>
      </c>
      <c r="W74" s="295"/>
      <c r="X74" s="275">
        <v>1180</v>
      </c>
    </row>
    <row r="75" ht="21" customHeight="1" spans="1:24">
      <c r="A75" s="59" t="s">
        <v>18</v>
      </c>
      <c r="B75" s="60"/>
      <c r="C75" s="61">
        <v>0</v>
      </c>
      <c r="D75" s="62">
        <v>1</v>
      </c>
      <c r="E75" s="62">
        <v>2</v>
      </c>
      <c r="F75" s="63">
        <v>3</v>
      </c>
      <c r="G75" s="62">
        <v>4</v>
      </c>
      <c r="H75" s="64">
        <v>5</v>
      </c>
      <c r="I75" s="62">
        <v>6</v>
      </c>
      <c r="J75" s="174">
        <v>7</v>
      </c>
      <c r="K75" s="626">
        <v>8</v>
      </c>
      <c r="L75" s="550" t="s">
        <v>776</v>
      </c>
      <c r="M75" s="657"/>
      <c r="N75" s="657"/>
      <c r="O75" s="657"/>
      <c r="P75" s="657"/>
      <c r="Q75" s="657"/>
      <c r="R75" s="657"/>
      <c r="S75" s="657"/>
      <c r="T75" s="657"/>
      <c r="U75" s="657"/>
      <c r="V75" s="657"/>
      <c r="W75" s="657"/>
      <c r="X75" s="678"/>
    </row>
    <row r="76" ht="21" customHeight="1" spans="1:24">
      <c r="A76" s="122" t="s">
        <v>775</v>
      </c>
      <c r="B76" s="122"/>
      <c r="C76" s="41">
        <v>2.6</v>
      </c>
      <c r="D76" s="42">
        <v>2.55</v>
      </c>
      <c r="E76" s="42">
        <v>2.5</v>
      </c>
      <c r="F76" s="43">
        <v>2.45</v>
      </c>
      <c r="G76" s="42">
        <v>2.4</v>
      </c>
      <c r="H76" s="44">
        <v>2.35</v>
      </c>
      <c r="I76" s="42">
        <v>2.3</v>
      </c>
      <c r="J76" s="163">
        <v>2.2</v>
      </c>
      <c r="K76" s="575">
        <v>2</v>
      </c>
      <c r="L76" s="550" t="s">
        <v>777</v>
      </c>
      <c r="M76" s="657"/>
      <c r="N76" s="657"/>
      <c r="O76" s="657"/>
      <c r="P76" s="657"/>
      <c r="Q76" s="657"/>
      <c r="R76" s="657"/>
      <c r="S76" s="657"/>
      <c r="T76" s="657"/>
      <c r="U76" s="657"/>
      <c r="V76" s="657"/>
      <c r="W76" s="657"/>
      <c r="X76" s="678"/>
    </row>
    <row r="77" ht="21" customHeight="1" spans="1:24">
      <c r="A77" s="45"/>
      <c r="B77" s="46"/>
      <c r="C77" s="46"/>
      <c r="D77" s="46"/>
      <c r="E77" s="46"/>
      <c r="F77" s="46"/>
      <c r="G77" s="46"/>
      <c r="H77" s="46"/>
      <c r="I77" s="46"/>
      <c r="J77" s="46"/>
      <c r="K77" s="46"/>
      <c r="L77" s="46"/>
      <c r="M77" s="46"/>
      <c r="N77" s="46"/>
      <c r="O77" s="46"/>
      <c r="P77" s="46"/>
      <c r="Q77" s="46"/>
      <c r="R77" s="46"/>
      <c r="S77" s="46"/>
      <c r="T77" s="46"/>
      <c r="U77" s="46"/>
      <c r="V77" s="46"/>
      <c r="W77" s="46"/>
      <c r="X77" s="252"/>
    </row>
    <row r="78" ht="44" customHeight="1" spans="1:24">
      <c r="A78" s="47"/>
      <c r="B78" s="48"/>
      <c r="C78" s="48" t="str">
        <f>_xlfn.DISPIMG("ID_BC743C7D58644FCA8FB77728C30D3C52",1)</f>
        <v>=DISPIMG("ID_BC743C7D58644FCA8FB77728C30D3C52",1)</v>
      </c>
      <c r="D78" s="48" t="str">
        <f>_xlfn.DISPIMG("ID_E1752BD475AD445AB73B446A2FD2E034",1)</f>
        <v>=DISPIMG("ID_E1752BD475AD445AB73B446A2FD2E034",1)</v>
      </c>
      <c r="E78" s="48"/>
      <c r="F78" s="70"/>
      <c r="G78" s="340" t="s">
        <v>778</v>
      </c>
      <c r="H78" s="341"/>
      <c r="I78" s="341"/>
      <c r="J78" s="341"/>
      <c r="K78" s="341"/>
      <c r="L78" s="341"/>
      <c r="M78" s="341"/>
      <c r="N78" s="341"/>
      <c r="O78" s="384"/>
      <c r="P78" s="684" t="s">
        <v>779</v>
      </c>
      <c r="Q78" s="684"/>
      <c r="R78" s="684"/>
      <c r="S78" s="684"/>
      <c r="T78" s="684"/>
      <c r="U78" s="684"/>
      <c r="V78" s="684"/>
      <c r="W78" s="684"/>
      <c r="X78" s="684"/>
    </row>
    <row r="79" ht="21" customHeight="1" spans="1:24">
      <c r="A79" s="342" t="s">
        <v>529</v>
      </c>
      <c r="B79" s="608"/>
      <c r="C79" s="608"/>
      <c r="D79" s="608"/>
      <c r="E79" s="608"/>
      <c r="F79" s="608"/>
      <c r="G79" s="608"/>
      <c r="H79" s="608"/>
      <c r="I79" s="608"/>
      <c r="J79" s="608"/>
      <c r="K79" s="608"/>
      <c r="L79" s="608"/>
      <c r="M79" s="608"/>
      <c r="N79" s="608"/>
      <c r="O79" s="608"/>
      <c r="P79" s="608"/>
      <c r="Q79" s="608"/>
      <c r="R79" s="608"/>
      <c r="S79" s="608"/>
      <c r="T79" s="608"/>
      <c r="U79" s="608"/>
      <c r="V79" s="608"/>
      <c r="W79" s="608"/>
      <c r="X79" s="419"/>
    </row>
    <row r="80" ht="21" customHeight="1" spans="1:24">
      <c r="A80" s="21" t="s">
        <v>8</v>
      </c>
      <c r="B80" s="22"/>
      <c r="C80" s="23">
        <v>0</v>
      </c>
      <c r="D80" s="24">
        <v>1</v>
      </c>
      <c r="E80" s="24">
        <v>2</v>
      </c>
      <c r="F80" s="24">
        <v>3</v>
      </c>
      <c r="G80" s="24">
        <v>4</v>
      </c>
      <c r="H80" s="24">
        <v>5</v>
      </c>
      <c r="I80" s="24">
        <v>6</v>
      </c>
      <c r="J80" s="24">
        <v>7</v>
      </c>
      <c r="K80" s="135">
        <v>8</v>
      </c>
      <c r="L80" s="136">
        <v>9</v>
      </c>
      <c r="M80" s="137"/>
      <c r="N80" s="138"/>
      <c r="O80" s="139">
        <v>10</v>
      </c>
      <c r="P80" s="140">
        <v>11</v>
      </c>
      <c r="Q80" s="236">
        <v>12</v>
      </c>
      <c r="R80" s="236"/>
      <c r="S80" s="236"/>
      <c r="T80" s="139">
        <v>13</v>
      </c>
      <c r="U80" s="237">
        <v>14</v>
      </c>
      <c r="V80" s="140">
        <v>15</v>
      </c>
      <c r="W80" s="137">
        <v>16</v>
      </c>
      <c r="X80" s="138"/>
    </row>
    <row r="81" ht="21" customHeight="1" spans="1:24">
      <c r="A81" s="73" t="s">
        <v>530</v>
      </c>
      <c r="B81" s="74"/>
      <c r="C81" s="75">
        <v>50</v>
      </c>
      <c r="D81" s="76">
        <v>55</v>
      </c>
      <c r="E81" s="76">
        <v>60</v>
      </c>
      <c r="F81" s="76">
        <v>70</v>
      </c>
      <c r="G81" s="76">
        <v>80</v>
      </c>
      <c r="H81" s="76">
        <v>90</v>
      </c>
      <c r="I81" s="76">
        <v>100</v>
      </c>
      <c r="J81" s="76">
        <v>120</v>
      </c>
      <c r="K81" s="182">
        <v>140</v>
      </c>
      <c r="L81" s="183"/>
      <c r="M81" s="159">
        <v>200</v>
      </c>
      <c r="N81" s="184"/>
      <c r="O81" s="161">
        <v>260</v>
      </c>
      <c r="P81" s="162">
        <v>320</v>
      </c>
      <c r="Q81" s="184"/>
      <c r="R81" s="247">
        <v>380</v>
      </c>
      <c r="S81" s="184"/>
      <c r="T81" s="161">
        <v>460</v>
      </c>
      <c r="U81" s="248">
        <v>540</v>
      </c>
      <c r="V81" s="162">
        <v>620</v>
      </c>
      <c r="W81" s="261"/>
      <c r="X81" s="250">
        <v>700</v>
      </c>
    </row>
    <row r="82" ht="21" customHeight="1" spans="1:24">
      <c r="A82" s="25" t="s">
        <v>531</v>
      </c>
      <c r="B82" s="26"/>
      <c r="C82" s="113">
        <v>50</v>
      </c>
      <c r="D82" s="307">
        <v>55</v>
      </c>
      <c r="E82" s="307">
        <v>60</v>
      </c>
      <c r="F82" s="307">
        <v>70</v>
      </c>
      <c r="G82" s="307">
        <v>80</v>
      </c>
      <c r="H82" s="307">
        <v>90</v>
      </c>
      <c r="I82" s="307">
        <v>100</v>
      </c>
      <c r="J82" s="307">
        <v>120</v>
      </c>
      <c r="K82" s="312">
        <v>140</v>
      </c>
      <c r="L82" s="154"/>
      <c r="M82" s="155">
        <v>200</v>
      </c>
      <c r="N82" s="156"/>
      <c r="O82" s="145">
        <v>260</v>
      </c>
      <c r="P82" s="146">
        <v>320</v>
      </c>
      <c r="Q82" s="156"/>
      <c r="R82" s="238">
        <v>380</v>
      </c>
      <c r="S82" s="156"/>
      <c r="T82" s="145">
        <v>460</v>
      </c>
      <c r="U82" s="239">
        <v>540</v>
      </c>
      <c r="V82" s="146">
        <v>610</v>
      </c>
      <c r="W82" s="246"/>
      <c r="X82" s="241">
        <v>690</v>
      </c>
    </row>
    <row r="83" ht="21" customHeight="1" spans="1:24">
      <c r="A83" s="59" t="s">
        <v>18</v>
      </c>
      <c r="B83" s="60"/>
      <c r="C83" s="61">
        <v>0</v>
      </c>
      <c r="D83" s="62">
        <v>1</v>
      </c>
      <c r="E83" s="62">
        <v>2</v>
      </c>
      <c r="F83" s="63">
        <v>3</v>
      </c>
      <c r="G83" s="62">
        <v>4</v>
      </c>
      <c r="H83" s="64">
        <v>5</v>
      </c>
      <c r="I83" s="62">
        <v>6</v>
      </c>
      <c r="J83" s="174">
        <v>7</v>
      </c>
      <c r="K83" s="626">
        <v>8</v>
      </c>
      <c r="L83" s="550" t="s">
        <v>532</v>
      </c>
      <c r="M83" s="657"/>
      <c r="N83" s="657"/>
      <c r="O83" s="657"/>
      <c r="P83" s="657"/>
      <c r="Q83" s="657"/>
      <c r="R83" s="657"/>
      <c r="S83" s="657"/>
      <c r="T83" s="657"/>
      <c r="U83" s="657"/>
      <c r="V83" s="657"/>
      <c r="W83" s="657"/>
      <c r="X83" s="678"/>
    </row>
    <row r="84" ht="21" customHeight="1" spans="1:24">
      <c r="A84" s="122" t="s">
        <v>530</v>
      </c>
      <c r="B84" s="122"/>
      <c r="C84" s="41">
        <v>2</v>
      </c>
      <c r="D84" s="42">
        <v>1.95</v>
      </c>
      <c r="E84" s="42">
        <v>1.9</v>
      </c>
      <c r="F84" s="43">
        <v>1.85</v>
      </c>
      <c r="G84" s="42">
        <v>1.8</v>
      </c>
      <c r="H84" s="44">
        <v>1.7</v>
      </c>
      <c r="I84" s="42">
        <v>1.6</v>
      </c>
      <c r="J84" s="163">
        <v>1.5</v>
      </c>
      <c r="K84" s="164">
        <v>1.2</v>
      </c>
      <c r="L84" s="550" t="s">
        <v>780</v>
      </c>
      <c r="M84" s="657"/>
      <c r="N84" s="657"/>
      <c r="O84" s="657"/>
      <c r="P84" s="657"/>
      <c r="Q84" s="657"/>
      <c r="R84" s="657"/>
      <c r="S84" s="657"/>
      <c r="T84" s="657"/>
      <c r="U84" s="657"/>
      <c r="V84" s="657"/>
      <c r="W84" s="657"/>
      <c r="X84" s="678"/>
    </row>
    <row r="85" ht="21" customHeight="1" spans="1:24">
      <c r="A85" s="65" t="s">
        <v>531</v>
      </c>
      <c r="B85" s="65"/>
      <c r="C85" s="66">
        <v>2</v>
      </c>
      <c r="D85" s="67">
        <v>1.95</v>
      </c>
      <c r="E85" s="67">
        <v>1.9</v>
      </c>
      <c r="F85" s="93">
        <v>1.85</v>
      </c>
      <c r="G85" s="67">
        <v>1.8</v>
      </c>
      <c r="H85" s="69">
        <v>1.7</v>
      </c>
      <c r="I85" s="67">
        <v>1.6</v>
      </c>
      <c r="J85" s="178">
        <v>1.5</v>
      </c>
      <c r="K85" s="378">
        <v>1.2</v>
      </c>
      <c r="L85" s="550" t="s">
        <v>780</v>
      </c>
      <c r="M85" s="657"/>
      <c r="N85" s="657"/>
      <c r="O85" s="657"/>
      <c r="P85" s="657"/>
      <c r="Q85" s="657"/>
      <c r="R85" s="657"/>
      <c r="S85" s="657"/>
      <c r="T85" s="657"/>
      <c r="U85" s="657"/>
      <c r="V85" s="657"/>
      <c r="W85" s="657"/>
      <c r="X85" s="678"/>
    </row>
    <row r="86" ht="19.5" spans="1:24">
      <c r="A86" s="105"/>
      <c r="B86" s="106"/>
      <c r="C86" s="106"/>
      <c r="D86" s="106"/>
      <c r="E86" s="106"/>
      <c r="F86" s="106"/>
      <c r="G86" s="106"/>
      <c r="H86" s="106"/>
      <c r="I86" s="106"/>
      <c r="J86" s="106"/>
      <c r="K86" s="106"/>
      <c r="L86" s="106"/>
      <c r="M86" s="106"/>
      <c r="N86" s="106"/>
      <c r="O86" s="106"/>
      <c r="P86" s="106"/>
      <c r="Q86" s="106"/>
      <c r="R86" s="106"/>
      <c r="S86" s="106"/>
      <c r="T86" s="106"/>
      <c r="U86" s="106"/>
      <c r="V86" s="106"/>
      <c r="W86" s="106"/>
      <c r="X86" s="286"/>
    </row>
    <row r="87" ht="44" customHeight="1" spans="1:24">
      <c r="A87" s="47"/>
      <c r="B87" s="48" t="str">
        <f>_xlfn.DISPIMG("ID_9CFF18717FFB49CA9CD78FCED366E255",1)</f>
        <v>=DISPIMG("ID_9CFF18717FFB49CA9CD78FCED366E255",1)</v>
      </c>
      <c r="C87" s="48" t="str">
        <f>_xlfn.DISPIMG("ID_DF481B392FE84EC7848A2A136A52A6A9",1)</f>
        <v>=DISPIMG("ID_DF481B392FE84EC7848A2A136A52A6A9",1)</v>
      </c>
      <c r="D87" s="48" t="str">
        <f>_xlfn.DISPIMG("ID_FD658C439EB74B63B866D63E5FE374AA",1)</f>
        <v>=DISPIMG("ID_FD658C439EB74B63B866D63E5FE374AA",1)</v>
      </c>
      <c r="E87" s="49"/>
      <c r="F87" s="50"/>
      <c r="G87" s="679" t="s">
        <v>781</v>
      </c>
      <c r="H87" s="680"/>
      <c r="I87" s="680"/>
      <c r="J87" s="680"/>
      <c r="K87" s="680"/>
      <c r="L87" s="680"/>
      <c r="M87" s="680"/>
      <c r="N87" s="680"/>
      <c r="O87" s="685"/>
      <c r="P87" s="445" t="s">
        <v>782</v>
      </c>
      <c r="Q87" s="49"/>
      <c r="R87" s="49"/>
      <c r="S87" s="49"/>
      <c r="T87" s="49"/>
      <c r="U87" s="49"/>
      <c r="V87" s="49"/>
      <c r="W87" s="49"/>
      <c r="X87" s="50"/>
    </row>
    <row r="88" ht="19.5" spans="1:24">
      <c r="A88" s="19"/>
      <c r="B88" s="20"/>
      <c r="C88" s="20"/>
      <c r="D88" s="20"/>
      <c r="E88" s="20"/>
      <c r="F88" s="20"/>
      <c r="G88" s="20"/>
      <c r="H88" s="20"/>
      <c r="I88" s="20"/>
      <c r="J88" s="20"/>
      <c r="K88" s="20"/>
      <c r="L88" s="20"/>
      <c r="M88" s="20"/>
      <c r="N88" s="20"/>
      <c r="O88" s="20"/>
      <c r="P88" s="20"/>
      <c r="Q88" s="20"/>
      <c r="R88" s="20"/>
      <c r="S88" s="20"/>
      <c r="T88" s="20"/>
      <c r="U88" s="20"/>
      <c r="V88" s="20"/>
      <c r="W88" s="20"/>
      <c r="X88" s="235"/>
    </row>
    <row r="89" ht="21" spans="1:24">
      <c r="A89" s="21" t="s">
        <v>783</v>
      </c>
      <c r="B89" s="22"/>
      <c r="C89" s="23">
        <v>0</v>
      </c>
      <c r="D89" s="24">
        <v>1</v>
      </c>
      <c r="E89" s="24">
        <v>2</v>
      </c>
      <c r="F89" s="24">
        <v>3</v>
      </c>
      <c r="G89" s="24">
        <v>4</v>
      </c>
      <c r="H89" s="24">
        <v>5</v>
      </c>
      <c r="I89" s="24">
        <v>6</v>
      </c>
      <c r="J89" s="24">
        <v>7</v>
      </c>
      <c r="K89" s="135">
        <v>8</v>
      </c>
      <c r="L89" s="136">
        <v>9</v>
      </c>
      <c r="M89" s="137"/>
      <c r="N89" s="138"/>
      <c r="O89" s="139">
        <v>10</v>
      </c>
      <c r="P89" s="140">
        <v>11</v>
      </c>
      <c r="Q89" s="236">
        <v>12</v>
      </c>
      <c r="R89" s="236"/>
      <c r="S89" s="236"/>
      <c r="T89" s="139">
        <v>13</v>
      </c>
      <c r="U89" s="237">
        <v>14</v>
      </c>
      <c r="V89" s="140">
        <v>15</v>
      </c>
      <c r="W89" s="137">
        <v>16</v>
      </c>
      <c r="X89" s="138"/>
    </row>
    <row r="90" ht="21" customHeight="1" spans="1:24">
      <c r="A90" s="73" t="s">
        <v>784</v>
      </c>
      <c r="B90" s="74"/>
      <c r="C90" s="75">
        <v>80</v>
      </c>
      <c r="D90" s="76">
        <v>100</v>
      </c>
      <c r="E90" s="76">
        <v>110</v>
      </c>
      <c r="F90" s="76">
        <v>120</v>
      </c>
      <c r="G90" s="76">
        <v>140</v>
      </c>
      <c r="H90" s="76">
        <v>160</v>
      </c>
      <c r="I90" s="76">
        <v>180</v>
      </c>
      <c r="J90" s="76">
        <v>210</v>
      </c>
      <c r="K90" s="182">
        <v>260</v>
      </c>
      <c r="L90" s="183"/>
      <c r="M90" s="159">
        <v>330</v>
      </c>
      <c r="N90" s="184"/>
      <c r="O90" s="161">
        <v>450</v>
      </c>
      <c r="P90" s="162">
        <v>570</v>
      </c>
      <c r="Q90" s="184"/>
      <c r="R90" s="247">
        <v>700</v>
      </c>
      <c r="S90" s="184"/>
      <c r="T90" s="161">
        <v>830</v>
      </c>
      <c r="U90" s="248">
        <v>960</v>
      </c>
      <c r="V90" s="162">
        <v>1090</v>
      </c>
      <c r="W90" s="261"/>
      <c r="X90" s="250">
        <v>1240</v>
      </c>
    </row>
    <row r="91" ht="21" customHeight="1" spans="1:24">
      <c r="A91" s="25" t="s">
        <v>785</v>
      </c>
      <c r="B91" s="25"/>
      <c r="C91" s="113">
        <v>80</v>
      </c>
      <c r="D91" s="307">
        <v>90</v>
      </c>
      <c r="E91" s="307">
        <v>100</v>
      </c>
      <c r="F91" s="307">
        <v>110</v>
      </c>
      <c r="G91" s="307">
        <v>130</v>
      </c>
      <c r="H91" s="307">
        <v>150</v>
      </c>
      <c r="I91" s="307">
        <v>170</v>
      </c>
      <c r="J91" s="307">
        <v>190</v>
      </c>
      <c r="K91" s="312">
        <v>230</v>
      </c>
      <c r="L91" s="154"/>
      <c r="M91" s="155">
        <v>320</v>
      </c>
      <c r="N91" s="156"/>
      <c r="O91" s="145">
        <v>430</v>
      </c>
      <c r="P91" s="146">
        <v>540</v>
      </c>
      <c r="Q91" s="156"/>
      <c r="R91" s="238">
        <v>650</v>
      </c>
      <c r="S91" s="156"/>
      <c r="T91" s="145">
        <v>760</v>
      </c>
      <c r="U91" s="239">
        <v>880</v>
      </c>
      <c r="V91" s="146">
        <v>1000</v>
      </c>
      <c r="W91" s="246"/>
      <c r="X91" s="241">
        <v>1140</v>
      </c>
    </row>
    <row r="92" ht="21" customHeight="1" spans="1:24">
      <c r="A92" s="73" t="s">
        <v>786</v>
      </c>
      <c r="B92" s="74"/>
      <c r="C92" s="75">
        <v>50</v>
      </c>
      <c r="D92" s="76">
        <v>55</v>
      </c>
      <c r="E92" s="76">
        <v>60</v>
      </c>
      <c r="F92" s="76">
        <v>65</v>
      </c>
      <c r="G92" s="76">
        <v>70</v>
      </c>
      <c r="H92" s="76">
        <v>80</v>
      </c>
      <c r="I92" s="76">
        <v>90</v>
      </c>
      <c r="J92" s="182">
        <v>110</v>
      </c>
      <c r="K92" s="182">
        <v>140</v>
      </c>
      <c r="L92" s="183"/>
      <c r="M92" s="159">
        <v>170</v>
      </c>
      <c r="N92" s="184"/>
      <c r="O92" s="161">
        <v>230</v>
      </c>
      <c r="P92" s="162">
        <v>300</v>
      </c>
      <c r="Q92" s="184"/>
      <c r="R92" s="247">
        <v>360</v>
      </c>
      <c r="S92" s="184"/>
      <c r="T92" s="161">
        <v>430</v>
      </c>
      <c r="U92" s="248">
        <v>490</v>
      </c>
      <c r="V92" s="162">
        <v>560</v>
      </c>
      <c r="W92" s="261"/>
      <c r="X92" s="250">
        <v>640</v>
      </c>
    </row>
    <row r="93" ht="21" customHeight="1" spans="1:24">
      <c r="A93" s="59" t="s">
        <v>18</v>
      </c>
      <c r="B93" s="60"/>
      <c r="C93" s="61">
        <v>0</v>
      </c>
      <c r="D93" s="62">
        <v>1</v>
      </c>
      <c r="E93" s="62">
        <v>2</v>
      </c>
      <c r="F93" s="63">
        <v>3</v>
      </c>
      <c r="G93" s="62">
        <v>4</v>
      </c>
      <c r="H93" s="64">
        <v>5</v>
      </c>
      <c r="I93" s="62">
        <v>6</v>
      </c>
      <c r="J93" s="174">
        <v>7</v>
      </c>
      <c r="K93" s="175">
        <v>8</v>
      </c>
      <c r="L93" s="78" t="s">
        <v>787</v>
      </c>
      <c r="M93" s="686"/>
      <c r="N93" s="686"/>
      <c r="O93" s="686"/>
      <c r="P93" s="686"/>
      <c r="Q93" s="686"/>
      <c r="R93" s="686"/>
      <c r="S93" s="686"/>
      <c r="T93" s="686"/>
      <c r="U93" s="686"/>
      <c r="V93" s="686"/>
      <c r="W93" s="686"/>
      <c r="X93" s="689"/>
    </row>
    <row r="94" ht="21" customHeight="1" spans="1:24">
      <c r="A94" s="25" t="s">
        <v>788</v>
      </c>
      <c r="B94" s="25"/>
      <c r="C94" s="89">
        <v>1.1</v>
      </c>
      <c r="D94" s="90">
        <v>1.05</v>
      </c>
      <c r="E94" s="90">
        <v>1</v>
      </c>
      <c r="F94" s="91">
        <v>0.95</v>
      </c>
      <c r="G94" s="90">
        <v>0.9</v>
      </c>
      <c r="H94" s="92">
        <v>0.85</v>
      </c>
      <c r="I94" s="90">
        <v>0.8</v>
      </c>
      <c r="J94" s="206">
        <v>0.75</v>
      </c>
      <c r="K94" s="207">
        <v>0.7</v>
      </c>
      <c r="L94" s="78" t="s">
        <v>789</v>
      </c>
      <c r="M94" s="686"/>
      <c r="N94" s="686"/>
      <c r="O94" s="686"/>
      <c r="P94" s="686"/>
      <c r="Q94" s="686"/>
      <c r="R94" s="686"/>
      <c r="S94" s="686"/>
      <c r="T94" s="686"/>
      <c r="U94" s="686"/>
      <c r="V94" s="686"/>
      <c r="W94" s="686"/>
      <c r="X94" s="689"/>
    </row>
    <row r="95" ht="21" customHeight="1" spans="1:24">
      <c r="A95" s="65" t="s">
        <v>790</v>
      </c>
      <c r="B95" s="65"/>
      <c r="C95" s="66">
        <v>1.35</v>
      </c>
      <c r="D95" s="67">
        <v>1.3</v>
      </c>
      <c r="E95" s="67">
        <v>1.25</v>
      </c>
      <c r="F95" s="93">
        <v>1.2</v>
      </c>
      <c r="G95" s="67">
        <v>1.15</v>
      </c>
      <c r="H95" s="69">
        <v>1.1</v>
      </c>
      <c r="I95" s="67">
        <v>1.05</v>
      </c>
      <c r="J95" s="659">
        <v>1</v>
      </c>
      <c r="K95" s="687">
        <v>0.95</v>
      </c>
      <c r="L95" s="86" t="s">
        <v>791</v>
      </c>
      <c r="M95" s="205"/>
      <c r="N95" s="205"/>
      <c r="O95" s="205"/>
      <c r="P95" s="205"/>
      <c r="Q95" s="205"/>
      <c r="R95" s="205"/>
      <c r="S95" s="205"/>
      <c r="T95" s="205"/>
      <c r="U95" s="205"/>
      <c r="V95" s="205"/>
      <c r="W95" s="205"/>
      <c r="X95" s="276"/>
    </row>
    <row r="96" ht="21" customHeight="1" spans="1:24">
      <c r="A96" s="681" t="s">
        <v>788</v>
      </c>
      <c r="B96" s="681"/>
      <c r="C96" s="681" t="s">
        <v>792</v>
      </c>
      <c r="D96" s="681"/>
      <c r="E96" s="681"/>
      <c r="F96" s="682" t="str">
        <f>_xlfn.DISPIMG("ID_B59BB336E3C844DA9A2396782DA6A78C",1)</f>
        <v>=DISPIMG("ID_B59BB336E3C844DA9A2396782DA6A78C",1)</v>
      </c>
      <c r="G96" s="682"/>
      <c r="H96" s="681" t="s">
        <v>793</v>
      </c>
      <c r="I96" s="681"/>
      <c r="J96" s="681" t="s">
        <v>792</v>
      </c>
      <c r="K96" s="681"/>
      <c r="L96" s="681"/>
      <c r="M96" s="681"/>
      <c r="N96" s="681"/>
      <c r="O96" s="688" t="str">
        <f>_xlfn.DISPIMG("ID_B59BB336E3C844DA9A2396782DA6A78C",1)</f>
        <v>=DISPIMG("ID_B59BB336E3C844DA9A2396782DA6A78C",1)</v>
      </c>
      <c r="P96" s="688"/>
      <c r="Q96" s="681" t="s">
        <v>794</v>
      </c>
      <c r="R96" s="681"/>
      <c r="S96" s="681"/>
      <c r="T96" s="681"/>
      <c r="U96" s="681" t="s">
        <v>795</v>
      </c>
      <c r="V96" s="690" t="s">
        <v>796</v>
      </c>
      <c r="W96" s="691"/>
      <c r="X96" s="681" t="s">
        <v>797</v>
      </c>
    </row>
    <row r="97" ht="21" customHeight="1" spans="1:24">
      <c r="A97" s="65" t="s">
        <v>798</v>
      </c>
      <c r="B97" s="65"/>
      <c r="C97" s="65">
        <v>0</v>
      </c>
      <c r="D97" s="65"/>
      <c r="E97" s="65"/>
      <c r="F97" s="682"/>
      <c r="G97" s="682"/>
      <c r="H97" s="65" t="s">
        <v>798</v>
      </c>
      <c r="I97" s="65"/>
      <c r="J97" s="65">
        <v>0</v>
      </c>
      <c r="K97" s="65"/>
      <c r="L97" s="65"/>
      <c r="M97" s="65"/>
      <c r="N97" s="65"/>
      <c r="O97" s="688"/>
      <c r="P97" s="688"/>
      <c r="Q97" s="692" t="s">
        <v>798</v>
      </c>
      <c r="R97" s="693"/>
      <c r="S97" s="693"/>
      <c r="T97" s="694"/>
      <c r="U97" s="65">
        <v>1</v>
      </c>
      <c r="V97" s="692">
        <v>2</v>
      </c>
      <c r="W97" s="694"/>
      <c r="X97" s="65">
        <v>3</v>
      </c>
    </row>
    <row r="98" ht="21" customHeight="1" spans="1:24">
      <c r="A98" s="683" t="s">
        <v>799</v>
      </c>
      <c r="B98" s="683"/>
      <c r="C98" s="683">
        <v>1</v>
      </c>
      <c r="D98" s="683"/>
      <c r="E98" s="683"/>
      <c r="F98" s="682"/>
      <c r="G98" s="682"/>
      <c r="H98" s="683" t="s">
        <v>799</v>
      </c>
      <c r="I98" s="683"/>
      <c r="J98" s="683">
        <v>2</v>
      </c>
      <c r="K98" s="683"/>
      <c r="L98" s="683"/>
      <c r="M98" s="683"/>
      <c r="N98" s="683"/>
      <c r="O98" s="688"/>
      <c r="P98" s="688"/>
      <c r="Q98" s="695" t="s">
        <v>799</v>
      </c>
      <c r="R98" s="696"/>
      <c r="S98" s="696"/>
      <c r="T98" s="697"/>
      <c r="U98" s="683">
        <v>2</v>
      </c>
      <c r="V98" s="683"/>
      <c r="W98" s="683"/>
      <c r="X98" s="683"/>
    </row>
    <row r="99" ht="21" customHeight="1" spans="1:24">
      <c r="A99" s="65" t="s">
        <v>800</v>
      </c>
      <c r="B99" s="65"/>
      <c r="C99" s="65">
        <v>0</v>
      </c>
      <c r="D99" s="65"/>
      <c r="E99" s="65"/>
      <c r="F99" s="682"/>
      <c r="G99" s="682"/>
      <c r="H99" s="65" t="s">
        <v>800</v>
      </c>
      <c r="I99" s="65"/>
      <c r="J99" s="65">
        <v>0</v>
      </c>
      <c r="K99" s="65"/>
      <c r="L99" s="65"/>
      <c r="M99" s="65"/>
      <c r="N99" s="65"/>
      <c r="O99" s="688"/>
      <c r="P99" s="688"/>
      <c r="Q99" s="692" t="s">
        <v>800</v>
      </c>
      <c r="R99" s="693"/>
      <c r="S99" s="693"/>
      <c r="T99" s="694"/>
      <c r="U99" s="65">
        <v>1</v>
      </c>
      <c r="V99" s="692">
        <v>2</v>
      </c>
      <c r="W99" s="694"/>
      <c r="X99" s="65">
        <v>3</v>
      </c>
    </row>
  </sheetData>
  <sheetProtection formatCells="0" insertHyperlinks="0" autoFilter="0"/>
  <mergeCells count="186">
    <mergeCell ref="A1:C1"/>
    <mergeCell ref="D1:T1"/>
    <mergeCell ref="U1:X1"/>
    <mergeCell ref="B2:D2"/>
    <mergeCell ref="F2:H2"/>
    <mergeCell ref="J2:V2"/>
    <mergeCell ref="W2:X2"/>
    <mergeCell ref="A3:X3"/>
    <mergeCell ref="G4:O4"/>
    <mergeCell ref="A5:X5"/>
    <mergeCell ref="A6:B6"/>
    <mergeCell ref="L6:N6"/>
    <mergeCell ref="Q6:S6"/>
    <mergeCell ref="W6:X6"/>
    <mergeCell ref="A7:B7"/>
    <mergeCell ref="A8:B8"/>
    <mergeCell ref="A9:B9"/>
    <mergeCell ref="A10:B10"/>
    <mergeCell ref="A11:B11"/>
    <mergeCell ref="D11:K11"/>
    <mergeCell ref="L11:X11"/>
    <mergeCell ref="A12:B12"/>
    <mergeCell ref="L12:X12"/>
    <mergeCell ref="A13:B13"/>
    <mergeCell ref="L13:X13"/>
    <mergeCell ref="A14:X14"/>
    <mergeCell ref="A15:X15"/>
    <mergeCell ref="A16:X16"/>
    <mergeCell ref="A17:X17"/>
    <mergeCell ref="G18:O18"/>
    <mergeCell ref="P18:X18"/>
    <mergeCell ref="A19:X19"/>
    <mergeCell ref="A20:B20"/>
    <mergeCell ref="L20:N20"/>
    <mergeCell ref="Q20:S20"/>
    <mergeCell ref="W20:X20"/>
    <mergeCell ref="A21:B21"/>
    <mergeCell ref="A22:B22"/>
    <mergeCell ref="A23:B23"/>
    <mergeCell ref="A24:X24"/>
    <mergeCell ref="A25:F25"/>
    <mergeCell ref="G25:O25"/>
    <mergeCell ref="A26:X26"/>
    <mergeCell ref="A27:B27"/>
    <mergeCell ref="L27:N27"/>
    <mergeCell ref="Q27:S27"/>
    <mergeCell ref="W27:X27"/>
    <mergeCell ref="A28:B28"/>
    <mergeCell ref="A29:B29"/>
    <mergeCell ref="A30:B30"/>
    <mergeCell ref="L30:X30"/>
    <mergeCell ref="A31:B31"/>
    <mergeCell ref="L31:X31"/>
    <mergeCell ref="A32:X32"/>
    <mergeCell ref="G33:O33"/>
    <mergeCell ref="A34:X34"/>
    <mergeCell ref="A35:X35"/>
    <mergeCell ref="A36:B36"/>
    <mergeCell ref="L36:N36"/>
    <mergeCell ref="Q36:S36"/>
    <mergeCell ref="W36:X36"/>
    <mergeCell ref="A37:B37"/>
    <mergeCell ref="A38:B38"/>
    <mergeCell ref="A39:B39"/>
    <mergeCell ref="A40:B40"/>
    <mergeCell ref="A41:B41"/>
    <mergeCell ref="L41:X41"/>
    <mergeCell ref="A42:B42"/>
    <mergeCell ref="L42:X42"/>
    <mergeCell ref="A43:B43"/>
    <mergeCell ref="L43:X43"/>
    <mergeCell ref="A44:X44"/>
    <mergeCell ref="A45:B45"/>
    <mergeCell ref="L45:N45"/>
    <mergeCell ref="Q45:S45"/>
    <mergeCell ref="W45:X45"/>
    <mergeCell ref="A46:B46"/>
    <mergeCell ref="A47:B47"/>
    <mergeCell ref="A48:B48"/>
    <mergeCell ref="A49:B49"/>
    <mergeCell ref="A50:B50"/>
    <mergeCell ref="A51:B51"/>
    <mergeCell ref="A52:B52"/>
    <mergeCell ref="A53:B53"/>
    <mergeCell ref="A54:B54"/>
    <mergeCell ref="A55:B55"/>
    <mergeCell ref="L55:X55"/>
    <mergeCell ref="A56:B56"/>
    <mergeCell ref="L56:X56"/>
    <mergeCell ref="A57:B57"/>
    <mergeCell ref="L57:X57"/>
    <mergeCell ref="A58:B58"/>
    <mergeCell ref="L58:X58"/>
    <mergeCell ref="A59:B59"/>
    <mergeCell ref="L59:X59"/>
    <mergeCell ref="A60:B60"/>
    <mergeCell ref="L60:X60"/>
    <mergeCell ref="A61:X61"/>
    <mergeCell ref="A62:B62"/>
    <mergeCell ref="A63:B63"/>
    <mergeCell ref="A64:X64"/>
    <mergeCell ref="A65:X65"/>
    <mergeCell ref="A66:B66"/>
    <mergeCell ref="L66:N66"/>
    <mergeCell ref="Q66:S66"/>
    <mergeCell ref="W66:X66"/>
    <mergeCell ref="A67:B67"/>
    <mergeCell ref="A68:B68"/>
    <mergeCell ref="A69:B69"/>
    <mergeCell ref="L69:X69"/>
    <mergeCell ref="A70:B70"/>
    <mergeCell ref="L70:X70"/>
    <mergeCell ref="A71:B71"/>
    <mergeCell ref="L71:X71"/>
    <mergeCell ref="A72:X72"/>
    <mergeCell ref="A73:B73"/>
    <mergeCell ref="L73:N73"/>
    <mergeCell ref="Q73:S73"/>
    <mergeCell ref="W73:X73"/>
    <mergeCell ref="A74:B74"/>
    <mergeCell ref="A75:B75"/>
    <mergeCell ref="L75:X75"/>
    <mergeCell ref="A76:B76"/>
    <mergeCell ref="L76:X76"/>
    <mergeCell ref="A77:X77"/>
    <mergeCell ref="G78:O78"/>
    <mergeCell ref="P78:X78"/>
    <mergeCell ref="A79:X79"/>
    <mergeCell ref="A80:B80"/>
    <mergeCell ref="L80:N80"/>
    <mergeCell ref="Q80:S80"/>
    <mergeCell ref="W80:X80"/>
    <mergeCell ref="A81:B81"/>
    <mergeCell ref="A82:B82"/>
    <mergeCell ref="A83:B83"/>
    <mergeCell ref="L83:X83"/>
    <mergeCell ref="A84:B84"/>
    <mergeCell ref="L84:X84"/>
    <mergeCell ref="A85:B85"/>
    <mergeCell ref="L85:X85"/>
    <mergeCell ref="A86:X86"/>
    <mergeCell ref="E87:F87"/>
    <mergeCell ref="G87:O87"/>
    <mergeCell ref="P87:X87"/>
    <mergeCell ref="A88:X88"/>
    <mergeCell ref="A89:B89"/>
    <mergeCell ref="L89:N89"/>
    <mergeCell ref="Q89:S89"/>
    <mergeCell ref="W89:X89"/>
    <mergeCell ref="A90:B90"/>
    <mergeCell ref="A91:B91"/>
    <mergeCell ref="A92:B92"/>
    <mergeCell ref="A93:B93"/>
    <mergeCell ref="L93:X93"/>
    <mergeCell ref="A94:B94"/>
    <mergeCell ref="L94:X94"/>
    <mergeCell ref="A95:B95"/>
    <mergeCell ref="L95:X95"/>
    <mergeCell ref="A96:B96"/>
    <mergeCell ref="C96:E96"/>
    <mergeCell ref="H96:I96"/>
    <mergeCell ref="J96:N96"/>
    <mergeCell ref="Q96:T96"/>
    <mergeCell ref="V96:W96"/>
    <mergeCell ref="A97:B97"/>
    <mergeCell ref="C97:E97"/>
    <mergeCell ref="H97:I97"/>
    <mergeCell ref="J97:N97"/>
    <mergeCell ref="Q97:T97"/>
    <mergeCell ref="V97:W97"/>
    <mergeCell ref="A98:B98"/>
    <mergeCell ref="C98:E98"/>
    <mergeCell ref="H98:I98"/>
    <mergeCell ref="J98:N98"/>
    <mergeCell ref="Q98:T98"/>
    <mergeCell ref="U98:X98"/>
    <mergeCell ref="A99:B99"/>
    <mergeCell ref="C99:E99"/>
    <mergeCell ref="H99:I99"/>
    <mergeCell ref="J99:N99"/>
    <mergeCell ref="Q99:T99"/>
    <mergeCell ref="V99:W99"/>
    <mergeCell ref="L9:X10"/>
    <mergeCell ref="L22:X23"/>
    <mergeCell ref="F96:G99"/>
    <mergeCell ref="O96:P99"/>
  </mergeCells>
  <pageMargins left="0.75" right="0.75" top="1" bottom="1" header="0.5" footer="0.5"/>
  <headerFooter/>
  <pictur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1"/>
  <sheetViews>
    <sheetView workbookViewId="0">
      <selection activeCell="K12" sqref="K12"/>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12</v>
      </c>
      <c r="B1" s="2"/>
      <c r="C1" s="2"/>
      <c r="D1" s="449" t="s">
        <v>801</v>
      </c>
      <c r="E1" s="4"/>
      <c r="F1" s="4"/>
      <c r="G1" s="2"/>
      <c r="H1" s="2"/>
      <c r="I1" s="4"/>
      <c r="J1" s="4"/>
      <c r="K1" s="2"/>
      <c r="L1" s="2"/>
      <c r="M1" s="2"/>
      <c r="N1" s="2"/>
      <c r="O1" s="2"/>
      <c r="P1" s="2"/>
      <c r="Q1" s="2"/>
      <c r="R1" s="2"/>
      <c r="S1" s="2"/>
      <c r="T1" s="2"/>
      <c r="U1" s="2">
        <v>12</v>
      </c>
      <c r="V1" s="2"/>
      <c r="W1" s="2"/>
      <c r="X1" s="2"/>
    </row>
    <row r="2" ht="21" customHeight="1" spans="1:24">
      <c r="A2" s="5"/>
      <c r="B2" s="6" t="s">
        <v>1</v>
      </c>
      <c r="C2" s="7"/>
      <c r="D2" s="8"/>
      <c r="E2" s="9"/>
      <c r="F2" s="6" t="s">
        <v>711</v>
      </c>
      <c r="G2" s="7"/>
      <c r="H2" s="8"/>
      <c r="I2" s="9"/>
      <c r="J2" s="131" t="s">
        <v>34</v>
      </c>
      <c r="K2" s="132"/>
      <c r="L2" s="132"/>
      <c r="M2" s="132"/>
      <c r="N2" s="132"/>
      <c r="O2" s="132"/>
      <c r="P2" s="132"/>
      <c r="Q2" s="132"/>
      <c r="R2" s="132"/>
      <c r="S2" s="132"/>
      <c r="T2" s="132"/>
      <c r="U2" s="132"/>
      <c r="V2" s="229"/>
      <c r="W2" s="230"/>
      <c r="X2" s="230"/>
    </row>
    <row r="3" ht="21" customHeight="1" spans="1:24">
      <c r="A3" s="12" t="s">
        <v>35</v>
      </c>
      <c r="B3" s="13"/>
      <c r="C3" s="13"/>
      <c r="D3" s="13"/>
      <c r="E3" s="13"/>
      <c r="F3" s="13"/>
      <c r="G3" s="13"/>
      <c r="H3" s="13"/>
      <c r="I3" s="13"/>
      <c r="J3" s="13"/>
      <c r="K3" s="13"/>
      <c r="L3" s="13"/>
      <c r="M3" s="13"/>
      <c r="N3" s="13"/>
      <c r="O3" s="13"/>
      <c r="P3" s="13"/>
      <c r="Q3" s="13"/>
      <c r="R3" s="13"/>
      <c r="S3" s="13"/>
      <c r="T3" s="13"/>
      <c r="U3" s="13"/>
      <c r="V3" s="13"/>
      <c r="W3" s="13"/>
      <c r="X3" s="232"/>
    </row>
    <row r="4" ht="44" customHeight="1" spans="1:24">
      <c r="A4" s="14"/>
      <c r="B4" s="15" t="str">
        <f>_xlfn.DISPIMG("ID_9401A14F3F8B424DA7C155995E7E7309",1)</f>
        <v>=DISPIMG("ID_9401A14F3F8B424DA7C155995E7E7309",1)</v>
      </c>
      <c r="C4" s="15" t="str">
        <f>_xlfn.DISPIMG("ID_FDD1A16D9B9245D38B82C32163221E3D",1)</f>
        <v>=DISPIMG("ID_FDD1A16D9B9245D38B82C32163221E3D",1)</v>
      </c>
      <c r="D4" s="15" t="str">
        <f>_xlfn.DISPIMG("ID_8EE3BAAD2F6F4CBB97D557D708B23680",1)</f>
        <v>=DISPIMG("ID_8EE3BAAD2F6F4CBB97D557D708B23680",1)</v>
      </c>
      <c r="E4" s="15"/>
      <c r="F4" s="16"/>
      <c r="G4" s="71" t="s">
        <v>656</v>
      </c>
      <c r="H4" s="72"/>
      <c r="I4" s="72"/>
      <c r="J4" s="72"/>
      <c r="K4" s="72"/>
      <c r="L4" s="72"/>
      <c r="M4" s="72"/>
      <c r="N4" s="72"/>
      <c r="O4" s="180"/>
      <c r="P4" s="14" t="str">
        <f>_xlfn.DISPIMG("ID_A30F3F35F84540888EDA7676F4482166",1)</f>
        <v>=DISPIMG("ID_A30F3F35F84540888EDA7676F4482166",1)</v>
      </c>
      <c r="Q4" s="15"/>
      <c r="R4" s="15" t="str">
        <f>_xlfn.DISPIMG("ID_F9CC2091B1804DFBAAE15B6F8926512F",1)</f>
        <v>=DISPIMG("ID_F9CC2091B1804DFBAAE15B6F8926512F",1)</v>
      </c>
      <c r="S4" s="15"/>
      <c r="T4" s="15" t="str">
        <f>_xlfn.DISPIMG("ID_92C40EBDE0DA4821899BC6E076B014E0",1)</f>
        <v>=DISPIMG("ID_92C40EBDE0DA4821899BC6E076B014E0",1)</v>
      </c>
      <c r="U4" s="15" t="str">
        <f>_xlfn.DISPIMG("ID_F6CABB9D7CB44875907D47DE21BFFA59",1)</f>
        <v>=DISPIMG("ID_F6CABB9D7CB44875907D47DE21BFFA59",1)</v>
      </c>
      <c r="V4" s="259" t="s">
        <v>802</v>
      </c>
      <c r="W4" s="259"/>
      <c r="X4" s="260"/>
    </row>
    <row r="5" ht="21" customHeight="1" spans="1:24">
      <c r="A5" s="476" t="s">
        <v>803</v>
      </c>
      <c r="B5" s="476"/>
      <c r="C5" s="476"/>
      <c r="D5" s="476"/>
      <c r="E5" s="476"/>
      <c r="F5" s="476"/>
      <c r="G5" s="476"/>
      <c r="H5" s="476"/>
      <c r="I5" s="476"/>
      <c r="J5" s="476"/>
      <c r="K5" s="476"/>
      <c r="L5" s="476"/>
      <c r="M5" s="476"/>
      <c r="N5" s="476"/>
      <c r="O5" s="476"/>
      <c r="P5" s="476"/>
      <c r="Q5" s="476"/>
      <c r="R5" s="476"/>
      <c r="S5" s="476"/>
      <c r="T5" s="476"/>
      <c r="U5" s="476"/>
      <c r="V5" s="476"/>
      <c r="W5" s="476"/>
      <c r="X5" s="476"/>
    </row>
    <row r="6" ht="21" customHeight="1" spans="1:24">
      <c r="A6" s="21" t="s">
        <v>18</v>
      </c>
      <c r="B6" s="22"/>
      <c r="C6" s="23">
        <v>0</v>
      </c>
      <c r="D6" s="24">
        <v>1</v>
      </c>
      <c r="E6" s="24">
        <v>2</v>
      </c>
      <c r="F6" s="24">
        <v>3</v>
      </c>
      <c r="G6" s="24">
        <v>4</v>
      </c>
      <c r="H6" s="24">
        <v>5</v>
      </c>
      <c r="I6" s="24">
        <v>6</v>
      </c>
      <c r="J6" s="24">
        <v>7</v>
      </c>
      <c r="K6" s="135">
        <v>8</v>
      </c>
      <c r="L6" s="136">
        <v>9</v>
      </c>
      <c r="M6" s="137"/>
      <c r="N6" s="138"/>
      <c r="O6" s="139">
        <v>10</v>
      </c>
      <c r="P6" s="140">
        <v>11</v>
      </c>
      <c r="Q6" s="236">
        <v>12</v>
      </c>
      <c r="R6" s="236"/>
      <c r="S6" s="236"/>
      <c r="T6" s="139">
        <v>13</v>
      </c>
      <c r="U6" s="237">
        <v>14</v>
      </c>
      <c r="V6" s="140">
        <v>15</v>
      </c>
      <c r="W6" s="137">
        <v>16</v>
      </c>
      <c r="X6" s="138"/>
    </row>
    <row r="7" ht="21" customHeight="1" spans="1:24">
      <c r="A7" s="73" t="s">
        <v>804</v>
      </c>
      <c r="B7" s="74"/>
      <c r="C7" s="321">
        <v>10</v>
      </c>
      <c r="D7" s="322">
        <v>9.5</v>
      </c>
      <c r="E7" s="322">
        <v>9</v>
      </c>
      <c r="F7" s="322">
        <v>8.5</v>
      </c>
      <c r="G7" s="322">
        <v>8</v>
      </c>
      <c r="H7" s="322">
        <v>7.5</v>
      </c>
      <c r="I7" s="322">
        <v>7</v>
      </c>
      <c r="J7" s="322">
        <v>6.5</v>
      </c>
      <c r="K7" s="361">
        <v>6</v>
      </c>
      <c r="L7" s="362"/>
      <c r="M7" s="159">
        <v>5.5</v>
      </c>
      <c r="N7" s="160"/>
      <c r="O7" s="161">
        <v>5</v>
      </c>
      <c r="P7" s="162">
        <v>4.5</v>
      </c>
      <c r="Q7" s="160"/>
      <c r="R7" s="247">
        <v>4</v>
      </c>
      <c r="S7" s="160"/>
      <c r="T7" s="161">
        <v>3.5</v>
      </c>
      <c r="U7" s="248">
        <v>3</v>
      </c>
      <c r="V7" s="162">
        <v>2.5</v>
      </c>
      <c r="W7" s="249"/>
      <c r="X7" s="250">
        <v>2</v>
      </c>
    </row>
    <row r="8" ht="21" customHeight="1" spans="1:24">
      <c r="A8" s="26" t="s">
        <v>658</v>
      </c>
      <c r="B8" s="315"/>
      <c r="C8" s="323">
        <v>35</v>
      </c>
      <c r="D8" s="324">
        <v>34</v>
      </c>
      <c r="E8" s="324">
        <v>33</v>
      </c>
      <c r="F8" s="324">
        <v>32</v>
      </c>
      <c r="G8" s="324">
        <v>31</v>
      </c>
      <c r="H8" s="324">
        <v>30</v>
      </c>
      <c r="I8" s="324">
        <v>29</v>
      </c>
      <c r="J8" s="324">
        <v>27</v>
      </c>
      <c r="K8" s="363">
        <v>25</v>
      </c>
      <c r="L8" s="364"/>
      <c r="M8" s="143">
        <v>23</v>
      </c>
      <c r="N8" s="144"/>
      <c r="O8" s="145">
        <v>21</v>
      </c>
      <c r="P8" s="146">
        <v>19</v>
      </c>
      <c r="Q8" s="144"/>
      <c r="R8" s="238">
        <v>17</v>
      </c>
      <c r="S8" s="144"/>
      <c r="T8" s="145">
        <v>15</v>
      </c>
      <c r="U8" s="239">
        <v>13</v>
      </c>
      <c r="V8" s="146">
        <v>11</v>
      </c>
      <c r="W8" s="240"/>
      <c r="X8" s="241">
        <v>9</v>
      </c>
    </row>
    <row r="9" ht="21" customHeight="1" spans="1:24">
      <c r="A9" s="477" t="s">
        <v>659</v>
      </c>
      <c r="B9" s="478"/>
      <c r="C9" s="479">
        <v>35</v>
      </c>
      <c r="D9" s="480">
        <v>34</v>
      </c>
      <c r="E9" s="480">
        <v>33</v>
      </c>
      <c r="F9" s="480">
        <v>32</v>
      </c>
      <c r="G9" s="480">
        <v>30</v>
      </c>
      <c r="H9" s="480">
        <v>28</v>
      </c>
      <c r="I9" s="480">
        <v>26</v>
      </c>
      <c r="J9" s="480">
        <v>24</v>
      </c>
      <c r="K9" s="504">
        <v>22</v>
      </c>
      <c r="L9" s="191"/>
      <c r="M9" s="192">
        <v>20</v>
      </c>
      <c r="N9" s="193"/>
      <c r="O9" s="194">
        <v>18</v>
      </c>
      <c r="P9" s="195">
        <v>15</v>
      </c>
      <c r="Q9" s="193"/>
      <c r="R9" s="266">
        <v>13</v>
      </c>
      <c r="S9" s="193"/>
      <c r="T9" s="194">
        <v>10</v>
      </c>
      <c r="U9" s="267">
        <v>8</v>
      </c>
      <c r="V9" s="195">
        <v>5</v>
      </c>
      <c r="W9" s="268"/>
      <c r="X9" s="269">
        <v>3</v>
      </c>
    </row>
    <row r="10" ht="21" customHeight="1" spans="1:24">
      <c r="A10" s="123" t="s">
        <v>805</v>
      </c>
      <c r="B10" s="333"/>
      <c r="C10" s="327">
        <v>35</v>
      </c>
      <c r="D10" s="328">
        <v>34</v>
      </c>
      <c r="E10" s="328">
        <v>33</v>
      </c>
      <c r="F10" s="328">
        <v>32</v>
      </c>
      <c r="G10" s="328">
        <v>31</v>
      </c>
      <c r="H10" s="328">
        <v>30</v>
      </c>
      <c r="I10" s="328">
        <v>29</v>
      </c>
      <c r="J10" s="328">
        <v>27</v>
      </c>
      <c r="K10" s="365">
        <v>25</v>
      </c>
      <c r="L10" s="366"/>
      <c r="M10" s="218">
        <v>23</v>
      </c>
      <c r="N10" s="367"/>
      <c r="O10" s="203">
        <v>21</v>
      </c>
      <c r="P10" s="204">
        <v>19</v>
      </c>
      <c r="Q10" s="367"/>
      <c r="R10" s="272">
        <v>17</v>
      </c>
      <c r="S10" s="367"/>
      <c r="T10" s="203">
        <v>15</v>
      </c>
      <c r="U10" s="273">
        <v>13</v>
      </c>
      <c r="V10" s="204">
        <v>11</v>
      </c>
      <c r="W10" s="403"/>
      <c r="X10" s="275">
        <v>9</v>
      </c>
    </row>
    <row r="11" ht="21" customHeight="1" spans="1:24">
      <c r="A11" s="21" t="s">
        <v>8</v>
      </c>
      <c r="B11" s="22"/>
      <c r="C11" s="23">
        <v>0</v>
      </c>
      <c r="D11" s="24">
        <v>1</v>
      </c>
      <c r="E11" s="24">
        <v>2</v>
      </c>
      <c r="F11" s="24">
        <v>3</v>
      </c>
      <c r="G11" s="24">
        <v>4</v>
      </c>
      <c r="H11" s="24">
        <v>5</v>
      </c>
      <c r="I11" s="24">
        <v>6</v>
      </c>
      <c r="J11" s="24">
        <v>7</v>
      </c>
      <c r="K11" s="135">
        <v>8</v>
      </c>
      <c r="L11" s="136">
        <v>9</v>
      </c>
      <c r="M11" s="137"/>
      <c r="N11" s="138"/>
      <c r="O11" s="139">
        <v>10</v>
      </c>
      <c r="P11" s="140">
        <v>11</v>
      </c>
      <c r="Q11" s="236">
        <v>12</v>
      </c>
      <c r="R11" s="236"/>
      <c r="S11" s="236"/>
      <c r="T11" s="139">
        <v>13</v>
      </c>
      <c r="U11" s="237">
        <v>14</v>
      </c>
      <c r="V11" s="140">
        <v>15</v>
      </c>
      <c r="W11" s="137">
        <v>16</v>
      </c>
      <c r="X11" s="138"/>
    </row>
    <row r="12" ht="21" customHeight="1" spans="1:24">
      <c r="A12" s="26" t="s">
        <v>805</v>
      </c>
      <c r="B12" s="315"/>
      <c r="C12" s="359">
        <v>900</v>
      </c>
      <c r="D12" s="360">
        <v>900</v>
      </c>
      <c r="E12" s="360">
        <v>900</v>
      </c>
      <c r="F12" s="360">
        <v>900</v>
      </c>
      <c r="G12" s="360">
        <v>900</v>
      </c>
      <c r="H12" s="360">
        <v>900</v>
      </c>
      <c r="I12" s="360">
        <v>900</v>
      </c>
      <c r="J12" s="360">
        <v>900</v>
      </c>
      <c r="K12" s="397">
        <v>900</v>
      </c>
      <c r="L12" s="200"/>
      <c r="M12" s="201">
        <v>900</v>
      </c>
      <c r="N12" s="202"/>
      <c r="O12" s="203">
        <v>900</v>
      </c>
      <c r="P12" s="204">
        <v>900</v>
      </c>
      <c r="Q12" s="202"/>
      <c r="R12" s="272">
        <v>900</v>
      </c>
      <c r="S12" s="202"/>
      <c r="T12" s="519">
        <v>1000</v>
      </c>
      <c r="U12" s="530">
        <v>1100</v>
      </c>
      <c r="V12" s="520">
        <v>1200</v>
      </c>
      <c r="W12" s="531"/>
      <c r="X12" s="532">
        <v>1300</v>
      </c>
    </row>
    <row r="13" ht="21" customHeight="1" spans="1:24">
      <c r="A13" s="481" t="s">
        <v>806</v>
      </c>
      <c r="B13" s="482"/>
      <c r="C13" s="483">
        <f t="shared" ref="C13:K13" si="0">INT(C12*1.3)</f>
        <v>1170</v>
      </c>
      <c r="D13" s="484">
        <f t="shared" si="0"/>
        <v>1170</v>
      </c>
      <c r="E13" s="484">
        <f t="shared" si="0"/>
        <v>1170</v>
      </c>
      <c r="F13" s="484">
        <f t="shared" si="0"/>
        <v>1170</v>
      </c>
      <c r="G13" s="484">
        <f t="shared" si="0"/>
        <v>1170</v>
      </c>
      <c r="H13" s="484">
        <f t="shared" si="0"/>
        <v>1170</v>
      </c>
      <c r="I13" s="484">
        <f t="shared" si="0"/>
        <v>1170</v>
      </c>
      <c r="J13" s="484">
        <f t="shared" si="0"/>
        <v>1170</v>
      </c>
      <c r="K13" s="505">
        <f t="shared" si="0"/>
        <v>1170</v>
      </c>
      <c r="L13" s="369"/>
      <c r="M13" s="370">
        <f t="shared" ref="M13:P13" si="1">INT(M12*1.3)</f>
        <v>1170</v>
      </c>
      <c r="N13" s="371"/>
      <c r="O13" s="372">
        <f t="shared" si="1"/>
        <v>1170</v>
      </c>
      <c r="P13" s="373">
        <f t="shared" si="1"/>
        <v>1170</v>
      </c>
      <c r="Q13" s="371"/>
      <c r="R13" s="404">
        <f t="shared" ref="R13:V13" si="2">INT(R12*1.3)</f>
        <v>1170</v>
      </c>
      <c r="S13" s="371"/>
      <c r="T13" s="372">
        <f t="shared" si="2"/>
        <v>1300</v>
      </c>
      <c r="U13" s="405">
        <f t="shared" si="2"/>
        <v>1430</v>
      </c>
      <c r="V13" s="373">
        <f t="shared" si="2"/>
        <v>1560</v>
      </c>
      <c r="W13" s="406"/>
      <c r="X13" s="407">
        <f>INT(X12*1.3)</f>
        <v>1690</v>
      </c>
    </row>
    <row r="14" ht="21" customHeight="1" spans="1:24">
      <c r="A14" s="485" t="s">
        <v>807</v>
      </c>
      <c r="B14" s="486"/>
      <c r="C14" s="486"/>
      <c r="D14" s="486"/>
      <c r="E14" s="486"/>
      <c r="F14" s="486"/>
      <c r="G14" s="486"/>
      <c r="H14" s="486"/>
      <c r="I14" s="486"/>
      <c r="J14" s="486"/>
      <c r="K14" s="486"/>
      <c r="L14" s="486"/>
      <c r="M14" s="486"/>
      <c r="N14" s="486"/>
      <c r="O14" s="486"/>
      <c r="P14" s="486"/>
      <c r="Q14" s="486"/>
      <c r="R14" s="486"/>
      <c r="S14" s="486"/>
      <c r="T14" s="486"/>
      <c r="U14" s="486"/>
      <c r="V14" s="486"/>
      <c r="W14" s="486"/>
      <c r="X14" s="533"/>
    </row>
    <row r="15" ht="21" customHeight="1" spans="1:24">
      <c r="A15" s="21" t="s">
        <v>18</v>
      </c>
      <c r="B15" s="22"/>
      <c r="C15" s="23">
        <v>0</v>
      </c>
      <c r="D15" s="24">
        <v>1</v>
      </c>
      <c r="E15" s="24">
        <v>2</v>
      </c>
      <c r="F15" s="24">
        <v>3</v>
      </c>
      <c r="G15" s="24">
        <v>4</v>
      </c>
      <c r="H15" s="24">
        <v>5</v>
      </c>
      <c r="I15" s="24">
        <v>6</v>
      </c>
      <c r="J15" s="24">
        <v>7</v>
      </c>
      <c r="K15" s="135">
        <v>8</v>
      </c>
      <c r="L15" s="136">
        <v>9</v>
      </c>
      <c r="M15" s="137"/>
      <c r="N15" s="138"/>
      <c r="O15" s="139">
        <v>10</v>
      </c>
      <c r="P15" s="140">
        <v>11</v>
      </c>
      <c r="Q15" s="236">
        <v>12</v>
      </c>
      <c r="R15" s="236"/>
      <c r="S15" s="236"/>
      <c r="T15" s="139">
        <v>13</v>
      </c>
      <c r="U15" s="237">
        <v>14</v>
      </c>
      <c r="V15" s="140">
        <v>15</v>
      </c>
      <c r="W15" s="137">
        <v>16</v>
      </c>
      <c r="X15" s="138"/>
    </row>
    <row r="16" ht="21" customHeight="1" spans="1:24">
      <c r="A16" s="25" t="s">
        <v>804</v>
      </c>
      <c r="B16" s="26"/>
      <c r="C16" s="35">
        <f t="shared" ref="C16:Z16" si="3">C7-1.5</f>
        <v>8.5</v>
      </c>
      <c r="D16" s="36">
        <f t="shared" si="3"/>
        <v>8</v>
      </c>
      <c r="E16" s="36">
        <f t="shared" si="3"/>
        <v>7.5</v>
      </c>
      <c r="F16" s="36">
        <f t="shared" si="3"/>
        <v>7</v>
      </c>
      <c r="G16" s="36">
        <f t="shared" si="3"/>
        <v>6.5</v>
      </c>
      <c r="H16" s="36">
        <f t="shared" si="3"/>
        <v>6</v>
      </c>
      <c r="I16" s="36">
        <f t="shared" si="3"/>
        <v>5.5</v>
      </c>
      <c r="J16" s="36">
        <f t="shared" si="3"/>
        <v>5</v>
      </c>
      <c r="K16" s="153">
        <f t="shared" si="3"/>
        <v>4.5</v>
      </c>
      <c r="L16" s="506">
        <f t="shared" si="3"/>
        <v>-1.5</v>
      </c>
      <c r="M16" s="507">
        <f t="shared" si="3"/>
        <v>4</v>
      </c>
      <c r="N16" s="508">
        <f t="shared" si="3"/>
        <v>-1.5</v>
      </c>
      <c r="O16" s="509">
        <f t="shared" si="3"/>
        <v>3.5</v>
      </c>
      <c r="P16" s="423">
        <f t="shared" si="3"/>
        <v>3</v>
      </c>
      <c r="Q16" s="508">
        <f t="shared" si="3"/>
        <v>-1.5</v>
      </c>
      <c r="R16" s="534">
        <f t="shared" si="3"/>
        <v>2.5</v>
      </c>
      <c r="S16" s="508">
        <f t="shared" si="3"/>
        <v>-1.5</v>
      </c>
      <c r="T16" s="509">
        <f t="shared" si="3"/>
        <v>2</v>
      </c>
      <c r="U16" s="535">
        <f t="shared" si="3"/>
        <v>1.5</v>
      </c>
      <c r="V16" s="423">
        <f t="shared" si="3"/>
        <v>1</v>
      </c>
      <c r="W16" s="424">
        <f t="shared" si="3"/>
        <v>-1.5</v>
      </c>
      <c r="X16" s="425">
        <f t="shared" si="3"/>
        <v>0.5</v>
      </c>
    </row>
    <row r="17" ht="21" customHeight="1" spans="1:24">
      <c r="A17" s="74" t="s">
        <v>808</v>
      </c>
      <c r="B17" s="482"/>
      <c r="C17" s="110">
        <f t="shared" ref="C17:U17" si="4">C7-1.5</f>
        <v>8.5</v>
      </c>
      <c r="D17" s="130">
        <f t="shared" si="4"/>
        <v>8</v>
      </c>
      <c r="E17" s="130">
        <f t="shared" si="4"/>
        <v>7.5</v>
      </c>
      <c r="F17" s="130">
        <f t="shared" si="4"/>
        <v>7</v>
      </c>
      <c r="G17" s="130">
        <f t="shared" si="4"/>
        <v>6.5</v>
      </c>
      <c r="H17" s="130">
        <f t="shared" si="4"/>
        <v>6</v>
      </c>
      <c r="I17" s="130">
        <f t="shared" si="4"/>
        <v>5.5</v>
      </c>
      <c r="J17" s="130">
        <f t="shared" si="4"/>
        <v>5</v>
      </c>
      <c r="K17" s="510">
        <f t="shared" si="4"/>
        <v>4.5</v>
      </c>
      <c r="L17" s="511">
        <f t="shared" si="4"/>
        <v>-1.5</v>
      </c>
      <c r="M17" s="512">
        <f t="shared" si="4"/>
        <v>4</v>
      </c>
      <c r="N17" s="513">
        <f t="shared" si="4"/>
        <v>-1.5</v>
      </c>
      <c r="O17" s="223">
        <f t="shared" si="4"/>
        <v>3.5</v>
      </c>
      <c r="P17" s="224">
        <f t="shared" si="4"/>
        <v>3</v>
      </c>
      <c r="Q17" s="513">
        <f t="shared" si="4"/>
        <v>-1.5</v>
      </c>
      <c r="R17" s="247">
        <f t="shared" si="4"/>
        <v>2.5</v>
      </c>
      <c r="S17" s="513">
        <f t="shared" si="4"/>
        <v>-1.5</v>
      </c>
      <c r="T17" s="223">
        <f t="shared" si="4"/>
        <v>2</v>
      </c>
      <c r="U17" s="298">
        <f t="shared" si="4"/>
        <v>1.5</v>
      </c>
      <c r="V17" s="536">
        <v>2.5</v>
      </c>
      <c r="W17" s="537"/>
      <c r="X17" s="538">
        <v>2</v>
      </c>
    </row>
    <row r="18" ht="21" customHeight="1" spans="1:24">
      <c r="A18" s="25" t="s">
        <v>658</v>
      </c>
      <c r="B18" s="26"/>
      <c r="C18" s="35">
        <f t="shared" ref="C18:K18" si="5">C8-1</f>
        <v>34</v>
      </c>
      <c r="D18" s="36">
        <f t="shared" si="5"/>
        <v>33</v>
      </c>
      <c r="E18" s="36">
        <f t="shared" si="5"/>
        <v>32</v>
      </c>
      <c r="F18" s="36">
        <f t="shared" si="5"/>
        <v>31</v>
      </c>
      <c r="G18" s="36">
        <f t="shared" si="5"/>
        <v>30</v>
      </c>
      <c r="H18" s="36">
        <f t="shared" si="5"/>
        <v>29</v>
      </c>
      <c r="I18" s="36">
        <f t="shared" si="5"/>
        <v>28</v>
      </c>
      <c r="J18" s="36">
        <f t="shared" si="5"/>
        <v>26</v>
      </c>
      <c r="K18" s="153">
        <f t="shared" si="5"/>
        <v>24</v>
      </c>
      <c r="L18" s="154"/>
      <c r="M18" s="155">
        <f t="shared" ref="M18:P18" si="6">M8-1</f>
        <v>22</v>
      </c>
      <c r="N18" s="156"/>
      <c r="O18" s="145">
        <f t="shared" si="6"/>
        <v>20</v>
      </c>
      <c r="P18" s="146">
        <f t="shared" si="6"/>
        <v>18</v>
      </c>
      <c r="Q18" s="156"/>
      <c r="R18" s="238">
        <f t="shared" ref="R18:V18" si="7">R8-1</f>
        <v>16</v>
      </c>
      <c r="S18" s="156"/>
      <c r="T18" s="145">
        <f t="shared" si="7"/>
        <v>14</v>
      </c>
      <c r="U18" s="239">
        <f t="shared" si="7"/>
        <v>12</v>
      </c>
      <c r="V18" s="146">
        <f t="shared" si="7"/>
        <v>10</v>
      </c>
      <c r="W18" s="246"/>
      <c r="X18" s="241">
        <f>X8-1</f>
        <v>8</v>
      </c>
    </row>
    <row r="19" ht="21" customHeight="1" spans="1:24">
      <c r="A19" s="477" t="s">
        <v>659</v>
      </c>
      <c r="B19" s="478"/>
      <c r="C19" s="81">
        <f t="shared" ref="C19:K19" si="8">C9-1</f>
        <v>34</v>
      </c>
      <c r="D19" s="82">
        <f t="shared" si="8"/>
        <v>33</v>
      </c>
      <c r="E19" s="82">
        <f t="shared" si="8"/>
        <v>32</v>
      </c>
      <c r="F19" s="82">
        <f t="shared" si="8"/>
        <v>31</v>
      </c>
      <c r="G19" s="82">
        <f t="shared" si="8"/>
        <v>29</v>
      </c>
      <c r="H19" s="82">
        <f t="shared" si="8"/>
        <v>27</v>
      </c>
      <c r="I19" s="82">
        <f t="shared" si="8"/>
        <v>25</v>
      </c>
      <c r="J19" s="82">
        <f t="shared" si="8"/>
        <v>23</v>
      </c>
      <c r="K19" s="190">
        <f t="shared" si="8"/>
        <v>21</v>
      </c>
      <c r="L19" s="191"/>
      <c r="M19" s="514">
        <f t="shared" ref="M19:P19" si="9">M9-1</f>
        <v>19</v>
      </c>
      <c r="N19" s="193"/>
      <c r="O19" s="194">
        <f t="shared" si="9"/>
        <v>17</v>
      </c>
      <c r="P19" s="195">
        <f t="shared" si="9"/>
        <v>14</v>
      </c>
      <c r="Q19" s="193"/>
      <c r="R19" s="539">
        <f t="shared" ref="R19:V19" si="10">R9-1</f>
        <v>12</v>
      </c>
      <c r="S19" s="193"/>
      <c r="T19" s="194">
        <f t="shared" si="10"/>
        <v>9</v>
      </c>
      <c r="U19" s="267">
        <f t="shared" si="10"/>
        <v>7</v>
      </c>
      <c r="V19" s="195">
        <f t="shared" si="10"/>
        <v>4</v>
      </c>
      <c r="W19" s="268"/>
      <c r="X19" s="269">
        <f>X9-1</f>
        <v>2</v>
      </c>
    </row>
    <row r="20" ht="21" customHeight="1" spans="1:24">
      <c r="A20" s="123" t="s">
        <v>805</v>
      </c>
      <c r="B20" s="333"/>
      <c r="C20" s="327">
        <f t="shared" ref="C20:K20" si="11">C10-2</f>
        <v>33</v>
      </c>
      <c r="D20" s="328">
        <f t="shared" si="11"/>
        <v>32</v>
      </c>
      <c r="E20" s="328">
        <f t="shared" si="11"/>
        <v>31</v>
      </c>
      <c r="F20" s="328">
        <f t="shared" si="11"/>
        <v>30</v>
      </c>
      <c r="G20" s="328">
        <f t="shared" si="11"/>
        <v>29</v>
      </c>
      <c r="H20" s="328">
        <f t="shared" si="11"/>
        <v>28</v>
      </c>
      <c r="I20" s="328">
        <f t="shared" si="11"/>
        <v>27</v>
      </c>
      <c r="J20" s="328">
        <f t="shared" si="11"/>
        <v>25</v>
      </c>
      <c r="K20" s="365">
        <f t="shared" si="11"/>
        <v>23</v>
      </c>
      <c r="L20" s="366"/>
      <c r="M20" s="218">
        <f t="shared" ref="M20:P20" si="12">M10-2</f>
        <v>21</v>
      </c>
      <c r="N20" s="367"/>
      <c r="O20" s="203">
        <f t="shared" si="12"/>
        <v>19</v>
      </c>
      <c r="P20" s="204">
        <f t="shared" si="12"/>
        <v>17</v>
      </c>
      <c r="Q20" s="367"/>
      <c r="R20" s="272">
        <f t="shared" ref="R20:V20" si="13">R10-2</f>
        <v>15</v>
      </c>
      <c r="S20" s="367"/>
      <c r="T20" s="203">
        <f t="shared" si="13"/>
        <v>13</v>
      </c>
      <c r="U20" s="273">
        <f t="shared" si="13"/>
        <v>11</v>
      </c>
      <c r="V20" s="204">
        <f t="shared" si="13"/>
        <v>9</v>
      </c>
      <c r="W20" s="403"/>
      <c r="X20" s="275">
        <f>X10-2</f>
        <v>7</v>
      </c>
    </row>
    <row r="21" ht="21" customHeight="1" spans="1:24">
      <c r="A21" s="21" t="s">
        <v>8</v>
      </c>
      <c r="B21" s="22"/>
      <c r="C21" s="23">
        <v>0</v>
      </c>
      <c r="D21" s="24">
        <v>1</v>
      </c>
      <c r="E21" s="24">
        <v>2</v>
      </c>
      <c r="F21" s="24">
        <v>3</v>
      </c>
      <c r="G21" s="24">
        <v>4</v>
      </c>
      <c r="H21" s="24">
        <v>5</v>
      </c>
      <c r="I21" s="24">
        <v>6</v>
      </c>
      <c r="J21" s="24">
        <v>7</v>
      </c>
      <c r="K21" s="135">
        <v>8</v>
      </c>
      <c r="L21" s="136">
        <v>9</v>
      </c>
      <c r="M21" s="137"/>
      <c r="N21" s="138"/>
      <c r="O21" s="139">
        <v>10</v>
      </c>
      <c r="P21" s="140">
        <v>11</v>
      </c>
      <c r="Q21" s="236">
        <v>12</v>
      </c>
      <c r="R21" s="236"/>
      <c r="S21" s="236"/>
      <c r="T21" s="139">
        <v>13</v>
      </c>
      <c r="U21" s="237">
        <v>14</v>
      </c>
      <c r="V21" s="140">
        <v>15</v>
      </c>
      <c r="W21" s="137">
        <v>16</v>
      </c>
      <c r="X21" s="138"/>
    </row>
    <row r="22" ht="21" customHeight="1" spans="1:24">
      <c r="A22" s="26" t="s">
        <v>805</v>
      </c>
      <c r="B22" s="315"/>
      <c r="C22" s="487">
        <f t="shared" ref="C22:K22" si="14">INT(C12*1.1)</f>
        <v>990</v>
      </c>
      <c r="D22" s="488">
        <f t="shared" si="14"/>
        <v>990</v>
      </c>
      <c r="E22" s="488">
        <f t="shared" si="14"/>
        <v>990</v>
      </c>
      <c r="F22" s="488">
        <f t="shared" si="14"/>
        <v>990</v>
      </c>
      <c r="G22" s="488">
        <f t="shared" si="14"/>
        <v>990</v>
      </c>
      <c r="H22" s="488">
        <f t="shared" si="14"/>
        <v>990</v>
      </c>
      <c r="I22" s="488">
        <f t="shared" si="14"/>
        <v>990</v>
      </c>
      <c r="J22" s="488">
        <f t="shared" si="14"/>
        <v>990</v>
      </c>
      <c r="K22" s="515">
        <f t="shared" si="14"/>
        <v>990</v>
      </c>
      <c r="L22" s="516"/>
      <c r="M22" s="517">
        <f t="shared" ref="M22:P22" si="15">INT(M12*1.1)</f>
        <v>990</v>
      </c>
      <c r="N22" s="518"/>
      <c r="O22" s="519">
        <f t="shared" si="15"/>
        <v>990</v>
      </c>
      <c r="P22" s="520">
        <f t="shared" si="15"/>
        <v>990</v>
      </c>
      <c r="Q22" s="518"/>
      <c r="R22" s="540">
        <f t="shared" ref="R22:V22" si="16">INT(R12*1.1)</f>
        <v>990</v>
      </c>
      <c r="S22" s="518"/>
      <c r="T22" s="519">
        <f t="shared" si="16"/>
        <v>1100</v>
      </c>
      <c r="U22" s="530">
        <f t="shared" si="16"/>
        <v>1210</v>
      </c>
      <c r="V22" s="520">
        <f t="shared" si="16"/>
        <v>1320</v>
      </c>
      <c r="W22" s="531"/>
      <c r="X22" s="532">
        <f>INT(X12*1.1)</f>
        <v>1430</v>
      </c>
    </row>
    <row r="23" ht="21" customHeight="1" spans="1:24">
      <c r="A23" s="481" t="s">
        <v>806</v>
      </c>
      <c r="B23" s="482"/>
      <c r="C23" s="331">
        <f t="shared" ref="C23:K23" si="17">INT(C13*1.1)</f>
        <v>1287</v>
      </c>
      <c r="D23" s="332">
        <f t="shared" si="17"/>
        <v>1287</v>
      </c>
      <c r="E23" s="332">
        <f t="shared" si="17"/>
        <v>1287</v>
      </c>
      <c r="F23" s="332">
        <f t="shared" si="17"/>
        <v>1287</v>
      </c>
      <c r="G23" s="332">
        <f t="shared" si="17"/>
        <v>1287</v>
      </c>
      <c r="H23" s="332">
        <f t="shared" si="17"/>
        <v>1287</v>
      </c>
      <c r="I23" s="332">
        <f t="shared" si="17"/>
        <v>1287</v>
      </c>
      <c r="J23" s="332">
        <f t="shared" si="17"/>
        <v>1287</v>
      </c>
      <c r="K23" s="368">
        <f t="shared" si="17"/>
        <v>1287</v>
      </c>
      <c r="L23" s="369"/>
      <c r="M23" s="370">
        <f t="shared" ref="M23:P23" si="18">INT(M13*1.1)</f>
        <v>1287</v>
      </c>
      <c r="N23" s="371"/>
      <c r="O23" s="372">
        <f t="shared" si="18"/>
        <v>1287</v>
      </c>
      <c r="P23" s="373">
        <f t="shared" si="18"/>
        <v>1287</v>
      </c>
      <c r="Q23" s="371"/>
      <c r="R23" s="404">
        <f t="shared" ref="R23:V23" si="19">INT(R13*1.1)</f>
        <v>1287</v>
      </c>
      <c r="S23" s="371"/>
      <c r="T23" s="372">
        <f t="shared" si="19"/>
        <v>1430</v>
      </c>
      <c r="U23" s="405">
        <f t="shared" si="19"/>
        <v>1573</v>
      </c>
      <c r="V23" s="373">
        <f t="shared" si="19"/>
        <v>1716</v>
      </c>
      <c r="W23" s="406"/>
      <c r="X23" s="407">
        <f>INT(X13*1.1)</f>
        <v>1859</v>
      </c>
    </row>
    <row r="24" ht="21" customHeight="1" spans="1:24">
      <c r="A24" s="59" t="s">
        <v>288</v>
      </c>
      <c r="B24" s="60"/>
      <c r="C24" s="61">
        <v>0</v>
      </c>
      <c r="D24" s="62">
        <v>1</v>
      </c>
      <c r="E24" s="62">
        <v>2</v>
      </c>
      <c r="F24" s="63">
        <v>3</v>
      </c>
      <c r="G24" s="62">
        <v>4</v>
      </c>
      <c r="H24" s="64">
        <v>5</v>
      </c>
      <c r="I24" s="62">
        <v>6</v>
      </c>
      <c r="J24" s="174">
        <v>7</v>
      </c>
      <c r="K24" s="175">
        <v>8</v>
      </c>
      <c r="L24" s="521" t="s">
        <v>809</v>
      </c>
      <c r="M24" s="205"/>
      <c r="N24" s="205"/>
      <c r="O24" s="205"/>
      <c r="P24" s="205"/>
      <c r="Q24" s="205"/>
      <c r="R24" s="205"/>
      <c r="S24" s="205"/>
      <c r="T24" s="205"/>
      <c r="U24" s="205"/>
      <c r="V24" s="205"/>
      <c r="W24" s="205"/>
      <c r="X24" s="276"/>
    </row>
    <row r="25" ht="21" customHeight="1" spans="1:24">
      <c r="A25" s="25" t="s">
        <v>804</v>
      </c>
      <c r="B25" s="25"/>
      <c r="C25" s="89">
        <v>60</v>
      </c>
      <c r="D25" s="90">
        <v>59.7</v>
      </c>
      <c r="E25" s="90">
        <v>59.4</v>
      </c>
      <c r="F25" s="91">
        <v>59.1</v>
      </c>
      <c r="G25" s="90">
        <v>58.7</v>
      </c>
      <c r="H25" s="92">
        <v>58.3</v>
      </c>
      <c r="I25" s="90">
        <v>57.8</v>
      </c>
      <c r="J25" s="206">
        <v>57.3</v>
      </c>
      <c r="K25" s="207">
        <v>56.8</v>
      </c>
      <c r="L25" s="86" t="s">
        <v>810</v>
      </c>
      <c r="M25" s="205"/>
      <c r="N25" s="205"/>
      <c r="O25" s="205"/>
      <c r="P25" s="205"/>
      <c r="Q25" s="205"/>
      <c r="R25" s="205"/>
      <c r="S25" s="205"/>
      <c r="T25" s="205"/>
      <c r="U25" s="205"/>
      <c r="V25" s="205"/>
      <c r="W25" s="205"/>
      <c r="X25" s="276"/>
    </row>
    <row r="26" ht="21" customHeight="1" spans="1:24">
      <c r="A26" s="489" t="s">
        <v>811</v>
      </c>
      <c r="B26" s="489"/>
      <c r="C26" s="490">
        <v>60</v>
      </c>
      <c r="D26" s="491">
        <v>57</v>
      </c>
      <c r="E26" s="491">
        <v>54</v>
      </c>
      <c r="F26" s="68">
        <v>51</v>
      </c>
      <c r="G26" s="491">
        <v>47</v>
      </c>
      <c r="H26" s="68">
        <v>43</v>
      </c>
      <c r="I26" s="491">
        <v>38</v>
      </c>
      <c r="J26" s="68">
        <v>33</v>
      </c>
      <c r="K26" s="522">
        <v>28</v>
      </c>
      <c r="L26" s="86" t="s">
        <v>812</v>
      </c>
      <c r="M26" s="205"/>
      <c r="N26" s="205"/>
      <c r="O26" s="205"/>
      <c r="P26" s="205"/>
      <c r="Q26" s="205"/>
      <c r="R26" s="205"/>
      <c r="S26" s="205"/>
      <c r="T26" s="205"/>
      <c r="U26" s="205"/>
      <c r="V26" s="205"/>
      <c r="W26" s="205"/>
      <c r="X26" s="276"/>
    </row>
    <row r="27" ht="21" customHeight="1" spans="1:24">
      <c r="A27" s="122" t="s">
        <v>658</v>
      </c>
      <c r="B27" s="122"/>
      <c r="C27" s="41">
        <v>50</v>
      </c>
      <c r="D27" s="42">
        <v>47</v>
      </c>
      <c r="E27" s="42">
        <v>44</v>
      </c>
      <c r="F27" s="43">
        <v>41</v>
      </c>
      <c r="G27" s="42">
        <v>38</v>
      </c>
      <c r="H27" s="44">
        <v>35</v>
      </c>
      <c r="I27" s="42">
        <v>32</v>
      </c>
      <c r="J27" s="163">
        <v>29</v>
      </c>
      <c r="K27" s="164">
        <v>26</v>
      </c>
      <c r="L27" s="523" t="s">
        <v>662</v>
      </c>
      <c r="M27" s="177"/>
      <c r="N27" s="177"/>
      <c r="O27" s="177"/>
      <c r="P27" s="177"/>
      <c r="Q27" s="177"/>
      <c r="R27" s="177"/>
      <c r="S27" s="177"/>
      <c r="T27" s="177"/>
      <c r="U27" s="177"/>
      <c r="V27" s="177"/>
      <c r="W27" s="177"/>
      <c r="X27" s="258"/>
    </row>
    <row r="28" ht="21" customHeight="1" spans="1:24">
      <c r="A28" s="65" t="s">
        <v>813</v>
      </c>
      <c r="B28" s="65"/>
      <c r="C28" s="66">
        <v>35</v>
      </c>
      <c r="D28" s="67">
        <v>32</v>
      </c>
      <c r="E28" s="67">
        <v>29</v>
      </c>
      <c r="F28" s="93">
        <v>26</v>
      </c>
      <c r="G28" s="67">
        <v>23</v>
      </c>
      <c r="H28" s="69">
        <v>20</v>
      </c>
      <c r="I28" s="67">
        <v>17</v>
      </c>
      <c r="J28" s="178">
        <v>14</v>
      </c>
      <c r="K28" s="378">
        <v>9</v>
      </c>
      <c r="L28" s="176" t="s">
        <v>814</v>
      </c>
      <c r="M28" s="177"/>
      <c r="N28" s="177"/>
      <c r="O28" s="177"/>
      <c r="P28" s="177"/>
      <c r="Q28" s="177"/>
      <c r="R28" s="177"/>
      <c r="S28" s="177"/>
      <c r="T28" s="177"/>
      <c r="U28" s="177"/>
      <c r="V28" s="177"/>
      <c r="W28" s="177"/>
      <c r="X28" s="258"/>
    </row>
    <row r="29" ht="21" customHeight="1" spans="1:24">
      <c r="A29" s="122" t="s">
        <v>815</v>
      </c>
      <c r="B29" s="122"/>
      <c r="C29" s="41">
        <f t="shared" ref="C29:K29" si="20">C28-2</f>
        <v>33</v>
      </c>
      <c r="D29" s="42">
        <f t="shared" si="20"/>
        <v>30</v>
      </c>
      <c r="E29" s="42">
        <f t="shared" si="20"/>
        <v>27</v>
      </c>
      <c r="F29" s="43">
        <f t="shared" si="20"/>
        <v>24</v>
      </c>
      <c r="G29" s="42">
        <f t="shared" si="20"/>
        <v>21</v>
      </c>
      <c r="H29" s="44">
        <f t="shared" si="20"/>
        <v>18</v>
      </c>
      <c r="I29" s="42">
        <f t="shared" si="20"/>
        <v>15</v>
      </c>
      <c r="J29" s="163">
        <f t="shared" si="20"/>
        <v>12</v>
      </c>
      <c r="K29" s="164">
        <f t="shared" si="20"/>
        <v>7</v>
      </c>
      <c r="L29" s="523" t="s">
        <v>816</v>
      </c>
      <c r="M29" s="177"/>
      <c r="N29" s="177"/>
      <c r="O29" s="177"/>
      <c r="P29" s="177"/>
      <c r="Q29" s="177"/>
      <c r="R29" s="177"/>
      <c r="S29" s="177"/>
      <c r="T29" s="177"/>
      <c r="U29" s="177"/>
      <c r="V29" s="177"/>
      <c r="W29" s="177"/>
      <c r="X29" s="258"/>
    </row>
    <row r="30" ht="21" customHeight="1" spans="1:24">
      <c r="A30" s="492" t="s">
        <v>817</v>
      </c>
      <c r="B30" s="493"/>
      <c r="C30" s="493"/>
      <c r="D30" s="493"/>
      <c r="E30" s="493"/>
      <c r="F30" s="493"/>
      <c r="G30" s="493"/>
      <c r="H30" s="493"/>
      <c r="I30" s="493"/>
      <c r="J30" s="493"/>
      <c r="K30" s="493"/>
      <c r="L30" s="493"/>
      <c r="M30" s="493"/>
      <c r="N30" s="493"/>
      <c r="O30" s="493"/>
      <c r="P30" s="493"/>
      <c r="Q30" s="493"/>
      <c r="R30" s="493"/>
      <c r="S30" s="493"/>
      <c r="T30" s="493"/>
      <c r="U30" s="492" t="str">
        <f>_xlfn.DISPIMG("ID_A73E0F0BB3E54B4389DEEBAFDD83D2DB",1)</f>
        <v>=DISPIMG("ID_A73E0F0BB3E54B4389DEEBAFDD83D2DB",1)</v>
      </c>
      <c r="V30" s="493"/>
      <c r="W30" s="493"/>
      <c r="X30" s="541"/>
    </row>
    <row r="31" ht="21" customHeight="1" spans="1:24">
      <c r="A31" s="494"/>
      <c r="B31" s="495"/>
      <c r="C31" s="495"/>
      <c r="D31" s="495"/>
      <c r="E31" s="495"/>
      <c r="F31" s="495"/>
      <c r="G31" s="495"/>
      <c r="H31" s="495"/>
      <c r="I31" s="495"/>
      <c r="J31" s="495"/>
      <c r="K31" s="495"/>
      <c r="L31" s="495"/>
      <c r="M31" s="495"/>
      <c r="N31" s="495"/>
      <c r="O31" s="495"/>
      <c r="P31" s="495"/>
      <c r="Q31" s="495"/>
      <c r="R31" s="495"/>
      <c r="S31" s="495"/>
      <c r="T31" s="495"/>
      <c r="U31" s="494"/>
      <c r="V31" s="495"/>
      <c r="W31" s="495"/>
      <c r="X31" s="542"/>
    </row>
    <row r="32" ht="21" customHeight="1" spans="1:24">
      <c r="A32" s="494"/>
      <c r="B32" s="495"/>
      <c r="C32" s="495"/>
      <c r="D32" s="495"/>
      <c r="E32" s="495"/>
      <c r="F32" s="495"/>
      <c r="G32" s="495"/>
      <c r="H32" s="495"/>
      <c r="I32" s="495"/>
      <c r="J32" s="495"/>
      <c r="K32" s="495"/>
      <c r="L32" s="495"/>
      <c r="M32" s="495"/>
      <c r="N32" s="495"/>
      <c r="O32" s="495"/>
      <c r="P32" s="495"/>
      <c r="Q32" s="495"/>
      <c r="R32" s="495"/>
      <c r="S32" s="495"/>
      <c r="T32" s="495"/>
      <c r="U32" s="494"/>
      <c r="V32" s="495"/>
      <c r="W32" s="495"/>
      <c r="X32" s="542"/>
    </row>
    <row r="33" ht="21" customHeight="1" spans="1:24">
      <c r="A33" s="494"/>
      <c r="B33" s="495"/>
      <c r="C33" s="495"/>
      <c r="D33" s="495"/>
      <c r="E33" s="495"/>
      <c r="F33" s="495"/>
      <c r="G33" s="495"/>
      <c r="H33" s="495"/>
      <c r="I33" s="495"/>
      <c r="J33" s="495"/>
      <c r="K33" s="495"/>
      <c r="L33" s="495"/>
      <c r="M33" s="495"/>
      <c r="N33" s="495"/>
      <c r="O33" s="495"/>
      <c r="P33" s="495"/>
      <c r="Q33" s="495"/>
      <c r="R33" s="495"/>
      <c r="S33" s="495"/>
      <c r="T33" s="495"/>
      <c r="U33" s="494"/>
      <c r="V33" s="495"/>
      <c r="W33" s="495"/>
      <c r="X33" s="542"/>
    </row>
    <row r="34" ht="21" customHeight="1" spans="1:24">
      <c r="A34" s="494"/>
      <c r="B34" s="495"/>
      <c r="C34" s="495"/>
      <c r="D34" s="495"/>
      <c r="E34" s="495"/>
      <c r="F34" s="495"/>
      <c r="G34" s="495"/>
      <c r="H34" s="495"/>
      <c r="I34" s="495"/>
      <c r="J34" s="495"/>
      <c r="K34" s="495"/>
      <c r="L34" s="495"/>
      <c r="M34" s="495"/>
      <c r="N34" s="495"/>
      <c r="O34" s="495"/>
      <c r="P34" s="495"/>
      <c r="Q34" s="495"/>
      <c r="R34" s="495"/>
      <c r="S34" s="495"/>
      <c r="T34" s="495"/>
      <c r="U34" s="543"/>
      <c r="V34" s="544"/>
      <c r="W34" s="544"/>
      <c r="X34" s="545"/>
    </row>
    <row r="35" ht="21" customHeight="1" spans="1:24">
      <c r="A35" s="45"/>
      <c r="B35" s="46"/>
      <c r="C35" s="46"/>
      <c r="D35" s="46"/>
      <c r="E35" s="46"/>
      <c r="F35" s="46"/>
      <c r="G35" s="46"/>
      <c r="H35" s="46"/>
      <c r="I35" s="46"/>
      <c r="J35" s="46"/>
      <c r="K35" s="46"/>
      <c r="L35" s="46"/>
      <c r="M35" s="46"/>
      <c r="N35" s="46"/>
      <c r="O35" s="46"/>
      <c r="P35" s="46"/>
      <c r="Q35" s="46"/>
      <c r="R35" s="46"/>
      <c r="S35" s="46"/>
      <c r="T35" s="46"/>
      <c r="U35" s="46"/>
      <c r="V35" s="46"/>
      <c r="W35" s="46"/>
      <c r="X35" s="252"/>
    </row>
    <row r="36" ht="44" customHeight="1" spans="1:24">
      <c r="A36" s="47" t="str">
        <f>_xlfn.DISPIMG("ID_D877B27F105045D9858FA5F0207A0A73",1)</f>
        <v>=DISPIMG("ID_D877B27F105045D9858FA5F0207A0A73",1)</v>
      </c>
      <c r="B36" s="48" t="str">
        <f>_xlfn.DISPIMG("ID_74223B34BB0145C2986BBD1A05A8E3A3",1)</f>
        <v>=DISPIMG("ID_74223B34BB0145C2986BBD1A05A8E3A3",1)</v>
      </c>
      <c r="C36" s="48" t="str">
        <f>_xlfn.DISPIMG("ID_9AAB9EA9A63C486EA65E649ABFD7A0AC",1)</f>
        <v>=DISPIMG("ID_9AAB9EA9A63C486EA65E649ABFD7A0AC",1)</v>
      </c>
      <c r="D36" s="48" t="str">
        <f>_xlfn.DISPIMG("ID_7A96F5A1675749ECA25BB8CA968D251E",1)</f>
        <v>=DISPIMG("ID_7A96F5A1675749ECA25BB8CA968D251E",1)</v>
      </c>
      <c r="E36" s="48" t="str">
        <f>_xlfn.DISPIMG("ID_329BB94EBE0B4E54A736C3DDA23D9246",1)</f>
        <v>=DISPIMG("ID_329BB94EBE0B4E54A736C3DDA23D9246",1)</v>
      </c>
      <c r="F36" s="70" t="str">
        <f>_xlfn.DISPIMG("ID_BB2296AB8EBB4D838EB6B47B067F416B",1)</f>
        <v>=DISPIMG("ID_BB2296AB8EBB4D838EB6B47B067F416B",1)</v>
      </c>
      <c r="G36" s="334" t="s">
        <v>818</v>
      </c>
      <c r="H36" s="335"/>
      <c r="I36" s="335"/>
      <c r="J36" s="335"/>
      <c r="K36" s="335"/>
      <c r="L36" s="335"/>
      <c r="M36" s="335"/>
      <c r="N36" s="335"/>
      <c r="O36" s="374"/>
      <c r="P36" s="375" t="str">
        <f>_xlfn.DISPIMG("ID_920A0A5805A349C691911435D4CBB919",1)</f>
        <v>=DISPIMG("ID_920A0A5805A349C691911435D4CBB919",1)</v>
      </c>
      <c r="Q36" s="409"/>
      <c r="R36" s="409" t="str">
        <f>_xlfn.DISPIMG("ID_ED9EDF322045482D8D7B224883E1B1DD",1)</f>
        <v>=DISPIMG("ID_ED9EDF322045482D8D7B224883E1B1DD",1)</v>
      </c>
      <c r="S36" s="409"/>
      <c r="T36" s="409" t="str">
        <f>_xlfn.DISPIMG("ID_2ED071A637D04CD1B6382BAF1A85F210",1)</f>
        <v>=DISPIMG("ID_2ED071A637D04CD1B6382BAF1A85F210",1)</v>
      </c>
      <c r="U36" s="409" t="str">
        <f>_xlfn.DISPIMG("ID_35718638A43F4081B76E5027D585EF25",1)</f>
        <v>=DISPIMG("ID_35718638A43F4081B76E5027D585EF25",1)</v>
      </c>
      <c r="V36" s="409" t="str">
        <f>_xlfn.DISPIMG("ID_710639C454154DFCA864BB4285CBD05E",1)</f>
        <v>=DISPIMG("ID_710639C454154DFCA864BB4285CBD05E",1)</v>
      </c>
      <c r="W36" s="409"/>
      <c r="X36" s="410"/>
    </row>
    <row r="37" ht="21" customHeight="1" spans="1:24">
      <c r="A37" s="476" t="s">
        <v>819</v>
      </c>
      <c r="B37" s="476"/>
      <c r="C37" s="476"/>
      <c r="D37" s="476"/>
      <c r="E37" s="476"/>
      <c r="F37" s="476"/>
      <c r="G37" s="476"/>
      <c r="H37" s="476"/>
      <c r="I37" s="476"/>
      <c r="J37" s="476"/>
      <c r="K37" s="476"/>
      <c r="L37" s="476"/>
      <c r="M37" s="476"/>
      <c r="N37" s="476"/>
      <c r="O37" s="476"/>
      <c r="P37" s="476"/>
      <c r="Q37" s="476"/>
      <c r="R37" s="476"/>
      <c r="S37" s="476"/>
      <c r="T37" s="476"/>
      <c r="U37" s="476"/>
      <c r="V37" s="476"/>
      <c r="W37" s="476"/>
      <c r="X37" s="476"/>
    </row>
    <row r="38" ht="21" customHeight="1" spans="1:24">
      <c r="A38" s="21" t="s">
        <v>288</v>
      </c>
      <c r="B38" s="22"/>
      <c r="C38" s="23">
        <v>0</v>
      </c>
      <c r="D38" s="24">
        <v>1</v>
      </c>
      <c r="E38" s="24">
        <v>2</v>
      </c>
      <c r="F38" s="24">
        <v>3</v>
      </c>
      <c r="G38" s="24">
        <v>4</v>
      </c>
      <c r="H38" s="24">
        <v>5</v>
      </c>
      <c r="I38" s="24">
        <v>6</v>
      </c>
      <c r="J38" s="24">
        <v>7</v>
      </c>
      <c r="K38" s="135">
        <v>8</v>
      </c>
      <c r="L38" s="136">
        <v>9</v>
      </c>
      <c r="M38" s="137"/>
      <c r="N38" s="138"/>
      <c r="O38" s="139">
        <v>10</v>
      </c>
      <c r="P38" s="140">
        <v>11</v>
      </c>
      <c r="Q38" s="236">
        <v>12</v>
      </c>
      <c r="R38" s="236"/>
      <c r="S38" s="236"/>
      <c r="T38" s="139">
        <v>13</v>
      </c>
      <c r="U38" s="237">
        <v>14</v>
      </c>
      <c r="V38" s="140">
        <v>15</v>
      </c>
      <c r="W38" s="137">
        <v>16</v>
      </c>
      <c r="X38" s="138"/>
    </row>
    <row r="39" ht="21" customHeight="1" spans="1:24">
      <c r="A39" s="73" t="s">
        <v>820</v>
      </c>
      <c r="B39" s="74"/>
      <c r="C39" s="321">
        <v>50</v>
      </c>
      <c r="D39" s="322">
        <v>48</v>
      </c>
      <c r="E39" s="322">
        <v>46</v>
      </c>
      <c r="F39" s="322">
        <v>44</v>
      </c>
      <c r="G39" s="322">
        <v>42</v>
      </c>
      <c r="H39" s="322">
        <v>40</v>
      </c>
      <c r="I39" s="322">
        <v>38</v>
      </c>
      <c r="J39" s="322">
        <v>35</v>
      </c>
      <c r="K39" s="361">
        <v>32</v>
      </c>
      <c r="L39" s="362"/>
      <c r="M39" s="159">
        <v>29</v>
      </c>
      <c r="N39" s="160"/>
      <c r="O39" s="161">
        <v>26</v>
      </c>
      <c r="P39" s="162">
        <v>23</v>
      </c>
      <c r="Q39" s="160"/>
      <c r="R39" s="247">
        <v>20</v>
      </c>
      <c r="S39" s="160"/>
      <c r="T39" s="161">
        <v>17</v>
      </c>
      <c r="U39" s="248">
        <v>14</v>
      </c>
      <c r="V39" s="162">
        <v>11</v>
      </c>
      <c r="W39" s="249"/>
      <c r="X39" s="250">
        <v>7</v>
      </c>
    </row>
    <row r="40" ht="21" customHeight="1" spans="1:24">
      <c r="A40" s="122" t="s">
        <v>821</v>
      </c>
      <c r="B40" s="123"/>
      <c r="C40" s="336">
        <v>50</v>
      </c>
      <c r="D40" s="337">
        <v>48</v>
      </c>
      <c r="E40" s="337">
        <v>46</v>
      </c>
      <c r="F40" s="337">
        <v>44</v>
      </c>
      <c r="G40" s="337">
        <v>42</v>
      </c>
      <c r="H40" s="337">
        <v>40</v>
      </c>
      <c r="I40" s="337">
        <v>38</v>
      </c>
      <c r="J40" s="337">
        <v>35</v>
      </c>
      <c r="K40" s="379">
        <v>32</v>
      </c>
      <c r="L40" s="380"/>
      <c r="M40" s="218">
        <v>29</v>
      </c>
      <c r="N40" s="367"/>
      <c r="O40" s="203">
        <v>26</v>
      </c>
      <c r="P40" s="204">
        <v>23</v>
      </c>
      <c r="Q40" s="367"/>
      <c r="R40" s="272">
        <v>20</v>
      </c>
      <c r="S40" s="367"/>
      <c r="T40" s="203">
        <v>17</v>
      </c>
      <c r="U40" s="273">
        <v>14</v>
      </c>
      <c r="V40" s="204">
        <v>11</v>
      </c>
      <c r="W40" s="403"/>
      <c r="X40" s="275">
        <v>8</v>
      </c>
    </row>
    <row r="41" ht="21" customHeight="1" spans="1:24">
      <c r="A41" s="73" t="s">
        <v>822</v>
      </c>
      <c r="B41" s="74"/>
      <c r="C41" s="321">
        <v>90</v>
      </c>
      <c r="D41" s="322">
        <v>88</v>
      </c>
      <c r="E41" s="322">
        <v>86</v>
      </c>
      <c r="F41" s="322">
        <v>84</v>
      </c>
      <c r="G41" s="322">
        <v>82</v>
      </c>
      <c r="H41" s="322">
        <v>80</v>
      </c>
      <c r="I41" s="322">
        <v>78</v>
      </c>
      <c r="J41" s="322">
        <v>75</v>
      </c>
      <c r="K41" s="361">
        <v>72</v>
      </c>
      <c r="L41" s="362"/>
      <c r="M41" s="159">
        <v>69</v>
      </c>
      <c r="N41" s="160"/>
      <c r="O41" s="161">
        <v>66</v>
      </c>
      <c r="P41" s="162">
        <v>63</v>
      </c>
      <c r="Q41" s="160"/>
      <c r="R41" s="247">
        <v>60</v>
      </c>
      <c r="S41" s="160"/>
      <c r="T41" s="161">
        <v>57</v>
      </c>
      <c r="U41" s="248">
        <v>54</v>
      </c>
      <c r="V41" s="162">
        <v>51</v>
      </c>
      <c r="W41" s="249"/>
      <c r="X41" s="250">
        <v>48</v>
      </c>
    </row>
    <row r="42" ht="21" customHeight="1" spans="1:24">
      <c r="A42" s="496" t="s">
        <v>823</v>
      </c>
      <c r="B42" s="176"/>
      <c r="C42" s="336">
        <v>30</v>
      </c>
      <c r="D42" s="337">
        <v>29</v>
      </c>
      <c r="E42" s="337">
        <v>28</v>
      </c>
      <c r="F42" s="337">
        <v>27</v>
      </c>
      <c r="G42" s="337">
        <v>26</v>
      </c>
      <c r="H42" s="337">
        <v>25</v>
      </c>
      <c r="I42" s="337">
        <v>24</v>
      </c>
      <c r="J42" s="337">
        <v>23</v>
      </c>
      <c r="K42" s="379">
        <v>22</v>
      </c>
      <c r="L42" s="380"/>
      <c r="M42" s="381">
        <v>20</v>
      </c>
      <c r="N42" s="367"/>
      <c r="O42" s="382">
        <v>18</v>
      </c>
      <c r="P42" s="383">
        <v>16</v>
      </c>
      <c r="Q42" s="367"/>
      <c r="R42" s="416">
        <v>14</v>
      </c>
      <c r="S42" s="367"/>
      <c r="T42" s="382">
        <v>12</v>
      </c>
      <c r="U42" s="417">
        <v>10</v>
      </c>
      <c r="V42" s="383">
        <v>8</v>
      </c>
      <c r="W42" s="403"/>
      <c r="X42" s="418">
        <v>7</v>
      </c>
    </row>
    <row r="43" s="1" customFormat="1" ht="21" customHeight="1" spans="1:24">
      <c r="A43" s="73" t="s">
        <v>824</v>
      </c>
      <c r="B43" s="74"/>
      <c r="C43" s="75">
        <v>55</v>
      </c>
      <c r="D43" s="76">
        <v>54</v>
      </c>
      <c r="E43" s="76">
        <v>53</v>
      </c>
      <c r="F43" s="76">
        <v>52</v>
      </c>
      <c r="G43" s="76">
        <v>50</v>
      </c>
      <c r="H43" s="76">
        <v>48</v>
      </c>
      <c r="I43" s="76">
        <v>46</v>
      </c>
      <c r="J43" s="76">
        <v>43</v>
      </c>
      <c r="K43" s="182">
        <v>41</v>
      </c>
      <c r="L43" s="524"/>
      <c r="M43" s="197">
        <v>38</v>
      </c>
      <c r="N43" s="525"/>
      <c r="O43" s="161">
        <v>35</v>
      </c>
      <c r="P43" s="162">
        <v>32</v>
      </c>
      <c r="Q43" s="525"/>
      <c r="R43" s="247">
        <v>28</v>
      </c>
      <c r="S43" s="525"/>
      <c r="T43" s="161">
        <v>25</v>
      </c>
      <c r="U43" s="248">
        <v>22</v>
      </c>
      <c r="V43" s="162">
        <v>19</v>
      </c>
      <c r="W43" s="546"/>
      <c r="X43" s="250">
        <v>16</v>
      </c>
    </row>
    <row r="44" s="475" customFormat="1" ht="21" customHeight="1" spans="1:24">
      <c r="A44" s="497" t="s">
        <v>825</v>
      </c>
      <c r="B44" s="497"/>
      <c r="C44" s="497"/>
      <c r="D44" s="497"/>
      <c r="E44" s="497"/>
      <c r="F44" s="497"/>
      <c r="G44" s="497"/>
      <c r="H44" s="497"/>
      <c r="I44" s="497"/>
      <c r="J44" s="497"/>
      <c r="K44" s="497"/>
      <c r="L44" s="497"/>
      <c r="M44" s="497"/>
      <c r="N44" s="497"/>
      <c r="O44" s="497"/>
      <c r="P44" s="497"/>
      <c r="Q44" s="497"/>
      <c r="R44" s="497"/>
      <c r="S44" s="497"/>
      <c r="T44" s="497"/>
      <c r="U44" s="497"/>
      <c r="V44" s="497"/>
      <c r="W44" s="497"/>
      <c r="X44" s="497"/>
    </row>
    <row r="45" s="475" customFormat="1" ht="21" customHeight="1" spans="1:24">
      <c r="A45" s="452" t="s">
        <v>826</v>
      </c>
      <c r="B45" s="453"/>
      <c r="C45" s="453"/>
      <c r="D45" s="453"/>
      <c r="E45" s="453"/>
      <c r="F45" s="453"/>
      <c r="G45" s="453"/>
      <c r="H45" s="453"/>
      <c r="I45" s="453"/>
      <c r="J45" s="453"/>
      <c r="K45" s="453"/>
      <c r="L45" s="453"/>
      <c r="M45" s="453"/>
      <c r="N45" s="453"/>
      <c r="O45" s="453"/>
      <c r="P45" s="453"/>
      <c r="Q45" s="453"/>
      <c r="R45" s="453"/>
      <c r="S45" s="453"/>
      <c r="T45" s="453"/>
      <c r="U45" s="453"/>
      <c r="V45" s="453"/>
      <c r="W45" s="453"/>
      <c r="X45" s="467"/>
    </row>
    <row r="46" s="475" customFormat="1" ht="21" customHeight="1" spans="1:24">
      <c r="A46" s="450" t="s">
        <v>827</v>
      </c>
      <c r="B46" s="451"/>
      <c r="C46" s="451"/>
      <c r="D46" s="451"/>
      <c r="E46" s="451"/>
      <c r="F46" s="451"/>
      <c r="G46" s="451"/>
      <c r="H46" s="451"/>
      <c r="I46" s="451"/>
      <c r="J46" s="466"/>
      <c r="K46" s="453" t="s">
        <v>828</v>
      </c>
      <c r="L46" s="453"/>
      <c r="M46" s="453"/>
      <c r="N46" s="453"/>
      <c r="O46" s="453"/>
      <c r="P46" s="453"/>
      <c r="Q46" s="453"/>
      <c r="R46" s="453"/>
      <c r="S46" s="453"/>
      <c r="T46" s="453"/>
      <c r="U46" s="453"/>
      <c r="V46" s="453"/>
      <c r="W46" s="453"/>
      <c r="X46" s="467"/>
    </row>
    <row r="47" s="475" customFormat="1" ht="21" customHeight="1" spans="1:24">
      <c r="A47" s="452" t="s">
        <v>829</v>
      </c>
      <c r="B47" s="453"/>
      <c r="C47" s="453"/>
      <c r="D47" s="453"/>
      <c r="E47" s="453"/>
      <c r="F47" s="453"/>
      <c r="G47" s="453"/>
      <c r="H47" s="453"/>
      <c r="I47" s="453"/>
      <c r="J47" s="467"/>
      <c r="K47" s="451" t="s">
        <v>830</v>
      </c>
      <c r="L47" s="451"/>
      <c r="M47" s="451"/>
      <c r="N47" s="451"/>
      <c r="O47" s="451"/>
      <c r="P47" s="451"/>
      <c r="Q47" s="451"/>
      <c r="R47" s="451"/>
      <c r="S47" s="451"/>
      <c r="T47" s="451"/>
      <c r="U47" s="451"/>
      <c r="V47" s="451"/>
      <c r="W47" s="451"/>
      <c r="X47" s="466"/>
    </row>
    <row r="48" s="475" customFormat="1" ht="21" customHeight="1" spans="1:24">
      <c r="A48" s="498" t="s">
        <v>831</v>
      </c>
      <c r="B48" s="499"/>
      <c r="C48" s="499"/>
      <c r="D48" s="499"/>
      <c r="E48" s="499"/>
      <c r="F48" s="499"/>
      <c r="G48" s="499"/>
      <c r="H48" s="499"/>
      <c r="I48" s="499"/>
      <c r="J48" s="526"/>
      <c r="K48" s="391" t="s">
        <v>832</v>
      </c>
      <c r="L48" s="391"/>
      <c r="M48" s="391"/>
      <c r="N48" s="391"/>
      <c r="O48" s="391"/>
      <c r="P48" s="391"/>
      <c r="Q48" s="391"/>
      <c r="R48" s="391"/>
      <c r="S48" s="391"/>
      <c r="T48" s="391"/>
      <c r="U48" s="391"/>
      <c r="V48" s="391"/>
      <c r="W48" s="391"/>
      <c r="X48" s="426"/>
    </row>
    <row r="49" s="475" customFormat="1" ht="21" customHeight="1" spans="1:24">
      <c r="A49" s="390" t="s">
        <v>833</v>
      </c>
      <c r="B49" s="391"/>
      <c r="C49" s="391"/>
      <c r="D49" s="391"/>
      <c r="E49" s="391"/>
      <c r="F49" s="391"/>
      <c r="G49" s="391"/>
      <c r="H49" s="391"/>
      <c r="I49" s="391"/>
      <c r="J49" s="391"/>
      <c r="K49" s="498" t="s">
        <v>834</v>
      </c>
      <c r="L49" s="499"/>
      <c r="M49" s="499"/>
      <c r="N49" s="499"/>
      <c r="O49" s="499"/>
      <c r="P49" s="499"/>
      <c r="Q49" s="499"/>
      <c r="R49" s="499"/>
      <c r="S49" s="499"/>
      <c r="T49" s="499"/>
      <c r="U49" s="499"/>
      <c r="V49" s="499"/>
      <c r="W49" s="499"/>
      <c r="X49" s="526"/>
    </row>
    <row r="50" s="475" customFormat="1" ht="21" customHeight="1" spans="1:24">
      <c r="A50" s="498" t="s">
        <v>835</v>
      </c>
      <c r="B50" s="499"/>
      <c r="C50" s="499"/>
      <c r="D50" s="499"/>
      <c r="E50" s="499"/>
      <c r="F50" s="499"/>
      <c r="G50" s="499"/>
      <c r="H50" s="499"/>
      <c r="I50" s="499"/>
      <c r="J50" s="526"/>
      <c r="K50" s="391" t="s">
        <v>836</v>
      </c>
      <c r="L50" s="391"/>
      <c r="M50" s="391"/>
      <c r="N50" s="391"/>
      <c r="O50" s="391"/>
      <c r="P50" s="391"/>
      <c r="Q50" s="391"/>
      <c r="R50" s="391"/>
      <c r="S50" s="391"/>
      <c r="T50" s="391"/>
      <c r="U50" s="391"/>
      <c r="V50" s="391"/>
      <c r="W50" s="391"/>
      <c r="X50" s="426"/>
    </row>
    <row r="51" s="475" customFormat="1" ht="21" customHeight="1" spans="1:24">
      <c r="A51" s="452" t="s">
        <v>837</v>
      </c>
      <c r="B51" s="453"/>
      <c r="C51" s="453"/>
      <c r="D51" s="453"/>
      <c r="E51" s="453"/>
      <c r="F51" s="453"/>
      <c r="G51" s="453"/>
      <c r="H51" s="453"/>
      <c r="I51" s="453"/>
      <c r="J51" s="453"/>
      <c r="K51" s="453"/>
      <c r="L51" s="453"/>
      <c r="M51" s="453"/>
      <c r="N51" s="453"/>
      <c r="O51" s="453"/>
      <c r="P51" s="453"/>
      <c r="Q51" s="453"/>
      <c r="R51" s="453"/>
      <c r="S51" s="453"/>
      <c r="T51" s="453"/>
      <c r="U51" s="453"/>
      <c r="V51" s="453"/>
      <c r="W51" s="453"/>
      <c r="X51" s="467"/>
    </row>
    <row r="52" s="475" customFormat="1" ht="21" customHeight="1" spans="1:24">
      <c r="A52" s="45"/>
      <c r="B52" s="46"/>
      <c r="C52" s="46"/>
      <c r="D52" s="46"/>
      <c r="E52" s="46"/>
      <c r="F52" s="46"/>
      <c r="G52" s="46"/>
      <c r="H52" s="46"/>
      <c r="I52" s="46"/>
      <c r="J52" s="46"/>
      <c r="K52" s="46"/>
      <c r="L52" s="46"/>
      <c r="M52" s="46"/>
      <c r="N52" s="46"/>
      <c r="O52" s="46"/>
      <c r="P52" s="46"/>
      <c r="Q52" s="46"/>
      <c r="R52" s="46"/>
      <c r="S52" s="46"/>
      <c r="T52" s="46"/>
      <c r="U52" s="46"/>
      <c r="V52" s="46"/>
      <c r="W52" s="46"/>
      <c r="X52" s="252"/>
    </row>
    <row r="53" s="475" customFormat="1" ht="44" customHeight="1" spans="1:24">
      <c r="A53" s="47"/>
      <c r="B53" s="48"/>
      <c r="C53" s="48" t="str">
        <f>_xlfn.DISPIMG("ID_19464CE7FC384EC9BFF6D0C446B9CD18",1)</f>
        <v>=DISPIMG("ID_19464CE7FC384EC9BFF6D0C446B9CD18",1)</v>
      </c>
      <c r="D53" s="48" t="str">
        <f>_xlfn.DISPIMG("ID_23B9D2ACDFDC49D9A7DDF5B2EFC1EFEE",1)</f>
        <v>=DISPIMG("ID_23B9D2ACDFDC49D9A7DDF5B2EFC1EFEE",1)</v>
      </c>
      <c r="E53" s="48"/>
      <c r="F53" s="70"/>
      <c r="G53" s="500" t="s">
        <v>838</v>
      </c>
      <c r="H53" s="501"/>
      <c r="I53" s="501"/>
      <c r="J53" s="501"/>
      <c r="K53" s="501"/>
      <c r="L53" s="501"/>
      <c r="M53" s="501"/>
      <c r="N53" s="501"/>
      <c r="O53" s="501"/>
      <c r="P53" s="527"/>
      <c r="Q53" s="547"/>
      <c r="R53" s="547"/>
      <c r="S53" s="547"/>
      <c r="T53" s="259" t="str">
        <f>_xlfn.DISPIMG("ID_E00B435B7C2A4BC4B30D7F65DF1BC248",1)</f>
        <v>=DISPIMG("ID_E00B435B7C2A4BC4B30D7F65DF1BC248",1)</v>
      </c>
      <c r="U53" s="259"/>
      <c r="V53" s="259" t="s">
        <v>839</v>
      </c>
      <c r="W53" s="259"/>
      <c r="X53" s="260"/>
    </row>
    <row r="54" s="475" customFormat="1" ht="21" customHeight="1" spans="1:24">
      <c r="A54" s="476" t="s">
        <v>840</v>
      </c>
      <c r="B54" s="476"/>
      <c r="C54" s="476"/>
      <c r="D54" s="476"/>
      <c r="E54" s="476"/>
      <c r="F54" s="476"/>
      <c r="G54" s="476"/>
      <c r="H54" s="476"/>
      <c r="I54" s="476"/>
      <c r="J54" s="476"/>
      <c r="K54" s="476"/>
      <c r="L54" s="476"/>
      <c r="M54" s="476"/>
      <c r="N54" s="476"/>
      <c r="O54" s="476"/>
      <c r="P54" s="528"/>
      <c r="Q54" s="528"/>
      <c r="R54" s="528"/>
      <c r="S54" s="528"/>
      <c r="T54" s="528"/>
      <c r="U54" s="528"/>
      <c r="V54" s="528"/>
      <c r="W54" s="528"/>
      <c r="X54" s="528"/>
    </row>
    <row r="55" s="475" customFormat="1" ht="21" customHeight="1" spans="1:24">
      <c r="A55" s="21" t="s">
        <v>288</v>
      </c>
      <c r="B55" s="22"/>
      <c r="C55" s="23">
        <v>0</v>
      </c>
      <c r="D55" s="24">
        <v>1</v>
      </c>
      <c r="E55" s="24">
        <v>2</v>
      </c>
      <c r="F55" s="24">
        <v>3</v>
      </c>
      <c r="G55" s="24">
        <v>4</v>
      </c>
      <c r="H55" s="24">
        <v>5</v>
      </c>
      <c r="I55" s="24">
        <v>6</v>
      </c>
      <c r="J55" s="24">
        <v>7</v>
      </c>
      <c r="K55" s="135">
        <v>8</v>
      </c>
      <c r="L55" s="136">
        <v>9</v>
      </c>
      <c r="M55" s="137"/>
      <c r="N55" s="138"/>
      <c r="O55" s="139">
        <v>10</v>
      </c>
      <c r="P55" s="140">
        <v>11</v>
      </c>
      <c r="Q55" s="236">
        <v>12</v>
      </c>
      <c r="R55" s="236"/>
      <c r="S55" s="236"/>
      <c r="T55" s="139">
        <v>13</v>
      </c>
      <c r="U55" s="237">
        <v>14</v>
      </c>
      <c r="V55" s="140">
        <v>15</v>
      </c>
      <c r="W55" s="137">
        <v>16</v>
      </c>
      <c r="X55" s="138"/>
    </row>
    <row r="56" s="475" customFormat="1" ht="21" customHeight="1" spans="1:24">
      <c r="A56" s="25" t="s">
        <v>841</v>
      </c>
      <c r="B56" s="26"/>
      <c r="C56" s="27">
        <v>50</v>
      </c>
      <c r="D56" s="28">
        <v>48</v>
      </c>
      <c r="E56" s="28">
        <v>46</v>
      </c>
      <c r="F56" s="28">
        <v>44</v>
      </c>
      <c r="G56" s="28">
        <v>42</v>
      </c>
      <c r="H56" s="28">
        <v>40</v>
      </c>
      <c r="I56" s="28">
        <v>38</v>
      </c>
      <c r="J56" s="28">
        <v>35</v>
      </c>
      <c r="K56" s="141">
        <v>32</v>
      </c>
      <c r="L56" s="142"/>
      <c r="M56" s="143">
        <v>29</v>
      </c>
      <c r="N56" s="144"/>
      <c r="O56" s="145">
        <v>26</v>
      </c>
      <c r="P56" s="146">
        <v>23</v>
      </c>
      <c r="Q56" s="144"/>
      <c r="R56" s="238">
        <v>20</v>
      </c>
      <c r="S56" s="144"/>
      <c r="T56" s="145">
        <v>17</v>
      </c>
      <c r="U56" s="239">
        <v>14</v>
      </c>
      <c r="V56" s="146">
        <v>11</v>
      </c>
      <c r="W56" s="240"/>
      <c r="X56" s="241">
        <v>7</v>
      </c>
    </row>
    <row r="57" s="475" customFormat="1" ht="21" customHeight="1" spans="1:24">
      <c r="A57" s="73" t="s">
        <v>842</v>
      </c>
      <c r="B57" s="74"/>
      <c r="C57" s="321">
        <v>55</v>
      </c>
      <c r="D57" s="322">
        <v>53</v>
      </c>
      <c r="E57" s="322">
        <v>51</v>
      </c>
      <c r="F57" s="322">
        <v>49</v>
      </c>
      <c r="G57" s="322">
        <v>47</v>
      </c>
      <c r="H57" s="322">
        <v>45</v>
      </c>
      <c r="I57" s="322">
        <v>43</v>
      </c>
      <c r="J57" s="322">
        <v>41</v>
      </c>
      <c r="K57" s="361">
        <v>39</v>
      </c>
      <c r="L57" s="362"/>
      <c r="M57" s="159">
        <v>37</v>
      </c>
      <c r="N57" s="160"/>
      <c r="O57" s="161">
        <v>35</v>
      </c>
      <c r="P57" s="162">
        <v>33</v>
      </c>
      <c r="Q57" s="160"/>
      <c r="R57" s="247">
        <v>30</v>
      </c>
      <c r="S57" s="160"/>
      <c r="T57" s="161">
        <v>27</v>
      </c>
      <c r="U57" s="248">
        <v>24</v>
      </c>
      <c r="V57" s="162">
        <v>21</v>
      </c>
      <c r="W57" s="249"/>
      <c r="X57" s="250">
        <v>15</v>
      </c>
    </row>
    <row r="58" s="475" customFormat="1" ht="21" customHeight="1" spans="1:24">
      <c r="A58" s="390" t="s">
        <v>843</v>
      </c>
      <c r="B58" s="391"/>
      <c r="C58" s="391"/>
      <c r="D58" s="391"/>
      <c r="E58" s="391"/>
      <c r="F58" s="391"/>
      <c r="G58" s="391"/>
      <c r="H58" s="391"/>
      <c r="I58" s="391"/>
      <c r="J58" s="391"/>
      <c r="K58" s="391"/>
      <c r="L58" s="391"/>
      <c r="M58" s="391"/>
      <c r="N58" s="391"/>
      <c r="O58" s="391"/>
      <c r="P58" s="391"/>
      <c r="Q58" s="391"/>
      <c r="R58" s="391"/>
      <c r="S58" s="391"/>
      <c r="T58" s="391"/>
      <c r="U58" s="391"/>
      <c r="V58" s="391"/>
      <c r="W58" s="391"/>
      <c r="X58" s="426"/>
    </row>
    <row r="59" ht="21" customHeight="1" spans="1:24">
      <c r="A59" s="476" t="s">
        <v>844</v>
      </c>
      <c r="B59" s="476"/>
      <c r="C59" s="476"/>
      <c r="D59" s="476"/>
      <c r="E59" s="476"/>
      <c r="F59" s="476"/>
      <c r="G59" s="476"/>
      <c r="H59" s="476"/>
      <c r="I59" s="476"/>
      <c r="J59" s="476"/>
      <c r="K59" s="476"/>
      <c r="L59" s="476"/>
      <c r="M59" s="476"/>
      <c r="N59" s="476"/>
      <c r="O59" s="476"/>
      <c r="P59" s="476"/>
      <c r="Q59" s="476"/>
      <c r="R59" s="476"/>
      <c r="S59" s="476"/>
      <c r="T59" s="476"/>
      <c r="U59" s="476"/>
      <c r="V59" s="476"/>
      <c r="W59" s="476"/>
      <c r="X59" s="476"/>
    </row>
    <row r="60" ht="44" customHeight="1" spans="1:24">
      <c r="A60" s="47"/>
      <c r="B60" s="48" t="str">
        <f>_xlfn.DISPIMG("ID_CAED8B2251C7485588B42927FC563F52",1)</f>
        <v>=DISPIMG("ID_CAED8B2251C7485588B42927FC563F52",1)</v>
      </c>
      <c r="C60" s="48" t="str">
        <f>_xlfn.DISPIMG("ID_AFA3C27058624BDD8E1EB23C7CCBE0C0",1)</f>
        <v>=DISPIMG("ID_AFA3C27058624BDD8E1EB23C7CCBE0C0",1)</v>
      </c>
      <c r="D60" s="48" t="str">
        <f>_xlfn.DISPIMG("ID_EB8A18277849431085FCF088920D224F",1)</f>
        <v>=DISPIMG("ID_EB8A18277849431085FCF088920D224F",1)</v>
      </c>
      <c r="E60" s="49"/>
      <c r="F60" s="50"/>
      <c r="G60" s="502" t="s">
        <v>845</v>
      </c>
      <c r="H60" s="503"/>
      <c r="I60" s="503"/>
      <c r="J60" s="503"/>
      <c r="K60" s="503"/>
      <c r="L60" s="503"/>
      <c r="M60" s="503"/>
      <c r="N60" s="503"/>
      <c r="O60" s="529"/>
      <c r="P60" s="168"/>
      <c r="Q60" s="253"/>
      <c r="R60" s="253"/>
      <c r="S60" s="409"/>
      <c r="T60" s="409" t="str">
        <f>_xlfn.DISPIMG("ID_8D3B0110D1EE4A2A91E119E9C43046E0",1)</f>
        <v>=DISPIMG("ID_8D3B0110D1EE4A2A91E119E9C43046E0",1)</v>
      </c>
      <c r="U60" s="409" t="str">
        <f>_xlfn.DISPIMG("ID_A40801EDE08A426BA58A6AF62B65F02D",1)</f>
        <v>=DISPIMG("ID_A40801EDE08A426BA58A6AF62B65F02D",1)</v>
      </c>
      <c r="V60" s="409"/>
      <c r="W60" s="409"/>
      <c r="X60" s="410"/>
    </row>
    <row r="61" ht="21" customHeight="1" spans="1:24">
      <c r="A61" s="476" t="s">
        <v>846</v>
      </c>
      <c r="B61" s="476"/>
      <c r="C61" s="476"/>
      <c r="D61" s="476"/>
      <c r="E61" s="476"/>
      <c r="F61" s="476"/>
      <c r="G61" s="476"/>
      <c r="H61" s="476"/>
      <c r="I61" s="476"/>
      <c r="J61" s="476"/>
      <c r="K61" s="476"/>
      <c r="L61" s="476"/>
      <c r="M61" s="476"/>
      <c r="N61" s="476"/>
      <c r="O61" s="476"/>
      <c r="P61" s="476"/>
      <c r="Q61" s="476"/>
      <c r="R61" s="476"/>
      <c r="S61" s="476"/>
      <c r="T61" s="476"/>
      <c r="U61" s="476"/>
      <c r="V61" s="476"/>
      <c r="W61" s="476"/>
      <c r="X61" s="476"/>
    </row>
    <row r="62" ht="21" customHeight="1" spans="1:24">
      <c r="A62" s="21" t="s">
        <v>847</v>
      </c>
      <c r="B62" s="22"/>
      <c r="C62" s="23">
        <v>0</v>
      </c>
      <c r="D62" s="24">
        <v>1</v>
      </c>
      <c r="E62" s="24">
        <v>2</v>
      </c>
      <c r="F62" s="24">
        <v>3</v>
      </c>
      <c r="G62" s="24">
        <v>4</v>
      </c>
      <c r="H62" s="24">
        <v>5</v>
      </c>
      <c r="I62" s="24">
        <v>6</v>
      </c>
      <c r="J62" s="24">
        <v>7</v>
      </c>
      <c r="K62" s="135">
        <v>8</v>
      </c>
      <c r="L62" s="136">
        <v>9</v>
      </c>
      <c r="M62" s="137"/>
      <c r="N62" s="138"/>
      <c r="O62" s="139">
        <v>10</v>
      </c>
      <c r="P62" s="140">
        <v>11</v>
      </c>
      <c r="Q62" s="236">
        <v>12</v>
      </c>
      <c r="R62" s="236"/>
      <c r="S62" s="236"/>
      <c r="T62" s="139">
        <v>13</v>
      </c>
      <c r="U62" s="237">
        <v>14</v>
      </c>
      <c r="V62" s="140">
        <v>15</v>
      </c>
      <c r="W62" s="137">
        <v>16</v>
      </c>
      <c r="X62" s="138"/>
    </row>
    <row r="63" ht="21" customHeight="1" spans="1:24">
      <c r="A63" s="73" t="s">
        <v>848</v>
      </c>
      <c r="B63" s="74"/>
      <c r="C63" s="75">
        <v>15</v>
      </c>
      <c r="D63" s="76">
        <v>14</v>
      </c>
      <c r="E63" s="76">
        <v>13</v>
      </c>
      <c r="F63" s="76">
        <v>12</v>
      </c>
      <c r="G63" s="76">
        <v>11</v>
      </c>
      <c r="H63" s="76">
        <v>10</v>
      </c>
      <c r="I63" s="76">
        <v>9</v>
      </c>
      <c r="J63" s="76">
        <v>8</v>
      </c>
      <c r="K63" s="182">
        <v>7</v>
      </c>
      <c r="L63" s="183"/>
      <c r="M63" s="159">
        <v>6</v>
      </c>
      <c r="N63" s="184"/>
      <c r="O63" s="161">
        <v>5</v>
      </c>
      <c r="P63" s="162">
        <v>4</v>
      </c>
      <c r="Q63" s="184"/>
      <c r="R63" s="247">
        <v>3</v>
      </c>
      <c r="S63" s="184"/>
      <c r="T63" s="161">
        <v>2</v>
      </c>
      <c r="U63" s="248">
        <v>1</v>
      </c>
      <c r="V63" s="162">
        <v>1</v>
      </c>
      <c r="W63" s="261"/>
      <c r="X63" s="250">
        <v>0.5</v>
      </c>
    </row>
    <row r="64" ht="21" customHeight="1" spans="1:24">
      <c r="A64" s="306" t="s">
        <v>849</v>
      </c>
      <c r="B64" s="26"/>
      <c r="C64" s="113">
        <v>15</v>
      </c>
      <c r="D64" s="307">
        <v>14</v>
      </c>
      <c r="E64" s="307">
        <v>13</v>
      </c>
      <c r="F64" s="307">
        <v>12</v>
      </c>
      <c r="G64" s="307">
        <v>11</v>
      </c>
      <c r="H64" s="307">
        <v>10</v>
      </c>
      <c r="I64" s="307">
        <v>9</v>
      </c>
      <c r="J64" s="307">
        <v>8</v>
      </c>
      <c r="K64" s="312">
        <v>7</v>
      </c>
      <c r="L64" s="154"/>
      <c r="M64" s="155">
        <v>6</v>
      </c>
      <c r="N64" s="156"/>
      <c r="O64" s="145">
        <v>5</v>
      </c>
      <c r="P64" s="146">
        <v>4</v>
      </c>
      <c r="Q64" s="156"/>
      <c r="R64" s="238">
        <v>3</v>
      </c>
      <c r="S64" s="156"/>
      <c r="T64" s="145">
        <v>2</v>
      </c>
      <c r="U64" s="239">
        <v>1</v>
      </c>
      <c r="V64" s="413" t="s">
        <v>850</v>
      </c>
      <c r="W64" s="246"/>
      <c r="X64" s="414" t="s">
        <v>850</v>
      </c>
    </row>
    <row r="65" ht="21" customHeight="1" spans="1:24">
      <c r="A65" s="37" t="s">
        <v>851</v>
      </c>
      <c r="B65" s="38"/>
      <c r="C65" s="75">
        <v>15</v>
      </c>
      <c r="D65" s="76">
        <v>14</v>
      </c>
      <c r="E65" s="76">
        <v>13</v>
      </c>
      <c r="F65" s="76">
        <v>12</v>
      </c>
      <c r="G65" s="76">
        <v>11</v>
      </c>
      <c r="H65" s="76">
        <v>10</v>
      </c>
      <c r="I65" s="76">
        <v>9</v>
      </c>
      <c r="J65" s="76">
        <v>8</v>
      </c>
      <c r="K65" s="182">
        <v>7</v>
      </c>
      <c r="L65" s="183"/>
      <c r="M65" s="159">
        <v>6</v>
      </c>
      <c r="N65" s="184"/>
      <c r="O65" s="161">
        <v>5</v>
      </c>
      <c r="P65" s="387">
        <v>5</v>
      </c>
      <c r="Q65" s="184"/>
      <c r="R65" s="420">
        <v>5</v>
      </c>
      <c r="S65" s="184"/>
      <c r="T65" s="386">
        <v>4</v>
      </c>
      <c r="U65" s="421">
        <v>4</v>
      </c>
      <c r="V65" s="387">
        <v>4</v>
      </c>
      <c r="W65" s="261"/>
      <c r="X65" s="422">
        <v>3</v>
      </c>
    </row>
    <row r="66" ht="21" customHeight="1" spans="1:24">
      <c r="A66" s="392" t="s">
        <v>852</v>
      </c>
      <c r="B66" s="393"/>
      <c r="C66" s="393"/>
      <c r="D66" s="393"/>
      <c r="E66" s="393"/>
      <c r="F66" s="393"/>
      <c r="G66" s="393"/>
      <c r="H66" s="393"/>
      <c r="I66" s="393"/>
      <c r="J66" s="393"/>
      <c r="K66" s="393"/>
      <c r="L66" s="393"/>
      <c r="M66" s="393"/>
      <c r="N66" s="393"/>
      <c r="O66" s="393"/>
      <c r="P66" s="393"/>
      <c r="Q66" s="393"/>
      <c r="R66" s="393"/>
      <c r="S66" s="393"/>
      <c r="T66" s="393"/>
      <c r="U66" s="393"/>
      <c r="V66" s="393"/>
      <c r="W66" s="393"/>
      <c r="X66" s="427"/>
    </row>
    <row r="67" ht="21" customHeight="1" spans="1:24">
      <c r="A67" s="455" t="s">
        <v>853</v>
      </c>
      <c r="B67" s="548"/>
      <c r="C67" s="548"/>
      <c r="D67" s="548"/>
      <c r="E67" s="548"/>
      <c r="F67" s="548"/>
      <c r="G67" s="548"/>
      <c r="H67" s="548"/>
      <c r="I67" s="548"/>
      <c r="J67" s="548"/>
      <c r="K67" s="548"/>
      <c r="L67" s="548"/>
      <c r="M67" s="548"/>
      <c r="N67" s="548"/>
      <c r="O67" s="548"/>
      <c r="P67" s="548"/>
      <c r="Q67" s="548"/>
      <c r="R67" s="548"/>
      <c r="S67" s="548"/>
      <c r="T67" s="548"/>
      <c r="U67" s="548"/>
      <c r="V67" s="548"/>
      <c r="W67" s="548"/>
      <c r="X67" s="548"/>
    </row>
    <row r="68" ht="21" customHeight="1" spans="1:24">
      <c r="A68" s="549" t="s">
        <v>854</v>
      </c>
      <c r="B68" s="550"/>
      <c r="C68" s="359">
        <v>50</v>
      </c>
      <c r="D68" s="360">
        <v>48</v>
      </c>
      <c r="E68" s="360">
        <v>46</v>
      </c>
      <c r="F68" s="360">
        <v>44</v>
      </c>
      <c r="G68" s="360">
        <v>42</v>
      </c>
      <c r="H68" s="360">
        <v>40</v>
      </c>
      <c r="I68" s="360">
        <v>38</v>
      </c>
      <c r="J68" s="360">
        <v>35</v>
      </c>
      <c r="K68" s="397">
        <v>32</v>
      </c>
      <c r="L68" s="398"/>
      <c r="M68" s="399">
        <v>29</v>
      </c>
      <c r="N68" s="400"/>
      <c r="O68" s="401">
        <v>26</v>
      </c>
      <c r="P68" s="402">
        <v>23</v>
      </c>
      <c r="Q68" s="400"/>
      <c r="R68" s="429">
        <v>20</v>
      </c>
      <c r="S68" s="400"/>
      <c r="T68" s="401">
        <v>17</v>
      </c>
      <c r="U68" s="430">
        <v>14</v>
      </c>
      <c r="V68" s="402">
        <v>11</v>
      </c>
      <c r="W68" s="431"/>
      <c r="X68" s="432">
        <v>7</v>
      </c>
    </row>
    <row r="69" ht="21" customHeight="1" spans="1:24">
      <c r="A69" s="376" t="s">
        <v>855</v>
      </c>
      <c r="B69" s="377"/>
      <c r="C69" s="377"/>
      <c r="D69" s="377"/>
      <c r="E69" s="377"/>
      <c r="F69" s="377"/>
      <c r="G69" s="377"/>
      <c r="H69" s="377"/>
      <c r="I69" s="377"/>
      <c r="J69" s="377"/>
      <c r="K69" s="377"/>
      <c r="L69" s="377"/>
      <c r="M69" s="377"/>
      <c r="N69" s="377"/>
      <c r="O69" s="377"/>
      <c r="P69" s="377"/>
      <c r="Q69" s="377"/>
      <c r="R69" s="377"/>
      <c r="S69" s="377"/>
      <c r="T69" s="377"/>
      <c r="U69" s="377"/>
      <c r="V69" s="377"/>
      <c r="W69" s="377"/>
      <c r="X69" s="415"/>
    </row>
    <row r="70" ht="21" customHeight="1" spans="1:24">
      <c r="A70" s="455" t="s">
        <v>856</v>
      </c>
      <c r="B70" s="548"/>
      <c r="C70" s="548"/>
      <c r="D70" s="548"/>
      <c r="E70" s="548"/>
      <c r="F70" s="548"/>
      <c r="G70" s="548"/>
      <c r="H70" s="548"/>
      <c r="I70" s="548"/>
      <c r="J70" s="548"/>
      <c r="K70" s="548"/>
      <c r="L70" s="548"/>
      <c r="M70" s="548"/>
      <c r="N70" s="548"/>
      <c r="O70" s="548"/>
      <c r="P70" s="548"/>
      <c r="Q70" s="548"/>
      <c r="R70" s="548"/>
      <c r="S70" s="548"/>
      <c r="T70" s="548"/>
      <c r="U70" s="548"/>
      <c r="V70" s="548"/>
      <c r="W70" s="548"/>
      <c r="X70" s="548"/>
    </row>
    <row r="71" ht="21" customHeight="1" spans="1:24">
      <c r="A71" s="549" t="s">
        <v>857</v>
      </c>
      <c r="B71" s="550"/>
      <c r="C71" s="359">
        <v>60</v>
      </c>
      <c r="D71" s="360">
        <v>59</v>
      </c>
      <c r="E71" s="360">
        <v>58</v>
      </c>
      <c r="F71" s="360">
        <v>57</v>
      </c>
      <c r="G71" s="360">
        <v>56</v>
      </c>
      <c r="H71" s="360">
        <v>55</v>
      </c>
      <c r="I71" s="360">
        <v>54</v>
      </c>
      <c r="J71" s="360">
        <v>53</v>
      </c>
      <c r="K71" s="397">
        <v>52</v>
      </c>
      <c r="L71" s="398"/>
      <c r="M71" s="399">
        <v>50</v>
      </c>
      <c r="N71" s="400"/>
      <c r="O71" s="401">
        <v>48</v>
      </c>
      <c r="P71" s="402">
        <v>46</v>
      </c>
      <c r="Q71" s="400"/>
      <c r="R71" s="429">
        <v>43</v>
      </c>
      <c r="S71" s="400"/>
      <c r="T71" s="401">
        <v>40</v>
      </c>
      <c r="U71" s="430">
        <v>37</v>
      </c>
      <c r="V71" s="402">
        <v>34</v>
      </c>
      <c r="W71" s="431"/>
      <c r="X71" s="432">
        <v>30</v>
      </c>
    </row>
    <row r="72" ht="21" customHeight="1" spans="1:24">
      <c r="A72" s="551" t="s">
        <v>858</v>
      </c>
      <c r="B72" s="552"/>
      <c r="C72" s="552"/>
      <c r="D72" s="552"/>
      <c r="E72" s="552"/>
      <c r="F72" s="552"/>
      <c r="G72" s="552"/>
      <c r="H72" s="552"/>
      <c r="I72" s="552"/>
      <c r="J72" s="552"/>
      <c r="K72" s="552"/>
      <c r="L72" s="552"/>
      <c r="M72" s="552"/>
      <c r="N72" s="552"/>
      <c r="O72" s="552"/>
      <c r="P72" s="552"/>
      <c r="Q72" s="552"/>
      <c r="R72" s="552"/>
      <c r="S72" s="552"/>
      <c r="T72" s="552"/>
      <c r="U72" s="552"/>
      <c r="V72" s="552"/>
      <c r="W72" s="552"/>
      <c r="X72" s="580"/>
    </row>
    <row r="73" ht="21" customHeight="1" spans="1:24">
      <c r="A73" s="45"/>
      <c r="B73" s="46"/>
      <c r="C73" s="46"/>
      <c r="D73" s="46"/>
      <c r="E73" s="46"/>
      <c r="F73" s="46"/>
      <c r="G73" s="46"/>
      <c r="H73" s="46"/>
      <c r="I73" s="46"/>
      <c r="J73" s="46"/>
      <c r="K73" s="46"/>
      <c r="L73" s="46"/>
      <c r="M73" s="46"/>
      <c r="N73" s="46"/>
      <c r="O73" s="46"/>
      <c r="P73" s="46"/>
      <c r="Q73" s="46"/>
      <c r="R73" s="46"/>
      <c r="S73" s="46"/>
      <c r="T73" s="46"/>
      <c r="U73" s="46"/>
      <c r="V73" s="46"/>
      <c r="W73" s="46"/>
      <c r="X73" s="252"/>
    </row>
    <row r="74" ht="44" customHeight="1" spans="1:24">
      <c r="A74" s="375"/>
      <c r="B74" s="409"/>
      <c r="C74" s="409" t="str">
        <f>_xlfn.DISPIMG("ID_1FCB9710ADB54576B7B8F8AB7D8F7719",1)</f>
        <v>=DISPIMG("ID_1FCB9710ADB54576B7B8F8AB7D8F7719",1)</v>
      </c>
      <c r="D74" s="409" t="str">
        <f>_xlfn.DISPIMG("ID_175554FCD7144713850DA5DC43342E6F",1)</f>
        <v>=DISPIMG("ID_175554FCD7144713850DA5DC43342E6F",1)</v>
      </c>
      <c r="E74" s="409"/>
      <c r="F74" s="410"/>
      <c r="G74" s="553" t="s">
        <v>859</v>
      </c>
      <c r="H74" s="554"/>
      <c r="I74" s="554"/>
      <c r="J74" s="554"/>
      <c r="K74" s="554"/>
      <c r="L74" s="554"/>
      <c r="M74" s="554"/>
      <c r="N74" s="554"/>
      <c r="O74" s="567"/>
      <c r="P74" s="568" t="s">
        <v>633</v>
      </c>
      <c r="Q74" s="581"/>
      <c r="R74" s="581"/>
      <c r="S74" s="581"/>
      <c r="T74" s="581"/>
      <c r="U74" s="581"/>
      <c r="V74" s="581"/>
      <c r="W74" s="581"/>
      <c r="X74" s="582"/>
    </row>
    <row r="75" ht="21" customHeight="1" spans="1:24">
      <c r="A75" s="476" t="s">
        <v>860</v>
      </c>
      <c r="B75" s="476"/>
      <c r="C75" s="476"/>
      <c r="D75" s="476"/>
      <c r="E75" s="476"/>
      <c r="F75" s="476"/>
      <c r="G75" s="476"/>
      <c r="H75" s="476"/>
      <c r="I75" s="476"/>
      <c r="J75" s="476"/>
      <c r="K75" s="476"/>
      <c r="L75" s="476"/>
      <c r="M75" s="476"/>
      <c r="N75" s="476"/>
      <c r="O75" s="476"/>
      <c r="P75" s="476"/>
      <c r="Q75" s="476"/>
      <c r="R75" s="476"/>
      <c r="S75" s="476"/>
      <c r="T75" s="476"/>
      <c r="U75" s="476"/>
      <c r="V75" s="476"/>
      <c r="W75" s="476"/>
      <c r="X75" s="476"/>
    </row>
    <row r="76" ht="21" customHeight="1" spans="1:24">
      <c r="A76" s="21" t="s">
        <v>288</v>
      </c>
      <c r="B76" s="22"/>
      <c r="C76" s="23">
        <v>0</v>
      </c>
      <c r="D76" s="24">
        <v>1</v>
      </c>
      <c r="E76" s="24">
        <v>2</v>
      </c>
      <c r="F76" s="24">
        <v>3</v>
      </c>
      <c r="G76" s="24">
        <v>4</v>
      </c>
      <c r="H76" s="24">
        <v>5</v>
      </c>
      <c r="I76" s="24">
        <v>6</v>
      </c>
      <c r="J76" s="24">
        <v>7</v>
      </c>
      <c r="K76" s="135">
        <v>8</v>
      </c>
      <c r="L76" s="136">
        <v>9</v>
      </c>
      <c r="M76" s="137"/>
      <c r="N76" s="138"/>
      <c r="O76" s="139">
        <v>10</v>
      </c>
      <c r="P76" s="140">
        <v>11</v>
      </c>
      <c r="Q76" s="236">
        <v>12</v>
      </c>
      <c r="R76" s="236"/>
      <c r="S76" s="236"/>
      <c r="T76" s="139">
        <v>13</v>
      </c>
      <c r="U76" s="237">
        <v>14</v>
      </c>
      <c r="V76" s="140">
        <v>15</v>
      </c>
      <c r="W76" s="137">
        <v>16</v>
      </c>
      <c r="X76" s="138"/>
    </row>
    <row r="77" ht="21" customHeight="1" spans="1:24">
      <c r="A77" s="122" t="s">
        <v>634</v>
      </c>
      <c r="B77" s="123"/>
      <c r="C77" s="336">
        <v>59</v>
      </c>
      <c r="D77" s="337">
        <v>58</v>
      </c>
      <c r="E77" s="337">
        <v>57</v>
      </c>
      <c r="F77" s="337">
        <v>56</v>
      </c>
      <c r="G77" s="337">
        <v>55</v>
      </c>
      <c r="H77" s="337">
        <v>54</v>
      </c>
      <c r="I77" s="337">
        <v>53</v>
      </c>
      <c r="J77" s="337">
        <v>51</v>
      </c>
      <c r="K77" s="379">
        <v>48</v>
      </c>
      <c r="L77" s="380"/>
      <c r="M77" s="218">
        <v>45</v>
      </c>
      <c r="N77" s="367"/>
      <c r="O77" s="203">
        <v>41</v>
      </c>
      <c r="P77" s="204">
        <v>37</v>
      </c>
      <c r="Q77" s="367"/>
      <c r="R77" s="272">
        <v>33</v>
      </c>
      <c r="S77" s="367"/>
      <c r="T77" s="203">
        <v>29</v>
      </c>
      <c r="U77" s="273">
        <v>25</v>
      </c>
      <c r="V77" s="204">
        <v>20</v>
      </c>
      <c r="W77" s="403"/>
      <c r="X77" s="275">
        <v>15</v>
      </c>
    </row>
    <row r="78" ht="21" customHeight="1" spans="1:24">
      <c r="A78" s="73" t="s">
        <v>635</v>
      </c>
      <c r="B78" s="74"/>
      <c r="C78" s="321">
        <v>60</v>
      </c>
      <c r="D78" s="322">
        <v>58</v>
      </c>
      <c r="E78" s="322">
        <v>56</v>
      </c>
      <c r="F78" s="322">
        <v>54</v>
      </c>
      <c r="G78" s="322">
        <v>52</v>
      </c>
      <c r="H78" s="322">
        <v>50</v>
      </c>
      <c r="I78" s="322">
        <v>48</v>
      </c>
      <c r="J78" s="322">
        <v>45</v>
      </c>
      <c r="K78" s="361">
        <v>42</v>
      </c>
      <c r="L78" s="362"/>
      <c r="M78" s="159">
        <v>39</v>
      </c>
      <c r="N78" s="160"/>
      <c r="O78" s="161">
        <v>36</v>
      </c>
      <c r="P78" s="162">
        <v>33</v>
      </c>
      <c r="Q78" s="160"/>
      <c r="R78" s="247">
        <v>30</v>
      </c>
      <c r="S78" s="160"/>
      <c r="T78" s="161">
        <v>27</v>
      </c>
      <c r="U78" s="248">
        <v>24</v>
      </c>
      <c r="V78" s="162">
        <v>21</v>
      </c>
      <c r="W78" s="249"/>
      <c r="X78" s="250">
        <v>17</v>
      </c>
    </row>
    <row r="79" ht="21" customHeight="1" spans="1:24">
      <c r="A79" s="551" t="s">
        <v>861</v>
      </c>
      <c r="B79" s="552"/>
      <c r="C79" s="552"/>
      <c r="D79" s="552"/>
      <c r="E79" s="552"/>
      <c r="F79" s="552"/>
      <c r="G79" s="552"/>
      <c r="H79" s="552"/>
      <c r="I79" s="552"/>
      <c r="J79" s="552"/>
      <c r="K79" s="552"/>
      <c r="L79" s="552"/>
      <c r="M79" s="552"/>
      <c r="N79" s="552"/>
      <c r="O79" s="552"/>
      <c r="P79" s="552"/>
      <c r="Q79" s="552"/>
      <c r="R79" s="552"/>
      <c r="S79" s="552"/>
      <c r="T79" s="552"/>
      <c r="U79" s="552"/>
      <c r="V79" s="552"/>
      <c r="W79" s="552"/>
      <c r="X79" s="580"/>
    </row>
    <row r="80" ht="21" customHeight="1" spans="1:24">
      <c r="A80" s="551" t="s">
        <v>862</v>
      </c>
      <c r="B80" s="552"/>
      <c r="C80" s="552"/>
      <c r="D80" s="552"/>
      <c r="E80" s="552"/>
      <c r="F80" s="552"/>
      <c r="G80" s="552"/>
      <c r="H80" s="552"/>
      <c r="I80" s="552"/>
      <c r="J80" s="552"/>
      <c r="K80" s="552"/>
      <c r="L80" s="552"/>
      <c r="M80" s="552"/>
      <c r="N80" s="552"/>
      <c r="O80" s="552"/>
      <c r="P80" s="552"/>
      <c r="Q80" s="552"/>
      <c r="R80" s="552"/>
      <c r="S80" s="552"/>
      <c r="T80" s="552"/>
      <c r="U80" s="552"/>
      <c r="V80" s="552"/>
      <c r="W80" s="552"/>
      <c r="X80" s="580"/>
    </row>
    <row r="81" ht="19.5" spans="1:24">
      <c r="A81" s="555"/>
      <c r="B81" s="555"/>
      <c r="C81" s="555"/>
      <c r="D81" s="555"/>
      <c r="E81" s="555"/>
      <c r="F81" s="555"/>
      <c r="G81" s="555"/>
      <c r="H81" s="555"/>
      <c r="I81" s="555"/>
      <c r="J81" s="555"/>
      <c r="K81" s="555"/>
      <c r="L81" s="555"/>
      <c r="M81" s="555"/>
      <c r="N81" s="555"/>
      <c r="O81" s="555"/>
      <c r="P81" s="555"/>
      <c r="Q81" s="555"/>
      <c r="R81" s="555"/>
      <c r="S81" s="555"/>
      <c r="T81" s="555"/>
      <c r="U81" s="555"/>
      <c r="V81" s="555"/>
      <c r="W81" s="555"/>
      <c r="X81" s="555"/>
    </row>
    <row r="82" ht="44" customHeight="1" spans="1:24">
      <c r="A82" s="375" t="str">
        <f>_xlfn.DISPIMG("ID_6C18A20604274166A1C900990C5EA6D4",1)</f>
        <v>=DISPIMG("ID_6C18A20604274166A1C900990C5EA6D4",1)</v>
      </c>
      <c r="B82" s="409" t="str">
        <f>_xlfn.DISPIMG("ID_5BF227D18B75470895164BDB8FBCFF66",1)</f>
        <v>=DISPIMG("ID_5BF227D18B75470895164BDB8FBCFF66",1)</v>
      </c>
      <c r="C82" s="409" t="str">
        <f>_xlfn.DISPIMG("ID_728A377F6AA74FA99D8890ECCACFB20F",1)</f>
        <v>=DISPIMG("ID_728A377F6AA74FA99D8890ECCACFB20F",1)</v>
      </c>
      <c r="D82" s="409" t="str">
        <f>_xlfn.DISPIMG("ID_48D0F0978CCD476EAFBF95AC23E9351A",1)</f>
        <v>=DISPIMG("ID_48D0F0978CCD476EAFBF95AC23E9351A",1)</v>
      </c>
      <c r="E82" s="409" t="str">
        <f>_xlfn.DISPIMG("ID_D4A3455E0A7F471C8A67CDDBAF81726B",1)</f>
        <v>=DISPIMG("ID_D4A3455E0A7F471C8A67CDDBAF81726B",1)</v>
      </c>
      <c r="F82" s="409" t="str">
        <f>_xlfn.DISPIMG("ID_3A8E21E44EC344FEAAC119B1449935C7",1)</f>
        <v>=DISPIMG("ID_3A8E21E44EC344FEAAC119B1449935C7",1)</v>
      </c>
      <c r="G82" s="556" t="s">
        <v>863</v>
      </c>
      <c r="H82" s="557"/>
      <c r="I82" s="557"/>
      <c r="J82" s="557"/>
      <c r="K82" s="557"/>
      <c r="L82" s="557"/>
      <c r="M82" s="557"/>
      <c r="N82" s="557"/>
      <c r="O82" s="569"/>
      <c r="P82" s="181" t="s">
        <v>864</v>
      </c>
      <c r="Q82" s="259"/>
      <c r="R82" s="259"/>
      <c r="S82" s="259"/>
      <c r="T82" s="259"/>
      <c r="U82" s="259"/>
      <c r="V82" s="259"/>
      <c r="W82" s="259"/>
      <c r="X82" s="260"/>
    </row>
    <row r="83" ht="21" customHeight="1" spans="1:24">
      <c r="A83" s="476" t="s">
        <v>865</v>
      </c>
      <c r="B83" s="476"/>
      <c r="C83" s="476"/>
      <c r="D83" s="476"/>
      <c r="E83" s="476"/>
      <c r="F83" s="476"/>
      <c r="G83" s="476"/>
      <c r="H83" s="476"/>
      <c r="I83" s="476"/>
      <c r="J83" s="476"/>
      <c r="K83" s="476"/>
      <c r="L83" s="476"/>
      <c r="M83" s="476"/>
      <c r="N83" s="476"/>
      <c r="O83" s="476"/>
      <c r="P83" s="476"/>
      <c r="Q83" s="476"/>
      <c r="R83" s="476"/>
      <c r="S83" s="476"/>
      <c r="T83" s="476"/>
      <c r="U83" s="476"/>
      <c r="V83" s="476"/>
      <c r="W83" s="476"/>
      <c r="X83" s="476"/>
    </row>
    <row r="84" ht="21" spans="1:24">
      <c r="A84" s="21" t="s">
        <v>340</v>
      </c>
      <c r="B84" s="22"/>
      <c r="C84" s="23">
        <v>0</v>
      </c>
      <c r="D84" s="24">
        <v>1</v>
      </c>
      <c r="E84" s="24">
        <v>2</v>
      </c>
      <c r="F84" s="24">
        <v>3</v>
      </c>
      <c r="G84" s="24">
        <v>4</v>
      </c>
      <c r="H84" s="24">
        <v>5</v>
      </c>
      <c r="I84" s="24">
        <v>6</v>
      </c>
      <c r="J84" s="24">
        <v>7</v>
      </c>
      <c r="K84" s="135">
        <v>8</v>
      </c>
      <c r="L84" s="136">
        <v>9</v>
      </c>
      <c r="M84" s="137"/>
      <c r="N84" s="138"/>
      <c r="O84" s="139">
        <v>10</v>
      </c>
      <c r="P84" s="140">
        <v>11</v>
      </c>
      <c r="Q84" s="236">
        <v>12</v>
      </c>
      <c r="R84" s="236"/>
      <c r="S84" s="236"/>
      <c r="T84" s="139">
        <v>13</v>
      </c>
      <c r="U84" s="237">
        <v>14</v>
      </c>
      <c r="V84" s="140">
        <v>15</v>
      </c>
      <c r="W84" s="137">
        <v>16</v>
      </c>
      <c r="X84" s="138"/>
    </row>
    <row r="85" ht="21" customHeight="1" spans="1:24">
      <c r="A85" s="25" t="s">
        <v>866</v>
      </c>
      <c r="B85" s="26"/>
      <c r="C85" s="113">
        <v>25</v>
      </c>
      <c r="D85" s="307">
        <v>26</v>
      </c>
      <c r="E85" s="307">
        <v>27</v>
      </c>
      <c r="F85" s="307">
        <v>28</v>
      </c>
      <c r="G85" s="307">
        <v>29</v>
      </c>
      <c r="H85" s="307">
        <v>30</v>
      </c>
      <c r="I85" s="307">
        <v>31</v>
      </c>
      <c r="J85" s="307">
        <v>32</v>
      </c>
      <c r="K85" s="312">
        <v>33</v>
      </c>
      <c r="L85" s="185"/>
      <c r="M85" s="143">
        <v>34</v>
      </c>
      <c r="N85" s="187"/>
      <c r="O85" s="145">
        <v>35</v>
      </c>
      <c r="P85" s="146">
        <v>36</v>
      </c>
      <c r="Q85" s="187"/>
      <c r="R85" s="238">
        <v>37</v>
      </c>
      <c r="S85" s="187"/>
      <c r="T85" s="145">
        <v>38</v>
      </c>
      <c r="U85" s="239">
        <v>39</v>
      </c>
      <c r="V85" s="146">
        <v>40</v>
      </c>
      <c r="W85" s="264"/>
      <c r="X85" s="241">
        <v>41</v>
      </c>
    </row>
    <row r="86" ht="21" customHeight="1" spans="1:24">
      <c r="A86" s="73" t="s">
        <v>434</v>
      </c>
      <c r="B86" s="74"/>
      <c r="C86" s="75">
        <f t="shared" ref="C86:K86" si="21">C85+3</f>
        <v>28</v>
      </c>
      <c r="D86" s="76">
        <f t="shared" si="21"/>
        <v>29</v>
      </c>
      <c r="E86" s="76">
        <f t="shared" si="21"/>
        <v>30</v>
      </c>
      <c r="F86" s="76">
        <f t="shared" si="21"/>
        <v>31</v>
      </c>
      <c r="G86" s="76">
        <f t="shared" si="21"/>
        <v>32</v>
      </c>
      <c r="H86" s="76">
        <f t="shared" si="21"/>
        <v>33</v>
      </c>
      <c r="I86" s="76">
        <f t="shared" si="21"/>
        <v>34</v>
      </c>
      <c r="J86" s="76">
        <f t="shared" si="21"/>
        <v>35</v>
      </c>
      <c r="K86" s="182">
        <f t="shared" si="21"/>
        <v>36</v>
      </c>
      <c r="L86" s="196"/>
      <c r="M86" s="197">
        <f t="shared" ref="M86:P86" si="22">M85+3</f>
        <v>37</v>
      </c>
      <c r="N86" s="198"/>
      <c r="O86" s="161">
        <f t="shared" si="22"/>
        <v>38</v>
      </c>
      <c r="P86" s="162">
        <f t="shared" si="22"/>
        <v>39</v>
      </c>
      <c r="Q86" s="198"/>
      <c r="R86" s="247">
        <f t="shared" ref="R86:V86" si="23">R85+3</f>
        <v>40</v>
      </c>
      <c r="S86" s="198"/>
      <c r="T86" s="161">
        <f t="shared" si="23"/>
        <v>41</v>
      </c>
      <c r="U86" s="248">
        <f t="shared" si="23"/>
        <v>42</v>
      </c>
      <c r="V86" s="162">
        <f t="shared" si="23"/>
        <v>43</v>
      </c>
      <c r="W86" s="271"/>
      <c r="X86" s="250">
        <f>X85+3</f>
        <v>44</v>
      </c>
    </row>
    <row r="87" ht="21" customHeight="1" spans="1:24">
      <c r="A87" s="25" t="s">
        <v>867</v>
      </c>
      <c r="B87" s="26"/>
      <c r="C87" s="113">
        <v>28</v>
      </c>
      <c r="D87" s="307">
        <v>29</v>
      </c>
      <c r="E87" s="307">
        <v>30</v>
      </c>
      <c r="F87" s="307">
        <v>31</v>
      </c>
      <c r="G87" s="307">
        <v>32</v>
      </c>
      <c r="H87" s="307">
        <v>33</v>
      </c>
      <c r="I87" s="307">
        <v>34</v>
      </c>
      <c r="J87" s="307">
        <v>35</v>
      </c>
      <c r="K87" s="312">
        <v>36</v>
      </c>
      <c r="L87" s="185"/>
      <c r="M87" s="143">
        <v>37</v>
      </c>
      <c r="N87" s="187"/>
      <c r="O87" s="145">
        <v>38</v>
      </c>
      <c r="P87" s="146">
        <v>39</v>
      </c>
      <c r="Q87" s="187"/>
      <c r="R87" s="238">
        <v>40</v>
      </c>
      <c r="S87" s="187"/>
      <c r="T87" s="145">
        <v>41</v>
      </c>
      <c r="U87" s="239">
        <v>42</v>
      </c>
      <c r="V87" s="146">
        <v>43</v>
      </c>
      <c r="W87" s="264"/>
      <c r="X87" s="241">
        <v>45</v>
      </c>
    </row>
    <row r="88" ht="21" customHeight="1" spans="1:24">
      <c r="A88" s="558" t="s">
        <v>868</v>
      </c>
      <c r="B88" s="30"/>
      <c r="C88" s="559">
        <f t="shared" ref="C88:K88" si="24">C87*2</f>
        <v>56</v>
      </c>
      <c r="D88" s="560">
        <f t="shared" si="24"/>
        <v>58</v>
      </c>
      <c r="E88" s="560">
        <f t="shared" si="24"/>
        <v>60</v>
      </c>
      <c r="F88" s="560">
        <f t="shared" si="24"/>
        <v>62</v>
      </c>
      <c r="G88" s="560">
        <f t="shared" si="24"/>
        <v>64</v>
      </c>
      <c r="H88" s="560">
        <f t="shared" si="24"/>
        <v>66</v>
      </c>
      <c r="I88" s="560">
        <f t="shared" si="24"/>
        <v>68</v>
      </c>
      <c r="J88" s="560">
        <f t="shared" si="24"/>
        <v>70</v>
      </c>
      <c r="K88" s="570">
        <f t="shared" si="24"/>
        <v>72</v>
      </c>
      <c r="L88" s="571"/>
      <c r="M88" s="572">
        <f t="shared" ref="M88:P88" si="25">M87*2</f>
        <v>74</v>
      </c>
      <c r="N88" s="573"/>
      <c r="O88" s="151">
        <f t="shared" si="25"/>
        <v>76</v>
      </c>
      <c r="P88" s="152">
        <f t="shared" si="25"/>
        <v>78</v>
      </c>
      <c r="Q88" s="573"/>
      <c r="R88" s="242">
        <f t="shared" ref="R88:V88" si="26">R87*2</f>
        <v>80</v>
      </c>
      <c r="S88" s="573"/>
      <c r="T88" s="151">
        <f t="shared" si="26"/>
        <v>82</v>
      </c>
      <c r="U88" s="243">
        <f t="shared" si="26"/>
        <v>84</v>
      </c>
      <c r="V88" s="152">
        <f t="shared" si="26"/>
        <v>86</v>
      </c>
      <c r="W88" s="583"/>
      <c r="X88" s="245">
        <f>X87*2</f>
        <v>90</v>
      </c>
    </row>
    <row r="89" ht="21" customHeight="1" spans="1:24">
      <c r="A89" s="122" t="s">
        <v>869</v>
      </c>
      <c r="B89" s="123"/>
      <c r="C89" s="87">
        <v>25</v>
      </c>
      <c r="D89" s="88">
        <v>26</v>
      </c>
      <c r="E89" s="88">
        <v>27</v>
      </c>
      <c r="F89" s="88">
        <v>28</v>
      </c>
      <c r="G89" s="88">
        <v>29</v>
      </c>
      <c r="H89" s="88">
        <v>30</v>
      </c>
      <c r="I89" s="88">
        <v>31</v>
      </c>
      <c r="J89" s="88">
        <v>32</v>
      </c>
      <c r="K89" s="199">
        <v>33</v>
      </c>
      <c r="L89" s="217"/>
      <c r="M89" s="218">
        <v>34</v>
      </c>
      <c r="N89" s="219"/>
      <c r="O89" s="203">
        <v>35</v>
      </c>
      <c r="P89" s="204">
        <v>36</v>
      </c>
      <c r="Q89" s="219"/>
      <c r="R89" s="272">
        <v>37</v>
      </c>
      <c r="S89" s="219"/>
      <c r="T89" s="203">
        <v>38</v>
      </c>
      <c r="U89" s="273">
        <v>39</v>
      </c>
      <c r="V89" s="204">
        <v>40</v>
      </c>
      <c r="W89" s="295"/>
      <c r="X89" s="275">
        <v>41</v>
      </c>
    </row>
    <row r="90" ht="21" spans="1:24">
      <c r="A90" s="59" t="s">
        <v>288</v>
      </c>
      <c r="B90" s="60"/>
      <c r="C90" s="61">
        <v>0</v>
      </c>
      <c r="D90" s="62">
        <v>1</v>
      </c>
      <c r="E90" s="62">
        <v>2</v>
      </c>
      <c r="F90" s="63">
        <v>3</v>
      </c>
      <c r="G90" s="62">
        <v>4</v>
      </c>
      <c r="H90" s="64">
        <v>5</v>
      </c>
      <c r="I90" s="62">
        <v>6</v>
      </c>
      <c r="J90" s="174">
        <v>7</v>
      </c>
      <c r="K90" s="175">
        <v>8</v>
      </c>
      <c r="L90" s="523" t="s">
        <v>870</v>
      </c>
      <c r="M90" s="574"/>
      <c r="N90" s="574"/>
      <c r="O90" s="574"/>
      <c r="P90" s="574"/>
      <c r="Q90" s="574"/>
      <c r="R90" s="574"/>
      <c r="S90" s="574"/>
      <c r="T90" s="574"/>
      <c r="U90" s="574"/>
      <c r="V90" s="574"/>
      <c r="W90" s="574"/>
      <c r="X90" s="584"/>
    </row>
    <row r="91" ht="21" spans="1:24">
      <c r="A91" s="122" t="s">
        <v>866</v>
      </c>
      <c r="B91" s="122"/>
      <c r="C91" s="41">
        <v>30</v>
      </c>
      <c r="D91" s="42">
        <v>28</v>
      </c>
      <c r="E91" s="42">
        <v>26</v>
      </c>
      <c r="F91" s="43">
        <v>24</v>
      </c>
      <c r="G91" s="42">
        <v>22</v>
      </c>
      <c r="H91" s="44">
        <v>20</v>
      </c>
      <c r="I91" s="42">
        <v>18</v>
      </c>
      <c r="J91" s="163">
        <v>16</v>
      </c>
      <c r="K91" s="164">
        <v>14</v>
      </c>
      <c r="L91" s="176" t="s">
        <v>871</v>
      </c>
      <c r="M91" s="177"/>
      <c r="N91" s="177"/>
      <c r="O91" s="177"/>
      <c r="P91" s="177"/>
      <c r="Q91" s="177"/>
      <c r="R91" s="177"/>
      <c r="S91" s="177"/>
      <c r="T91" s="177"/>
      <c r="U91" s="177"/>
      <c r="V91" s="177"/>
      <c r="W91" s="177"/>
      <c r="X91" s="258"/>
    </row>
    <row r="92" ht="21" spans="1:24">
      <c r="A92" s="25" t="s">
        <v>867</v>
      </c>
      <c r="B92" s="25"/>
      <c r="C92" s="89">
        <v>30</v>
      </c>
      <c r="D92" s="90">
        <v>29</v>
      </c>
      <c r="E92" s="90">
        <v>28</v>
      </c>
      <c r="F92" s="91">
        <v>27</v>
      </c>
      <c r="G92" s="90">
        <v>25</v>
      </c>
      <c r="H92" s="92">
        <v>23</v>
      </c>
      <c r="I92" s="90">
        <v>20</v>
      </c>
      <c r="J92" s="206">
        <v>17</v>
      </c>
      <c r="K92" s="207">
        <v>13</v>
      </c>
      <c r="L92" s="86" t="s">
        <v>872</v>
      </c>
      <c r="M92" s="205"/>
      <c r="N92" s="205"/>
      <c r="O92" s="205"/>
      <c r="P92" s="205"/>
      <c r="Q92" s="205"/>
      <c r="R92" s="205"/>
      <c r="S92" s="205"/>
      <c r="T92" s="205"/>
      <c r="U92" s="205"/>
      <c r="V92" s="205"/>
      <c r="W92" s="205"/>
      <c r="X92" s="276"/>
    </row>
    <row r="93" ht="21" spans="1:24">
      <c r="A93" s="94" t="s">
        <v>869</v>
      </c>
      <c r="B93" s="94"/>
      <c r="C93" s="95">
        <v>30</v>
      </c>
      <c r="D93" s="96">
        <v>28</v>
      </c>
      <c r="E93" s="96">
        <v>26</v>
      </c>
      <c r="F93" s="97">
        <v>24</v>
      </c>
      <c r="G93" s="96">
        <v>22</v>
      </c>
      <c r="H93" s="98">
        <v>20</v>
      </c>
      <c r="I93" s="96">
        <v>17</v>
      </c>
      <c r="J93" s="208">
        <v>14</v>
      </c>
      <c r="K93" s="209">
        <v>9</v>
      </c>
      <c r="L93" s="86" t="s">
        <v>873</v>
      </c>
      <c r="M93" s="205"/>
      <c r="N93" s="205"/>
      <c r="O93" s="205"/>
      <c r="P93" s="205"/>
      <c r="Q93" s="205"/>
      <c r="R93" s="205"/>
      <c r="S93" s="205"/>
      <c r="T93" s="205"/>
      <c r="U93" s="205"/>
      <c r="V93" s="205"/>
      <c r="W93" s="205"/>
      <c r="X93" s="276"/>
    </row>
    <row r="94" ht="21" customHeight="1" spans="1:24">
      <c r="A94" s="561" t="s">
        <v>874</v>
      </c>
      <c r="B94" s="562"/>
      <c r="C94" s="562"/>
      <c r="D94" s="562"/>
      <c r="E94" s="562"/>
      <c r="F94" s="562"/>
      <c r="G94" s="562"/>
      <c r="H94" s="562"/>
      <c r="I94" s="562"/>
      <c r="J94" s="562"/>
      <c r="K94" s="562"/>
      <c r="L94" s="562"/>
      <c r="M94" s="562"/>
      <c r="N94" s="562"/>
      <c r="O94" s="562"/>
      <c r="P94" s="562"/>
      <c r="Q94" s="562"/>
      <c r="R94" s="562"/>
      <c r="S94" s="562"/>
      <c r="T94" s="562"/>
      <c r="U94" s="562"/>
      <c r="V94" s="562"/>
      <c r="W94" s="562"/>
      <c r="X94" s="585"/>
    </row>
    <row r="95" ht="21" customHeight="1" spans="1:24">
      <c r="A95" s="21" t="s">
        <v>288</v>
      </c>
      <c r="B95" s="22"/>
      <c r="C95" s="23">
        <v>0</v>
      </c>
      <c r="D95" s="24">
        <v>1</v>
      </c>
      <c r="E95" s="24">
        <v>2</v>
      </c>
      <c r="F95" s="24">
        <v>3</v>
      </c>
      <c r="G95" s="24">
        <v>4</v>
      </c>
      <c r="H95" s="24">
        <v>5</v>
      </c>
      <c r="I95" s="24">
        <v>6</v>
      </c>
      <c r="J95" s="24">
        <v>7</v>
      </c>
      <c r="K95" s="135">
        <v>8</v>
      </c>
      <c r="L95" s="136">
        <v>9</v>
      </c>
      <c r="M95" s="137"/>
      <c r="N95" s="138"/>
      <c r="O95" s="139">
        <v>10</v>
      </c>
      <c r="P95" s="140">
        <v>11</v>
      </c>
      <c r="Q95" s="236">
        <v>12</v>
      </c>
      <c r="R95" s="236"/>
      <c r="S95" s="236"/>
      <c r="T95" s="139">
        <v>13</v>
      </c>
      <c r="U95" s="237">
        <v>14</v>
      </c>
      <c r="V95" s="140">
        <v>15</v>
      </c>
      <c r="W95" s="137">
        <v>16</v>
      </c>
      <c r="X95" s="138"/>
    </row>
    <row r="96" ht="21" customHeight="1" spans="1:24">
      <c r="A96" s="25" t="s">
        <v>875</v>
      </c>
      <c r="B96" s="26"/>
      <c r="C96" s="113">
        <v>60</v>
      </c>
      <c r="D96" s="307">
        <v>59</v>
      </c>
      <c r="E96" s="307">
        <v>58</v>
      </c>
      <c r="F96" s="307">
        <v>57</v>
      </c>
      <c r="G96" s="307">
        <v>55</v>
      </c>
      <c r="H96" s="307">
        <v>53</v>
      </c>
      <c r="I96" s="307">
        <v>51</v>
      </c>
      <c r="J96" s="307">
        <v>48</v>
      </c>
      <c r="K96" s="312">
        <v>45</v>
      </c>
      <c r="L96" s="185"/>
      <c r="M96" s="143">
        <v>42</v>
      </c>
      <c r="N96" s="187"/>
      <c r="O96" s="145">
        <v>39</v>
      </c>
      <c r="P96" s="146">
        <v>36</v>
      </c>
      <c r="Q96" s="187"/>
      <c r="R96" s="238">
        <v>33</v>
      </c>
      <c r="S96" s="187"/>
      <c r="T96" s="145">
        <v>30</v>
      </c>
      <c r="U96" s="239">
        <v>27</v>
      </c>
      <c r="V96" s="146">
        <v>24</v>
      </c>
      <c r="W96" s="264"/>
      <c r="X96" s="241">
        <v>21</v>
      </c>
    </row>
    <row r="97" ht="21" customHeight="1" spans="1:24">
      <c r="A97" s="122" t="s">
        <v>876</v>
      </c>
      <c r="B97" s="122"/>
      <c r="C97" s="41">
        <v>50</v>
      </c>
      <c r="D97" s="42">
        <v>47</v>
      </c>
      <c r="E97" s="42">
        <v>44</v>
      </c>
      <c r="F97" s="43">
        <v>41</v>
      </c>
      <c r="G97" s="42">
        <v>38</v>
      </c>
      <c r="H97" s="44">
        <v>34</v>
      </c>
      <c r="I97" s="42">
        <v>30</v>
      </c>
      <c r="J97" s="163">
        <v>25</v>
      </c>
      <c r="K97" s="575">
        <v>20</v>
      </c>
      <c r="L97" s="576" t="s">
        <v>877</v>
      </c>
      <c r="M97" s="577"/>
      <c r="N97" s="577"/>
      <c r="O97" s="577"/>
      <c r="P97" s="577"/>
      <c r="Q97" s="577"/>
      <c r="R97" s="577"/>
      <c r="S97" s="577"/>
      <c r="T97" s="577"/>
      <c r="U97" s="577"/>
      <c r="V97" s="577"/>
      <c r="W97" s="577"/>
      <c r="X97" s="586"/>
    </row>
    <row r="98" ht="21" customHeight="1" spans="1:24">
      <c r="A98" s="21" t="s">
        <v>340</v>
      </c>
      <c r="B98" s="22"/>
      <c r="C98" s="23">
        <v>0</v>
      </c>
      <c r="D98" s="24">
        <v>1</v>
      </c>
      <c r="E98" s="24">
        <v>2</v>
      </c>
      <c r="F98" s="24">
        <v>3</v>
      </c>
      <c r="G98" s="24">
        <v>4</v>
      </c>
      <c r="H98" s="24">
        <v>5</v>
      </c>
      <c r="I98" s="24">
        <v>6</v>
      </c>
      <c r="J98" s="24">
        <v>7</v>
      </c>
      <c r="K98" s="135">
        <v>8</v>
      </c>
      <c r="L98" s="136">
        <v>9</v>
      </c>
      <c r="M98" s="137"/>
      <c r="N98" s="138"/>
      <c r="O98" s="139">
        <v>10</v>
      </c>
      <c r="P98" s="140">
        <v>11</v>
      </c>
      <c r="Q98" s="236">
        <v>12</v>
      </c>
      <c r="R98" s="236"/>
      <c r="S98" s="236"/>
      <c r="T98" s="139">
        <v>13</v>
      </c>
      <c r="U98" s="237">
        <v>14</v>
      </c>
      <c r="V98" s="140">
        <v>15</v>
      </c>
      <c r="W98" s="137">
        <v>16</v>
      </c>
      <c r="X98" s="138"/>
    </row>
    <row r="99" ht="21" customHeight="1" spans="1:24">
      <c r="A99" s="94" t="s">
        <v>876</v>
      </c>
      <c r="B99" s="86"/>
      <c r="C99" s="27">
        <v>5</v>
      </c>
      <c r="D99" s="28">
        <v>5</v>
      </c>
      <c r="E99" s="28">
        <v>5</v>
      </c>
      <c r="F99" s="28">
        <v>10</v>
      </c>
      <c r="G99" s="28">
        <v>10</v>
      </c>
      <c r="H99" s="28">
        <v>10</v>
      </c>
      <c r="I99" s="28">
        <v>15</v>
      </c>
      <c r="J99" s="28">
        <v>15</v>
      </c>
      <c r="K99" s="141">
        <v>15</v>
      </c>
      <c r="L99" s="185"/>
      <c r="M99" s="186">
        <v>20</v>
      </c>
      <c r="N99" s="187"/>
      <c r="O99" s="188">
        <v>20</v>
      </c>
      <c r="P99" s="189">
        <v>20</v>
      </c>
      <c r="Q99" s="187"/>
      <c r="R99" s="262">
        <v>25</v>
      </c>
      <c r="S99" s="187"/>
      <c r="T99" s="188">
        <v>30</v>
      </c>
      <c r="U99" s="263">
        <v>35</v>
      </c>
      <c r="V99" s="189">
        <v>40</v>
      </c>
      <c r="W99" s="264"/>
      <c r="X99" s="265">
        <v>45</v>
      </c>
    </row>
    <row r="100" ht="21" customHeight="1" spans="1:24">
      <c r="A100" s="551" t="s">
        <v>878</v>
      </c>
      <c r="B100" s="552"/>
      <c r="C100" s="552"/>
      <c r="D100" s="552"/>
      <c r="E100" s="552"/>
      <c r="F100" s="552"/>
      <c r="G100" s="552"/>
      <c r="H100" s="552"/>
      <c r="I100" s="552"/>
      <c r="J100" s="552"/>
      <c r="K100" s="552"/>
      <c r="L100" s="552"/>
      <c r="M100" s="552"/>
      <c r="N100" s="552"/>
      <c r="O100" s="552"/>
      <c r="P100" s="552"/>
      <c r="Q100" s="552"/>
      <c r="R100" s="552"/>
      <c r="S100" s="552"/>
      <c r="T100" s="552"/>
      <c r="U100" s="552"/>
      <c r="V100" s="552"/>
      <c r="W100" s="552"/>
      <c r="X100" s="580"/>
    </row>
    <row r="101" ht="21" customHeight="1" spans="1:24">
      <c r="A101" s="105"/>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286"/>
    </row>
    <row r="102" ht="44" customHeight="1" spans="1:24">
      <c r="A102" s="353" t="str">
        <f>_xlfn.DISPIMG("ID_40C0265974D84299A50981CBFE2E6A31",1)</f>
        <v>=DISPIMG("ID_40C0265974D84299A50981CBFE2E6A31",1)</v>
      </c>
      <c r="B102" s="354"/>
      <c r="C102" s="354"/>
      <c r="D102" s="354"/>
      <c r="E102" s="354"/>
      <c r="F102" s="355"/>
      <c r="G102" s="563" t="s">
        <v>879</v>
      </c>
      <c r="H102" s="564"/>
      <c r="I102" s="564"/>
      <c r="J102" s="564"/>
      <c r="K102" s="564"/>
      <c r="L102" s="564"/>
      <c r="M102" s="564"/>
      <c r="N102" s="564"/>
      <c r="O102" s="578"/>
      <c r="P102" s="353" t="str">
        <f>_xlfn.DISPIMG("ID_A946BF4B67C1478A91178C42C59499AA",1)</f>
        <v>=DISPIMG("ID_A946BF4B67C1478A91178C42C59499AA",1)</v>
      </c>
      <c r="Q102" s="354"/>
      <c r="R102" s="354"/>
      <c r="S102" s="354"/>
      <c r="T102" s="354"/>
      <c r="U102" s="354"/>
      <c r="V102" s="354"/>
      <c r="W102" s="354"/>
      <c r="X102" s="355"/>
    </row>
    <row r="103" ht="21" customHeight="1" spans="1:24">
      <c r="A103" s="476" t="s">
        <v>880</v>
      </c>
      <c r="B103" s="476"/>
      <c r="C103" s="476"/>
      <c r="D103" s="476"/>
      <c r="E103" s="476"/>
      <c r="F103" s="476"/>
      <c r="G103" s="476"/>
      <c r="H103" s="476"/>
      <c r="I103" s="476"/>
      <c r="J103" s="476"/>
      <c r="K103" s="476"/>
      <c r="L103" s="476"/>
      <c r="M103" s="476"/>
      <c r="N103" s="476"/>
      <c r="O103" s="476"/>
      <c r="P103" s="476"/>
      <c r="Q103" s="476"/>
      <c r="R103" s="476"/>
      <c r="S103" s="476"/>
      <c r="T103" s="476"/>
      <c r="U103" s="476"/>
      <c r="V103" s="476"/>
      <c r="W103" s="476"/>
      <c r="X103" s="476"/>
    </row>
    <row r="104" ht="21" customHeight="1" spans="1:24">
      <c r="A104" s="21" t="s">
        <v>288</v>
      </c>
      <c r="B104" s="22"/>
      <c r="C104" s="23">
        <v>0</v>
      </c>
      <c r="D104" s="24">
        <v>1</v>
      </c>
      <c r="E104" s="24">
        <v>2</v>
      </c>
      <c r="F104" s="24">
        <v>3</v>
      </c>
      <c r="G104" s="24">
        <v>4</v>
      </c>
      <c r="H104" s="24">
        <v>5</v>
      </c>
      <c r="I104" s="24">
        <v>6</v>
      </c>
      <c r="J104" s="24">
        <v>7</v>
      </c>
      <c r="K104" s="135">
        <v>8</v>
      </c>
      <c r="L104" s="136">
        <v>9</v>
      </c>
      <c r="M104" s="137"/>
      <c r="N104" s="138"/>
      <c r="O104" s="139">
        <v>10</v>
      </c>
      <c r="P104" s="140">
        <v>11</v>
      </c>
      <c r="Q104" s="236">
        <v>12</v>
      </c>
      <c r="R104" s="236"/>
      <c r="S104" s="236"/>
      <c r="T104" s="139">
        <v>13</v>
      </c>
      <c r="U104" s="237">
        <v>14</v>
      </c>
      <c r="V104" s="140">
        <v>15</v>
      </c>
      <c r="W104" s="137">
        <v>16</v>
      </c>
      <c r="X104" s="138"/>
    </row>
    <row r="105" ht="21" customHeight="1" spans="1:24">
      <c r="A105" s="25" t="s">
        <v>881</v>
      </c>
      <c r="B105" s="26"/>
      <c r="C105" s="113">
        <v>50</v>
      </c>
      <c r="D105" s="307">
        <v>48</v>
      </c>
      <c r="E105" s="307">
        <v>46</v>
      </c>
      <c r="F105" s="307">
        <v>44</v>
      </c>
      <c r="G105" s="307">
        <v>42</v>
      </c>
      <c r="H105" s="307">
        <v>40</v>
      </c>
      <c r="I105" s="307">
        <v>38</v>
      </c>
      <c r="J105" s="307">
        <v>35</v>
      </c>
      <c r="K105" s="312">
        <v>32</v>
      </c>
      <c r="L105" s="154"/>
      <c r="M105" s="155">
        <v>29</v>
      </c>
      <c r="N105" s="156"/>
      <c r="O105" s="145">
        <v>26</v>
      </c>
      <c r="P105" s="146">
        <v>23</v>
      </c>
      <c r="Q105" s="156"/>
      <c r="R105" s="238">
        <v>20</v>
      </c>
      <c r="S105" s="156"/>
      <c r="T105" s="145">
        <v>17</v>
      </c>
      <c r="U105" s="239">
        <v>14</v>
      </c>
      <c r="V105" s="146">
        <v>11</v>
      </c>
      <c r="W105" s="246"/>
      <c r="X105" s="241">
        <v>7</v>
      </c>
    </row>
    <row r="106" ht="21" customHeight="1" spans="1:24">
      <c r="A106" s="37" t="s">
        <v>882</v>
      </c>
      <c r="B106" s="38"/>
      <c r="C106" s="321">
        <v>55</v>
      </c>
      <c r="D106" s="322">
        <v>54</v>
      </c>
      <c r="E106" s="322">
        <v>53</v>
      </c>
      <c r="F106" s="322">
        <v>52</v>
      </c>
      <c r="G106" s="322">
        <v>50</v>
      </c>
      <c r="H106" s="322">
        <v>48</v>
      </c>
      <c r="I106" s="322">
        <v>46</v>
      </c>
      <c r="J106" s="322">
        <v>43</v>
      </c>
      <c r="K106" s="361">
        <v>40</v>
      </c>
      <c r="L106" s="196"/>
      <c r="M106" s="579">
        <v>37</v>
      </c>
      <c r="N106" s="198"/>
      <c r="O106" s="386">
        <v>34</v>
      </c>
      <c r="P106" s="387">
        <v>31</v>
      </c>
      <c r="Q106" s="198"/>
      <c r="R106" s="420">
        <v>28</v>
      </c>
      <c r="S106" s="198"/>
      <c r="T106" s="386">
        <v>25</v>
      </c>
      <c r="U106" s="421">
        <v>22</v>
      </c>
      <c r="V106" s="387">
        <v>19</v>
      </c>
      <c r="W106" s="271"/>
      <c r="X106" s="422">
        <v>15</v>
      </c>
    </row>
    <row r="107" ht="21" customHeight="1" spans="1:24">
      <c r="A107" s="565" t="s">
        <v>883</v>
      </c>
      <c r="B107" s="565"/>
      <c r="C107" s="565"/>
      <c r="D107" s="565"/>
      <c r="E107" s="565"/>
      <c r="F107" s="565"/>
      <c r="G107" s="565"/>
      <c r="H107" s="565"/>
      <c r="I107" s="565"/>
      <c r="J107" s="565"/>
      <c r="K107" s="565"/>
      <c r="L107" s="565"/>
      <c r="M107" s="565"/>
      <c r="N107" s="565"/>
      <c r="O107" s="565"/>
      <c r="P107" s="565"/>
      <c r="Q107" s="565"/>
      <c r="R107" s="565"/>
      <c r="S107" s="565"/>
      <c r="T107" s="565"/>
      <c r="U107" s="565"/>
      <c r="V107" s="565"/>
      <c r="W107" s="565"/>
      <c r="X107" s="565"/>
    </row>
    <row r="108" ht="21" customHeight="1" spans="1:24">
      <c r="A108" s="565"/>
      <c r="B108" s="565"/>
      <c r="C108" s="565"/>
      <c r="D108" s="565"/>
      <c r="E108" s="565"/>
      <c r="F108" s="565"/>
      <c r="G108" s="565"/>
      <c r="H108" s="565"/>
      <c r="I108" s="565"/>
      <c r="J108" s="565"/>
      <c r="K108" s="565"/>
      <c r="L108" s="565"/>
      <c r="M108" s="565"/>
      <c r="N108" s="565"/>
      <c r="O108" s="565"/>
      <c r="P108" s="565"/>
      <c r="Q108" s="565"/>
      <c r="R108" s="565"/>
      <c r="S108" s="565"/>
      <c r="T108" s="565"/>
      <c r="U108" s="565"/>
      <c r="V108" s="565"/>
      <c r="W108" s="565"/>
      <c r="X108" s="565"/>
    </row>
    <row r="109" ht="21" customHeight="1" spans="1:24">
      <c r="A109" s="566" t="s">
        <v>884</v>
      </c>
      <c r="B109" s="566"/>
      <c r="C109" s="566"/>
      <c r="D109" s="566"/>
      <c r="E109" s="566"/>
      <c r="F109" s="566"/>
      <c r="G109" s="566"/>
      <c r="H109" s="566"/>
      <c r="I109" s="566"/>
      <c r="J109" s="566"/>
      <c r="K109" s="566"/>
      <c r="L109" s="566"/>
      <c r="M109" s="566"/>
      <c r="N109" s="566"/>
      <c r="O109" s="566"/>
      <c r="P109" s="566"/>
      <c r="Q109" s="566"/>
      <c r="R109" s="566"/>
      <c r="S109" s="566"/>
      <c r="T109" s="566"/>
      <c r="U109" s="566"/>
      <c r="V109" s="566"/>
      <c r="W109" s="566"/>
      <c r="X109" s="566"/>
    </row>
    <row r="110" ht="21" customHeight="1" spans="1:24">
      <c r="A110" s="566"/>
      <c r="B110" s="566"/>
      <c r="C110" s="566"/>
      <c r="D110" s="566"/>
      <c r="E110" s="566"/>
      <c r="F110" s="566"/>
      <c r="G110" s="566"/>
      <c r="H110" s="566"/>
      <c r="I110" s="566"/>
      <c r="J110" s="566"/>
      <c r="K110" s="566"/>
      <c r="L110" s="566"/>
      <c r="M110" s="566"/>
      <c r="N110" s="566"/>
      <c r="O110" s="566"/>
      <c r="P110" s="566"/>
      <c r="Q110" s="566"/>
      <c r="R110" s="566"/>
      <c r="S110" s="566"/>
      <c r="T110" s="566"/>
      <c r="U110" s="566"/>
      <c r="V110" s="566"/>
      <c r="W110" s="566"/>
      <c r="X110" s="566"/>
    </row>
    <row r="111" ht="21" customHeight="1" spans="1:24">
      <c r="A111" s="566"/>
      <c r="B111" s="566"/>
      <c r="C111" s="566"/>
      <c r="D111" s="566"/>
      <c r="E111" s="566"/>
      <c r="F111" s="566"/>
      <c r="G111" s="566"/>
      <c r="H111" s="566"/>
      <c r="I111" s="566"/>
      <c r="J111" s="566"/>
      <c r="K111" s="566"/>
      <c r="L111" s="566"/>
      <c r="M111" s="566"/>
      <c r="N111" s="566"/>
      <c r="O111" s="566"/>
      <c r="P111" s="566"/>
      <c r="Q111" s="566"/>
      <c r="R111" s="566"/>
      <c r="S111" s="566"/>
      <c r="T111" s="566"/>
      <c r="U111" s="566"/>
      <c r="V111" s="566"/>
      <c r="W111" s="566"/>
      <c r="X111" s="566"/>
    </row>
  </sheetData>
  <sheetProtection formatCells="0" insertHyperlinks="0" autoFilter="0"/>
  <mergeCells count="172">
    <mergeCell ref="A1:C1"/>
    <mergeCell ref="D1:T1"/>
    <mergeCell ref="U1:X1"/>
    <mergeCell ref="B2:D2"/>
    <mergeCell ref="F2:H2"/>
    <mergeCell ref="J2:V2"/>
    <mergeCell ref="W2:X2"/>
    <mergeCell ref="A3:X3"/>
    <mergeCell ref="G4:O4"/>
    <mergeCell ref="V4:X4"/>
    <mergeCell ref="A5:X5"/>
    <mergeCell ref="A6:B6"/>
    <mergeCell ref="L6:N6"/>
    <mergeCell ref="Q6:S6"/>
    <mergeCell ref="W6:X6"/>
    <mergeCell ref="A7:B7"/>
    <mergeCell ref="A8:B8"/>
    <mergeCell ref="A9:B9"/>
    <mergeCell ref="A10:B10"/>
    <mergeCell ref="A11:B11"/>
    <mergeCell ref="L11:N11"/>
    <mergeCell ref="Q11:S11"/>
    <mergeCell ref="W11:X11"/>
    <mergeCell ref="A12:B12"/>
    <mergeCell ref="A13:B13"/>
    <mergeCell ref="A14:X14"/>
    <mergeCell ref="A15:B15"/>
    <mergeCell ref="L15:N15"/>
    <mergeCell ref="Q15:S15"/>
    <mergeCell ref="W15:X15"/>
    <mergeCell ref="A16:B16"/>
    <mergeCell ref="A17:B17"/>
    <mergeCell ref="A18:B18"/>
    <mergeCell ref="A19:B19"/>
    <mergeCell ref="A20:B20"/>
    <mergeCell ref="A21:B21"/>
    <mergeCell ref="L21:N21"/>
    <mergeCell ref="Q21:S21"/>
    <mergeCell ref="W21:X21"/>
    <mergeCell ref="A22:B22"/>
    <mergeCell ref="A23:B23"/>
    <mergeCell ref="A24:B24"/>
    <mergeCell ref="L24:X24"/>
    <mergeCell ref="A25:B25"/>
    <mergeCell ref="L25:X25"/>
    <mergeCell ref="A26:B26"/>
    <mergeCell ref="L26:X26"/>
    <mergeCell ref="A27:B27"/>
    <mergeCell ref="L27:X27"/>
    <mergeCell ref="A28:B28"/>
    <mergeCell ref="L28:X28"/>
    <mergeCell ref="A29:B29"/>
    <mergeCell ref="L29:X29"/>
    <mergeCell ref="A35:X35"/>
    <mergeCell ref="G36:O36"/>
    <mergeCell ref="A37:X37"/>
    <mergeCell ref="A38:B38"/>
    <mergeCell ref="L38:N38"/>
    <mergeCell ref="Q38:S38"/>
    <mergeCell ref="W38:X38"/>
    <mergeCell ref="A39:B39"/>
    <mergeCell ref="A40:B40"/>
    <mergeCell ref="A41:B41"/>
    <mergeCell ref="A42:B42"/>
    <mergeCell ref="A43:B43"/>
    <mergeCell ref="A44:X44"/>
    <mergeCell ref="A45:X45"/>
    <mergeCell ref="A46:J46"/>
    <mergeCell ref="K46:X46"/>
    <mergeCell ref="A47:J47"/>
    <mergeCell ref="K47:X47"/>
    <mergeCell ref="A48:J48"/>
    <mergeCell ref="K48:X48"/>
    <mergeCell ref="A49:J49"/>
    <mergeCell ref="K49:X49"/>
    <mergeCell ref="A50:J50"/>
    <mergeCell ref="K50:X50"/>
    <mergeCell ref="A51:X51"/>
    <mergeCell ref="A52:X52"/>
    <mergeCell ref="G53:O53"/>
    <mergeCell ref="P53:S53"/>
    <mergeCell ref="T53:U53"/>
    <mergeCell ref="V53:X53"/>
    <mergeCell ref="A54:X54"/>
    <mergeCell ref="A55:B55"/>
    <mergeCell ref="L55:N55"/>
    <mergeCell ref="Q55:S55"/>
    <mergeCell ref="W55:X55"/>
    <mergeCell ref="A56:B56"/>
    <mergeCell ref="A57:B57"/>
    <mergeCell ref="A58:X58"/>
    <mergeCell ref="A59:X59"/>
    <mergeCell ref="E60:F60"/>
    <mergeCell ref="G60:O60"/>
    <mergeCell ref="P60:R60"/>
    <mergeCell ref="A61:X61"/>
    <mergeCell ref="A62:B62"/>
    <mergeCell ref="L62:N62"/>
    <mergeCell ref="Q62:S62"/>
    <mergeCell ref="W62:X62"/>
    <mergeCell ref="A63:B63"/>
    <mergeCell ref="A64:B64"/>
    <mergeCell ref="A65:B65"/>
    <mergeCell ref="A66:X66"/>
    <mergeCell ref="A67:X67"/>
    <mergeCell ref="A68:B68"/>
    <mergeCell ref="A69:X69"/>
    <mergeCell ref="A70:X70"/>
    <mergeCell ref="A71:B71"/>
    <mergeCell ref="A72:X72"/>
    <mergeCell ref="A73:X73"/>
    <mergeCell ref="G74:O74"/>
    <mergeCell ref="P74:X74"/>
    <mergeCell ref="A75:X75"/>
    <mergeCell ref="A76:B76"/>
    <mergeCell ref="L76:N76"/>
    <mergeCell ref="Q76:S76"/>
    <mergeCell ref="W76:X76"/>
    <mergeCell ref="A77:B77"/>
    <mergeCell ref="A78:B78"/>
    <mergeCell ref="A79:X79"/>
    <mergeCell ref="A80:X80"/>
    <mergeCell ref="A81:X81"/>
    <mergeCell ref="G82:O82"/>
    <mergeCell ref="P82:X82"/>
    <mergeCell ref="A83:X83"/>
    <mergeCell ref="A84:B84"/>
    <mergeCell ref="L84:N84"/>
    <mergeCell ref="Q84:S84"/>
    <mergeCell ref="W84:X84"/>
    <mergeCell ref="A85:B85"/>
    <mergeCell ref="A86:B86"/>
    <mergeCell ref="A87:B87"/>
    <mergeCell ref="A88:B88"/>
    <mergeCell ref="A89:B89"/>
    <mergeCell ref="A90:B90"/>
    <mergeCell ref="L90:X90"/>
    <mergeCell ref="A91:B91"/>
    <mergeCell ref="L91:X91"/>
    <mergeCell ref="A92:B92"/>
    <mergeCell ref="L92:X92"/>
    <mergeCell ref="A93:B93"/>
    <mergeCell ref="L93:X93"/>
    <mergeCell ref="A94:X94"/>
    <mergeCell ref="A95:B95"/>
    <mergeCell ref="L95:N95"/>
    <mergeCell ref="Q95:S95"/>
    <mergeCell ref="W95:X95"/>
    <mergeCell ref="A96:B96"/>
    <mergeCell ref="A97:B97"/>
    <mergeCell ref="L97:X97"/>
    <mergeCell ref="A98:B98"/>
    <mergeCell ref="L98:N98"/>
    <mergeCell ref="Q98:S98"/>
    <mergeCell ref="W98:X98"/>
    <mergeCell ref="A99:B99"/>
    <mergeCell ref="A100:X100"/>
    <mergeCell ref="A101:X101"/>
    <mergeCell ref="A102:F102"/>
    <mergeCell ref="G102:O102"/>
    <mergeCell ref="P102:X102"/>
    <mergeCell ref="A103:X103"/>
    <mergeCell ref="A104:B104"/>
    <mergeCell ref="L104:N104"/>
    <mergeCell ref="Q104:S104"/>
    <mergeCell ref="W104:X104"/>
    <mergeCell ref="A105:B105"/>
    <mergeCell ref="A106:B106"/>
    <mergeCell ref="A30:T34"/>
    <mergeCell ref="U30:X34"/>
    <mergeCell ref="A107:X108"/>
    <mergeCell ref="A109:X111"/>
  </mergeCells>
  <pageMargins left="0.75" right="0.75" top="1" bottom="1" header="0.5" footer="0.5"/>
  <headerFooter/>
  <picture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2"/>
  <sheetViews>
    <sheetView workbookViewId="0">
      <selection activeCell="P10" sqref="P10"/>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t="s">
        <v>885</v>
      </c>
      <c r="B1" s="2"/>
      <c r="C1" s="2"/>
      <c r="D1" s="449" t="s">
        <v>886</v>
      </c>
      <c r="E1" s="4"/>
      <c r="F1" s="4"/>
      <c r="G1" s="2"/>
      <c r="H1" s="2"/>
      <c r="I1" s="4"/>
      <c r="J1" s="4"/>
      <c r="K1" s="2"/>
      <c r="L1" s="2"/>
      <c r="M1" s="2"/>
      <c r="N1" s="2"/>
      <c r="O1" s="2"/>
      <c r="P1" s="2"/>
      <c r="Q1" s="2"/>
      <c r="R1" s="2"/>
      <c r="S1" s="2"/>
      <c r="T1" s="2"/>
      <c r="U1" s="2" t="s">
        <v>885</v>
      </c>
      <c r="V1" s="2"/>
      <c r="W1" s="2"/>
      <c r="X1" s="2"/>
    </row>
    <row r="2" ht="21" customHeight="1" spans="1:24">
      <c r="A2" s="5"/>
      <c r="B2" s="6" t="s">
        <v>1</v>
      </c>
      <c r="C2" s="7"/>
      <c r="D2" s="8"/>
      <c r="E2" s="9"/>
      <c r="F2" s="6" t="s">
        <v>33</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47"/>
      <c r="B5" s="48"/>
      <c r="C5" s="48" t="str">
        <f>_xlfn.DISPIMG("ID_C02B4419F8BD4745B27CF74DFBF14EDD",1)</f>
        <v>=DISPIMG("ID_C02B4419F8BD4745B27CF74DFBF14EDD",1)</v>
      </c>
      <c r="D5" s="48" t="str">
        <f>_xlfn.DISPIMG("ID_B1961608BF6A44218A49AE6ACF2F7C78",1)</f>
        <v>=DISPIMG("ID_B1961608BF6A44218A49AE6ACF2F7C78",1)</v>
      </c>
      <c r="E5" s="48"/>
      <c r="F5" s="70"/>
      <c r="G5" s="340" t="s">
        <v>887</v>
      </c>
      <c r="H5" s="341"/>
      <c r="I5" s="341"/>
      <c r="J5" s="341"/>
      <c r="K5" s="341"/>
      <c r="L5" s="341"/>
      <c r="M5" s="341"/>
      <c r="N5" s="341"/>
      <c r="O5" s="384"/>
      <c r="P5" s="375" t="str">
        <f>_xlfn.DISPIMG("ID_DA93BB2400E242B78B2E4780FFE3A70E",1)</f>
        <v>=DISPIMG("ID_DA93BB2400E242B78B2E4780FFE3A70E",1)</v>
      </c>
      <c r="Q5" s="409"/>
      <c r="R5" s="409" t="str">
        <f>_xlfn.DISPIMG("ID_A84929B096834DBF8C1F07251F2059D4",1)</f>
        <v>=DISPIMG("ID_A84929B096834DBF8C1F07251F2059D4",1)</v>
      </c>
      <c r="S5" s="409"/>
      <c r="T5" s="409" t="str">
        <f>_xlfn.DISPIMG("ID_AACE4A477C2F4558B536690269ED7919",1)</f>
        <v>=DISPIMG("ID_AACE4A477C2F4558B536690269ED7919",1)</v>
      </c>
      <c r="U5" s="409" t="str">
        <f>_xlfn.DISPIMG("ID_B981092438704F339392241D99F9B6B7",1)</f>
        <v>=DISPIMG("ID_B981092438704F339392241D99F9B6B7",1)</v>
      </c>
      <c r="V5" s="409" t="str">
        <f>_xlfn.DISPIMG("ID_2ED63B0417E3436FB402009401D7D4FA",1)</f>
        <v>=DISPIMG("ID_2ED63B0417E3436FB402009401D7D4FA",1)</v>
      </c>
      <c r="W5" s="409"/>
      <c r="X5" s="410"/>
    </row>
    <row r="6" ht="21" customHeight="1" spans="1:24">
      <c r="A6" s="12" t="s">
        <v>888</v>
      </c>
      <c r="B6" s="13"/>
      <c r="C6" s="13"/>
      <c r="D6" s="13"/>
      <c r="E6" s="13"/>
      <c r="F6" s="13"/>
      <c r="G6" s="13"/>
      <c r="H6" s="13"/>
      <c r="I6" s="13"/>
      <c r="J6" s="13"/>
      <c r="K6" s="13"/>
      <c r="L6" s="13"/>
      <c r="M6" s="13"/>
      <c r="N6" s="13"/>
      <c r="O6" s="13"/>
      <c r="P6" s="13"/>
      <c r="Q6" s="13"/>
      <c r="R6" s="13"/>
      <c r="S6" s="13"/>
      <c r="T6" s="13"/>
      <c r="U6" s="13"/>
      <c r="V6" s="13"/>
      <c r="W6" s="13"/>
      <c r="X6" s="232"/>
    </row>
    <row r="7" ht="21" customHeight="1" spans="1:24">
      <c r="A7" s="21" t="s">
        <v>288</v>
      </c>
      <c r="B7" s="22"/>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73" t="s">
        <v>889</v>
      </c>
      <c r="B8" s="74"/>
      <c r="C8" s="110">
        <v>30</v>
      </c>
      <c r="D8" s="130">
        <v>29</v>
      </c>
      <c r="E8" s="130">
        <v>28</v>
      </c>
      <c r="F8" s="130">
        <v>27</v>
      </c>
      <c r="G8" s="130">
        <v>26</v>
      </c>
      <c r="H8" s="130">
        <v>25</v>
      </c>
      <c r="I8" s="130">
        <v>24</v>
      </c>
      <c r="J8" s="130">
        <v>23</v>
      </c>
      <c r="K8" s="221">
        <v>22</v>
      </c>
      <c r="L8" s="212"/>
      <c r="M8" s="222">
        <v>20</v>
      </c>
      <c r="N8" s="214"/>
      <c r="O8" s="223">
        <v>18</v>
      </c>
      <c r="P8" s="224">
        <v>16</v>
      </c>
      <c r="Q8" s="214"/>
      <c r="R8" s="297">
        <v>14</v>
      </c>
      <c r="S8" s="214"/>
      <c r="T8" s="223">
        <v>12</v>
      </c>
      <c r="U8" s="298">
        <v>10</v>
      </c>
      <c r="V8" s="224">
        <v>8</v>
      </c>
      <c r="W8" s="291"/>
      <c r="X8" s="299">
        <v>7</v>
      </c>
    </row>
    <row r="9" ht="21" customHeight="1" spans="1:24">
      <c r="A9" s="25" t="s">
        <v>890</v>
      </c>
      <c r="B9" s="26"/>
      <c r="C9" s="113">
        <v>50</v>
      </c>
      <c r="D9" s="307">
        <v>48</v>
      </c>
      <c r="E9" s="307">
        <v>46</v>
      </c>
      <c r="F9" s="307">
        <v>44</v>
      </c>
      <c r="G9" s="307">
        <v>42</v>
      </c>
      <c r="H9" s="307">
        <v>40</v>
      </c>
      <c r="I9" s="307">
        <v>38</v>
      </c>
      <c r="J9" s="307">
        <v>35</v>
      </c>
      <c r="K9" s="312">
        <v>32</v>
      </c>
      <c r="L9" s="154"/>
      <c r="M9" s="155">
        <v>29</v>
      </c>
      <c r="N9" s="156"/>
      <c r="O9" s="145">
        <v>26</v>
      </c>
      <c r="P9" s="146">
        <v>23</v>
      </c>
      <c r="Q9" s="156"/>
      <c r="R9" s="238">
        <v>20</v>
      </c>
      <c r="S9" s="156"/>
      <c r="T9" s="145">
        <v>17</v>
      </c>
      <c r="U9" s="239">
        <v>14</v>
      </c>
      <c r="V9" s="146">
        <v>11</v>
      </c>
      <c r="W9" s="246"/>
      <c r="X9" s="241">
        <v>8</v>
      </c>
    </row>
    <row r="10" ht="21" customHeight="1" spans="1:24">
      <c r="A10" s="73" t="s">
        <v>891</v>
      </c>
      <c r="B10" s="74"/>
      <c r="C10" s="75">
        <v>46</v>
      </c>
      <c r="D10" s="76">
        <v>44</v>
      </c>
      <c r="E10" s="76">
        <v>42</v>
      </c>
      <c r="F10" s="76">
        <v>40</v>
      </c>
      <c r="G10" s="76">
        <v>38</v>
      </c>
      <c r="H10" s="76">
        <v>36</v>
      </c>
      <c r="I10" s="76">
        <v>34</v>
      </c>
      <c r="J10" s="76">
        <v>32</v>
      </c>
      <c r="K10" s="182">
        <v>30</v>
      </c>
      <c r="L10" s="183"/>
      <c r="M10" s="159">
        <v>27</v>
      </c>
      <c r="N10" s="184"/>
      <c r="O10" s="161">
        <v>24</v>
      </c>
      <c r="P10" s="162">
        <v>21</v>
      </c>
      <c r="Q10" s="184"/>
      <c r="R10" s="247">
        <v>18</v>
      </c>
      <c r="S10" s="184"/>
      <c r="T10" s="161">
        <v>15</v>
      </c>
      <c r="U10" s="248">
        <v>12</v>
      </c>
      <c r="V10" s="162">
        <v>9</v>
      </c>
      <c r="W10" s="261"/>
      <c r="X10" s="250">
        <v>6</v>
      </c>
    </row>
    <row r="11" ht="21" customHeight="1" spans="1:24">
      <c r="A11" s="25" t="s">
        <v>892</v>
      </c>
      <c r="B11" s="26"/>
      <c r="C11" s="87">
        <v>60</v>
      </c>
      <c r="D11" s="88">
        <v>58</v>
      </c>
      <c r="E11" s="88">
        <v>56</v>
      </c>
      <c r="F11" s="88">
        <v>54</v>
      </c>
      <c r="G11" s="88">
        <v>52</v>
      </c>
      <c r="H11" s="88">
        <v>50</v>
      </c>
      <c r="I11" s="88">
        <v>48</v>
      </c>
      <c r="J11" s="88">
        <v>45</v>
      </c>
      <c r="K11" s="199">
        <v>42</v>
      </c>
      <c r="L11" s="217"/>
      <c r="M11" s="218">
        <v>39</v>
      </c>
      <c r="N11" s="219"/>
      <c r="O11" s="203">
        <v>36</v>
      </c>
      <c r="P11" s="204">
        <v>32</v>
      </c>
      <c r="Q11" s="219"/>
      <c r="R11" s="272">
        <v>28</v>
      </c>
      <c r="S11" s="219"/>
      <c r="T11" s="203">
        <v>24</v>
      </c>
      <c r="U11" s="273">
        <v>20</v>
      </c>
      <c r="V11" s="204">
        <v>15</v>
      </c>
      <c r="W11" s="295"/>
      <c r="X11" s="275">
        <v>10</v>
      </c>
    </row>
    <row r="12" ht="21" customHeight="1" spans="1:24">
      <c r="A12" s="73" t="s">
        <v>893</v>
      </c>
      <c r="B12" s="74"/>
      <c r="C12" s="75">
        <v>50</v>
      </c>
      <c r="D12" s="76">
        <v>48</v>
      </c>
      <c r="E12" s="76">
        <v>46</v>
      </c>
      <c r="F12" s="76">
        <v>44</v>
      </c>
      <c r="G12" s="76">
        <v>42</v>
      </c>
      <c r="H12" s="76">
        <v>40</v>
      </c>
      <c r="I12" s="76">
        <v>38</v>
      </c>
      <c r="J12" s="76">
        <v>35</v>
      </c>
      <c r="K12" s="182">
        <v>32</v>
      </c>
      <c r="L12" s="196"/>
      <c r="M12" s="197">
        <v>29</v>
      </c>
      <c r="N12" s="198"/>
      <c r="O12" s="161">
        <v>26</v>
      </c>
      <c r="P12" s="162">
        <v>23</v>
      </c>
      <c r="Q12" s="198"/>
      <c r="R12" s="247">
        <v>20</v>
      </c>
      <c r="S12" s="198"/>
      <c r="T12" s="161">
        <v>17</v>
      </c>
      <c r="U12" s="248">
        <v>14</v>
      </c>
      <c r="V12" s="162">
        <v>11</v>
      </c>
      <c r="W12" s="271"/>
      <c r="X12" s="250">
        <v>8</v>
      </c>
    </row>
    <row r="13" ht="21" customHeight="1" spans="1:24">
      <c r="A13" s="94" t="s">
        <v>894</v>
      </c>
      <c r="B13" s="86"/>
      <c r="C13" s="336">
        <v>50</v>
      </c>
      <c r="D13" s="337">
        <v>48</v>
      </c>
      <c r="E13" s="337">
        <v>46</v>
      </c>
      <c r="F13" s="337">
        <v>44</v>
      </c>
      <c r="G13" s="337">
        <v>42</v>
      </c>
      <c r="H13" s="337">
        <v>40</v>
      </c>
      <c r="I13" s="337">
        <v>38</v>
      </c>
      <c r="J13" s="337">
        <v>35</v>
      </c>
      <c r="K13" s="379">
        <v>32</v>
      </c>
      <c r="L13" s="217"/>
      <c r="M13" s="381">
        <v>29</v>
      </c>
      <c r="N13" s="219"/>
      <c r="O13" s="382">
        <v>26</v>
      </c>
      <c r="P13" s="383">
        <v>23</v>
      </c>
      <c r="Q13" s="219"/>
      <c r="R13" s="416">
        <v>20</v>
      </c>
      <c r="S13" s="219"/>
      <c r="T13" s="382">
        <v>17</v>
      </c>
      <c r="U13" s="417">
        <v>14</v>
      </c>
      <c r="V13" s="383">
        <v>11</v>
      </c>
      <c r="W13" s="295"/>
      <c r="X13" s="418">
        <v>8</v>
      </c>
    </row>
    <row r="14" ht="21" customHeight="1" spans="1:24">
      <c r="A14" s="450" t="s">
        <v>895</v>
      </c>
      <c r="B14" s="451"/>
      <c r="C14" s="451"/>
      <c r="D14" s="451"/>
      <c r="E14" s="451"/>
      <c r="F14" s="451"/>
      <c r="G14" s="451"/>
      <c r="H14" s="451"/>
      <c r="I14" s="451"/>
      <c r="J14" s="466"/>
      <c r="K14" s="391" t="s">
        <v>896</v>
      </c>
      <c r="L14" s="391"/>
      <c r="M14" s="391"/>
      <c r="N14" s="391"/>
      <c r="O14" s="391"/>
      <c r="P14" s="391"/>
      <c r="Q14" s="391"/>
      <c r="R14" s="391"/>
      <c r="S14" s="391"/>
      <c r="T14" s="391"/>
      <c r="U14" s="391"/>
      <c r="V14" s="391"/>
      <c r="W14" s="391"/>
      <c r="X14" s="426"/>
    </row>
    <row r="15" ht="21" customHeight="1" spans="1:24">
      <c r="A15" s="452" t="s">
        <v>897</v>
      </c>
      <c r="B15" s="453"/>
      <c r="C15" s="453"/>
      <c r="D15" s="453"/>
      <c r="E15" s="453"/>
      <c r="F15" s="453"/>
      <c r="G15" s="453"/>
      <c r="H15" s="453"/>
      <c r="I15" s="453"/>
      <c r="J15" s="467"/>
      <c r="K15" s="451" t="s">
        <v>898</v>
      </c>
      <c r="L15" s="451"/>
      <c r="M15" s="451"/>
      <c r="N15" s="451"/>
      <c r="O15" s="451"/>
      <c r="P15" s="451"/>
      <c r="Q15" s="451"/>
      <c r="R15" s="451"/>
      <c r="S15" s="451"/>
      <c r="T15" s="451"/>
      <c r="U15" s="451"/>
      <c r="V15" s="451"/>
      <c r="W15" s="451"/>
      <c r="X15" s="466"/>
    </row>
    <row r="16" ht="21" customHeight="1" spans="1:24">
      <c r="A16" s="450" t="s">
        <v>899</v>
      </c>
      <c r="B16" s="451"/>
      <c r="C16" s="451"/>
      <c r="D16" s="451"/>
      <c r="E16" s="451"/>
      <c r="F16" s="451"/>
      <c r="G16" s="451"/>
      <c r="H16" s="451"/>
      <c r="I16" s="451"/>
      <c r="J16" s="466"/>
      <c r="K16" s="453" t="s">
        <v>900</v>
      </c>
      <c r="L16" s="453"/>
      <c r="M16" s="453"/>
      <c r="N16" s="453"/>
      <c r="O16" s="453"/>
      <c r="P16" s="453"/>
      <c r="Q16" s="453"/>
      <c r="R16" s="453"/>
      <c r="S16" s="453"/>
      <c r="T16" s="453"/>
      <c r="U16" s="453"/>
      <c r="V16" s="453"/>
      <c r="W16" s="453"/>
      <c r="X16" s="467"/>
    </row>
    <row r="17" ht="21" customHeight="1" spans="1:24">
      <c r="A17" s="352" t="s">
        <v>901</v>
      </c>
      <c r="B17" s="352"/>
      <c r="C17" s="352"/>
      <c r="D17" s="352"/>
      <c r="E17" s="352"/>
      <c r="F17" s="352"/>
      <c r="G17" s="352"/>
      <c r="H17" s="352"/>
      <c r="I17" s="352"/>
      <c r="J17" s="352"/>
      <c r="K17" s="352"/>
      <c r="L17" s="352"/>
      <c r="M17" s="352"/>
      <c r="N17" s="352"/>
      <c r="O17" s="352"/>
      <c r="P17" s="352"/>
      <c r="Q17" s="352"/>
      <c r="R17" s="352"/>
      <c r="S17" s="352"/>
      <c r="T17" s="352"/>
      <c r="U17" s="352"/>
      <c r="V17" s="352"/>
      <c r="W17" s="352"/>
      <c r="X17" s="352"/>
    </row>
    <row r="18" ht="19.5" spans="1:24">
      <c r="A18" s="105"/>
      <c r="B18" s="106"/>
      <c r="C18" s="106"/>
      <c r="D18" s="106"/>
      <c r="E18" s="106"/>
      <c r="F18" s="106"/>
      <c r="G18" s="106"/>
      <c r="H18" s="106"/>
      <c r="I18" s="106"/>
      <c r="J18" s="106"/>
      <c r="K18" s="106"/>
      <c r="L18" s="106"/>
      <c r="M18" s="106"/>
      <c r="N18" s="106"/>
      <c r="O18" s="106"/>
      <c r="P18" s="106"/>
      <c r="Q18" s="106"/>
      <c r="R18" s="106"/>
      <c r="S18" s="106"/>
      <c r="T18" s="106"/>
      <c r="U18" s="106"/>
      <c r="V18" s="106"/>
      <c r="W18" s="106"/>
      <c r="X18" s="286"/>
    </row>
    <row r="19" ht="44" customHeight="1" spans="1:24">
      <c r="A19" s="14"/>
      <c r="B19" s="15" t="str">
        <f>_xlfn.DISPIMG("ID_54BDF5134B1448F5BA256200369235C1",1)</f>
        <v>=DISPIMG("ID_54BDF5134B1448F5BA256200369235C1",1)</v>
      </c>
      <c r="C19" s="15" t="str">
        <f>_xlfn.DISPIMG("ID_018736DEED2B46A9BEB594F99DC802CE",1)</f>
        <v>=DISPIMG("ID_018736DEED2B46A9BEB594F99DC802CE",1)</v>
      </c>
      <c r="D19" s="15" t="str">
        <f>_xlfn.DISPIMG("ID_1CDFCDBA1A8241D2AFA655E109F1B8CC",1)</f>
        <v>=DISPIMG("ID_1CDFCDBA1A8241D2AFA655E109F1B8CC",1)</v>
      </c>
      <c r="E19" s="15"/>
      <c r="F19" s="16"/>
      <c r="G19" s="433" t="s">
        <v>902</v>
      </c>
      <c r="H19" s="434"/>
      <c r="I19" s="434"/>
      <c r="J19" s="434"/>
      <c r="K19" s="434"/>
      <c r="L19" s="434"/>
      <c r="M19" s="434"/>
      <c r="N19" s="434"/>
      <c r="O19" s="441"/>
      <c r="P19" s="14"/>
      <c r="Q19" s="15"/>
      <c r="R19" s="15"/>
      <c r="S19" s="15"/>
      <c r="T19" s="15" t="str">
        <f>_xlfn.DISPIMG("ID_18FE2BBA24344C76B20F5C18FEBAEFB2",1)</f>
        <v>=DISPIMG("ID_18FE2BBA24344C76B20F5C18FEBAEFB2",1)</v>
      </c>
      <c r="U19" s="15" t="str">
        <f>_xlfn.DISPIMG("ID_EA90B260038A4D9780746A687F9F61AC",1)</f>
        <v>=DISPIMG("ID_EA90B260038A4D9780746A687F9F61AC",1)</v>
      </c>
      <c r="V19" s="15"/>
      <c r="W19" s="15"/>
      <c r="X19" s="16"/>
    </row>
    <row r="20" ht="21" customHeight="1" spans="1:24">
      <c r="A20" s="12" t="s">
        <v>903</v>
      </c>
      <c r="B20" s="13"/>
      <c r="C20" s="13"/>
      <c r="D20" s="13"/>
      <c r="E20" s="13"/>
      <c r="F20" s="13"/>
      <c r="G20" s="13"/>
      <c r="H20" s="13"/>
      <c r="I20" s="13"/>
      <c r="J20" s="13"/>
      <c r="K20" s="13"/>
      <c r="L20" s="13"/>
      <c r="M20" s="13"/>
      <c r="N20" s="13"/>
      <c r="O20" s="13"/>
      <c r="P20" s="13"/>
      <c r="Q20" s="13"/>
      <c r="R20" s="13"/>
      <c r="S20" s="13"/>
      <c r="T20" s="13"/>
      <c r="U20" s="13"/>
      <c r="V20" s="13"/>
      <c r="W20" s="13"/>
      <c r="X20" s="232"/>
    </row>
    <row r="21" ht="21" customHeight="1" spans="1:24">
      <c r="A21" s="21" t="s">
        <v>8</v>
      </c>
      <c r="B21" s="22"/>
      <c r="C21" s="23">
        <v>0</v>
      </c>
      <c r="D21" s="24">
        <v>1</v>
      </c>
      <c r="E21" s="24">
        <v>2</v>
      </c>
      <c r="F21" s="24">
        <v>3</v>
      </c>
      <c r="G21" s="24">
        <v>4</v>
      </c>
      <c r="H21" s="24">
        <v>5</v>
      </c>
      <c r="I21" s="24">
        <v>6</v>
      </c>
      <c r="J21" s="24">
        <v>7</v>
      </c>
      <c r="K21" s="135">
        <v>8</v>
      </c>
      <c r="L21" s="136">
        <v>9</v>
      </c>
      <c r="M21" s="137"/>
      <c r="N21" s="138"/>
      <c r="O21" s="139">
        <v>10</v>
      </c>
      <c r="P21" s="140">
        <v>11</v>
      </c>
      <c r="Q21" s="236">
        <v>12</v>
      </c>
      <c r="R21" s="236"/>
      <c r="S21" s="236"/>
      <c r="T21" s="139">
        <v>13</v>
      </c>
      <c r="U21" s="237">
        <v>14</v>
      </c>
      <c r="V21" s="140">
        <v>15</v>
      </c>
      <c r="W21" s="137">
        <v>16</v>
      </c>
      <c r="X21" s="138"/>
    </row>
    <row r="22" ht="21" customHeight="1" spans="1:24">
      <c r="A22" s="73" t="s">
        <v>904</v>
      </c>
      <c r="B22" s="74"/>
      <c r="C22" s="75">
        <v>50</v>
      </c>
      <c r="D22" s="76">
        <v>60</v>
      </c>
      <c r="E22" s="76">
        <v>70</v>
      </c>
      <c r="F22" s="76">
        <v>80</v>
      </c>
      <c r="G22" s="76">
        <v>100</v>
      </c>
      <c r="H22" s="76">
        <v>120</v>
      </c>
      <c r="I22" s="76">
        <v>140</v>
      </c>
      <c r="J22" s="76">
        <v>170</v>
      </c>
      <c r="K22" s="182">
        <v>200</v>
      </c>
      <c r="L22" s="183"/>
      <c r="M22" s="159">
        <v>230</v>
      </c>
      <c r="N22" s="184"/>
      <c r="O22" s="161">
        <v>270</v>
      </c>
      <c r="P22" s="162">
        <v>310</v>
      </c>
      <c r="Q22" s="184"/>
      <c r="R22" s="247">
        <v>350</v>
      </c>
      <c r="S22" s="184"/>
      <c r="T22" s="161">
        <v>390</v>
      </c>
      <c r="U22" s="248">
        <v>430</v>
      </c>
      <c r="V22" s="162">
        <v>470</v>
      </c>
      <c r="W22" s="261"/>
      <c r="X22" s="250">
        <v>510</v>
      </c>
    </row>
    <row r="23" ht="21" customHeight="1" spans="1:24">
      <c r="A23" s="25" t="s">
        <v>905</v>
      </c>
      <c r="B23" s="26"/>
      <c r="C23" s="87">
        <v>60</v>
      </c>
      <c r="D23" s="88">
        <v>70</v>
      </c>
      <c r="E23" s="88">
        <v>80</v>
      </c>
      <c r="F23" s="454">
        <v>70</v>
      </c>
      <c r="G23" s="88">
        <v>100</v>
      </c>
      <c r="H23" s="88">
        <v>120</v>
      </c>
      <c r="I23" s="88">
        <v>140</v>
      </c>
      <c r="J23" s="88">
        <v>170</v>
      </c>
      <c r="K23" s="199">
        <v>200</v>
      </c>
      <c r="L23" s="200"/>
      <c r="M23" s="201">
        <v>230</v>
      </c>
      <c r="N23" s="202"/>
      <c r="O23" s="203">
        <v>270</v>
      </c>
      <c r="P23" s="204">
        <v>310</v>
      </c>
      <c r="Q23" s="202"/>
      <c r="R23" s="272">
        <v>350</v>
      </c>
      <c r="S23" s="202"/>
      <c r="T23" s="203">
        <v>390</v>
      </c>
      <c r="U23" s="273">
        <v>430</v>
      </c>
      <c r="V23" s="204">
        <v>470</v>
      </c>
      <c r="W23" s="274"/>
      <c r="X23" s="275">
        <v>520</v>
      </c>
    </row>
    <row r="24" ht="21" customHeight="1" spans="1:24">
      <c r="A24" s="73" t="s">
        <v>906</v>
      </c>
      <c r="B24" s="74"/>
      <c r="C24" s="75">
        <v>60</v>
      </c>
      <c r="D24" s="76">
        <v>70</v>
      </c>
      <c r="E24" s="76">
        <v>80</v>
      </c>
      <c r="F24" s="76">
        <v>100</v>
      </c>
      <c r="G24" s="76">
        <v>120</v>
      </c>
      <c r="H24" s="76">
        <v>140</v>
      </c>
      <c r="I24" s="76">
        <v>170</v>
      </c>
      <c r="J24" s="182">
        <v>200</v>
      </c>
      <c r="K24" s="182">
        <v>230</v>
      </c>
      <c r="L24" s="183"/>
      <c r="M24" s="159">
        <v>260</v>
      </c>
      <c r="N24" s="184"/>
      <c r="O24" s="161">
        <v>300</v>
      </c>
      <c r="P24" s="162">
        <v>340</v>
      </c>
      <c r="Q24" s="184"/>
      <c r="R24" s="247">
        <v>380</v>
      </c>
      <c r="S24" s="184"/>
      <c r="T24" s="161">
        <v>420</v>
      </c>
      <c r="U24" s="248">
        <v>460</v>
      </c>
      <c r="V24" s="162">
        <v>500</v>
      </c>
      <c r="W24" s="261"/>
      <c r="X24" s="250">
        <v>540</v>
      </c>
    </row>
    <row r="25" ht="21" customHeight="1" spans="1:24">
      <c r="A25" s="59" t="s">
        <v>907</v>
      </c>
      <c r="B25" s="60"/>
      <c r="C25" s="61">
        <v>0</v>
      </c>
      <c r="D25" s="62">
        <v>1</v>
      </c>
      <c r="E25" s="62">
        <v>2</v>
      </c>
      <c r="F25" s="63">
        <v>3</v>
      </c>
      <c r="G25" s="62">
        <v>4</v>
      </c>
      <c r="H25" s="64">
        <v>5</v>
      </c>
      <c r="I25" s="62">
        <v>6</v>
      </c>
      <c r="J25" s="174">
        <v>7</v>
      </c>
      <c r="K25" s="175">
        <v>8</v>
      </c>
      <c r="L25" s="390" t="s">
        <v>908</v>
      </c>
      <c r="M25" s="391"/>
      <c r="N25" s="391"/>
      <c r="O25" s="391"/>
      <c r="P25" s="391"/>
      <c r="Q25" s="391"/>
      <c r="R25" s="391"/>
      <c r="S25" s="391"/>
      <c r="T25" s="391"/>
      <c r="U25" s="391"/>
      <c r="V25" s="391"/>
      <c r="W25" s="391"/>
      <c r="X25" s="426"/>
    </row>
    <row r="26" ht="21" customHeight="1" spans="1:24">
      <c r="A26" s="25" t="s">
        <v>909</v>
      </c>
      <c r="B26" s="25"/>
      <c r="C26" s="89">
        <v>10</v>
      </c>
      <c r="D26" s="90">
        <v>11</v>
      </c>
      <c r="E26" s="90">
        <v>12</v>
      </c>
      <c r="F26" s="91">
        <v>13</v>
      </c>
      <c r="G26" s="90">
        <v>15</v>
      </c>
      <c r="H26" s="92">
        <v>17</v>
      </c>
      <c r="I26" s="90">
        <v>20</v>
      </c>
      <c r="J26" s="206">
        <v>23</v>
      </c>
      <c r="K26" s="207">
        <v>26</v>
      </c>
      <c r="L26" s="392" t="s">
        <v>910</v>
      </c>
      <c r="M26" s="393"/>
      <c r="N26" s="393"/>
      <c r="O26" s="393"/>
      <c r="P26" s="393"/>
      <c r="Q26" s="393"/>
      <c r="R26" s="393"/>
      <c r="S26" s="393"/>
      <c r="T26" s="393"/>
      <c r="U26" s="393"/>
      <c r="V26" s="393"/>
      <c r="W26" s="393"/>
      <c r="X26" s="427"/>
    </row>
    <row r="27" ht="21" customHeight="1" spans="1:24">
      <c r="A27" s="452" t="s">
        <v>911</v>
      </c>
      <c r="B27" s="453"/>
      <c r="C27" s="453"/>
      <c r="D27" s="453"/>
      <c r="E27" s="453"/>
      <c r="F27" s="453"/>
      <c r="G27" s="453"/>
      <c r="H27" s="453"/>
      <c r="I27" s="453"/>
      <c r="J27" s="453"/>
      <c r="K27" s="453"/>
      <c r="L27" s="453"/>
      <c r="M27" s="453"/>
      <c r="N27" s="453"/>
      <c r="O27" s="453"/>
      <c r="P27" s="453"/>
      <c r="Q27" s="453"/>
      <c r="R27" s="453"/>
      <c r="S27" s="453"/>
      <c r="T27" s="453"/>
      <c r="U27" s="453"/>
      <c r="V27" s="453"/>
      <c r="W27" s="453"/>
      <c r="X27" s="467"/>
    </row>
    <row r="28" ht="21" customHeight="1" spans="1:24">
      <c r="A28" s="455" t="s">
        <v>912</v>
      </c>
      <c r="B28" s="455"/>
      <c r="C28" s="455"/>
      <c r="D28" s="455"/>
      <c r="E28" s="455"/>
      <c r="F28" s="455"/>
      <c r="G28" s="455"/>
      <c r="H28" s="455"/>
      <c r="I28" s="455"/>
      <c r="J28" s="455"/>
      <c r="K28" s="455"/>
      <c r="L28" s="455"/>
      <c r="M28" s="455"/>
      <c r="N28" s="455"/>
      <c r="O28" s="455"/>
      <c r="P28" s="455"/>
      <c r="Q28" s="455"/>
      <c r="R28" s="455"/>
      <c r="S28" s="455"/>
      <c r="T28" s="455"/>
      <c r="U28" s="455"/>
      <c r="V28" s="455"/>
      <c r="W28" s="455"/>
      <c r="X28" s="455"/>
    </row>
    <row r="29" ht="21" spans="1:24">
      <c r="A29" s="21" t="s">
        <v>8</v>
      </c>
      <c r="B29" s="22"/>
      <c r="C29" s="23">
        <v>0</v>
      </c>
      <c r="D29" s="24">
        <v>1</v>
      </c>
      <c r="E29" s="24">
        <v>2</v>
      </c>
      <c r="F29" s="24">
        <v>3</v>
      </c>
      <c r="G29" s="24">
        <v>4</v>
      </c>
      <c r="H29" s="24">
        <v>5</v>
      </c>
      <c r="I29" s="24">
        <v>6</v>
      </c>
      <c r="J29" s="24">
        <v>7</v>
      </c>
      <c r="K29" s="135">
        <v>8</v>
      </c>
      <c r="L29" s="136">
        <v>9</v>
      </c>
      <c r="M29" s="137"/>
      <c r="N29" s="138"/>
      <c r="O29" s="139">
        <v>10</v>
      </c>
      <c r="P29" s="140">
        <v>11</v>
      </c>
      <c r="Q29" s="236">
        <v>12</v>
      </c>
      <c r="R29" s="236"/>
      <c r="S29" s="236"/>
      <c r="T29" s="139">
        <v>13</v>
      </c>
      <c r="U29" s="237">
        <v>14</v>
      </c>
      <c r="V29" s="140">
        <v>15</v>
      </c>
      <c r="W29" s="137">
        <v>16</v>
      </c>
      <c r="X29" s="138"/>
    </row>
    <row r="30" ht="21" customHeight="1" spans="1:24">
      <c r="A30" s="25" t="s">
        <v>913</v>
      </c>
      <c r="B30" s="26"/>
      <c r="C30" s="113">
        <v>210</v>
      </c>
      <c r="D30" s="307">
        <v>270</v>
      </c>
      <c r="E30" s="307">
        <v>330</v>
      </c>
      <c r="F30" s="307">
        <v>360</v>
      </c>
      <c r="G30" s="307">
        <v>450</v>
      </c>
      <c r="H30" s="307">
        <v>540</v>
      </c>
      <c r="I30" s="307">
        <v>630</v>
      </c>
      <c r="J30" s="307">
        <v>750</v>
      </c>
      <c r="K30" s="312">
        <v>870</v>
      </c>
      <c r="L30" s="185"/>
      <c r="M30" s="143">
        <v>990</v>
      </c>
      <c r="N30" s="187"/>
      <c r="O30" s="145">
        <v>1140</v>
      </c>
      <c r="P30" s="146">
        <v>1290</v>
      </c>
      <c r="Q30" s="187"/>
      <c r="R30" s="238">
        <v>1440</v>
      </c>
      <c r="S30" s="187"/>
      <c r="T30" s="145">
        <v>1590</v>
      </c>
      <c r="U30" s="239">
        <v>1740</v>
      </c>
      <c r="V30" s="146">
        <v>1890</v>
      </c>
      <c r="W30" s="264"/>
      <c r="X30" s="470">
        <v>1890</v>
      </c>
    </row>
    <row r="31" ht="21" customHeight="1" spans="1:24">
      <c r="A31" s="456" t="s">
        <v>914</v>
      </c>
      <c r="B31" s="30"/>
      <c r="C31" s="53">
        <v>210</v>
      </c>
      <c r="D31" s="54">
        <v>270</v>
      </c>
      <c r="E31" s="54">
        <v>330</v>
      </c>
      <c r="F31" s="54">
        <v>360</v>
      </c>
      <c r="G31" s="54">
        <v>450</v>
      </c>
      <c r="H31" s="54">
        <v>540</v>
      </c>
      <c r="I31" s="54">
        <v>630</v>
      </c>
      <c r="J31" s="54">
        <v>750</v>
      </c>
      <c r="K31" s="169">
        <v>870</v>
      </c>
      <c r="L31" s="170"/>
      <c r="M31" s="149">
        <v>990</v>
      </c>
      <c r="N31" s="150"/>
      <c r="O31" s="151">
        <v>1140</v>
      </c>
      <c r="P31" s="152">
        <v>1290</v>
      </c>
      <c r="Q31" s="150"/>
      <c r="R31" s="242">
        <v>1440</v>
      </c>
      <c r="S31" s="150"/>
      <c r="T31" s="151">
        <v>1590</v>
      </c>
      <c r="U31" s="243">
        <v>1740</v>
      </c>
      <c r="V31" s="152">
        <v>1890</v>
      </c>
      <c r="W31" s="244"/>
      <c r="X31" s="471">
        <v>210</v>
      </c>
    </row>
    <row r="32" ht="21" customHeight="1" spans="1:24">
      <c r="A32" s="25" t="s">
        <v>915</v>
      </c>
      <c r="B32" s="26"/>
      <c r="C32" s="113">
        <v>150</v>
      </c>
      <c r="D32" s="307">
        <v>180</v>
      </c>
      <c r="E32" s="307">
        <v>210</v>
      </c>
      <c r="F32" s="307">
        <v>240</v>
      </c>
      <c r="G32" s="307">
        <v>270</v>
      </c>
      <c r="H32" s="307">
        <v>300</v>
      </c>
      <c r="I32" s="307">
        <v>350</v>
      </c>
      <c r="J32" s="307">
        <v>400</v>
      </c>
      <c r="K32" s="312">
        <v>450</v>
      </c>
      <c r="L32" s="185"/>
      <c r="M32" s="143">
        <v>500</v>
      </c>
      <c r="N32" s="187"/>
      <c r="O32" s="145">
        <v>580</v>
      </c>
      <c r="P32" s="146">
        <v>650</v>
      </c>
      <c r="Q32" s="187"/>
      <c r="R32" s="238">
        <v>725</v>
      </c>
      <c r="S32" s="187"/>
      <c r="T32" s="145">
        <v>800</v>
      </c>
      <c r="U32" s="239">
        <v>875</v>
      </c>
      <c r="V32" s="146">
        <v>950</v>
      </c>
      <c r="W32" s="264"/>
      <c r="X32" s="241">
        <v>1030</v>
      </c>
    </row>
    <row r="33" ht="21" customHeight="1" spans="1:24">
      <c r="A33" s="59" t="s">
        <v>288</v>
      </c>
      <c r="B33" s="60"/>
      <c r="C33" s="61">
        <v>0</v>
      </c>
      <c r="D33" s="62">
        <v>1</v>
      </c>
      <c r="E33" s="62">
        <v>2</v>
      </c>
      <c r="F33" s="63">
        <v>3</v>
      </c>
      <c r="G33" s="62">
        <v>4</v>
      </c>
      <c r="H33" s="64">
        <v>5</v>
      </c>
      <c r="I33" s="62">
        <v>6</v>
      </c>
      <c r="J33" s="174">
        <v>7</v>
      </c>
      <c r="K33" s="175">
        <v>8</v>
      </c>
      <c r="L33" s="390" t="s">
        <v>916</v>
      </c>
      <c r="M33" s="391"/>
      <c r="N33" s="391"/>
      <c r="O33" s="391"/>
      <c r="P33" s="391"/>
      <c r="Q33" s="391"/>
      <c r="R33" s="391"/>
      <c r="S33" s="391"/>
      <c r="T33" s="391"/>
      <c r="U33" s="391"/>
      <c r="V33" s="391"/>
      <c r="W33" s="391"/>
      <c r="X33" s="426"/>
    </row>
    <row r="34" ht="21" spans="1:24">
      <c r="A34" s="122" t="s">
        <v>913</v>
      </c>
      <c r="B34" s="122"/>
      <c r="C34" s="41">
        <v>60</v>
      </c>
      <c r="D34" s="42">
        <v>58</v>
      </c>
      <c r="E34" s="42">
        <v>56</v>
      </c>
      <c r="F34" s="43">
        <v>54</v>
      </c>
      <c r="G34" s="42">
        <v>51</v>
      </c>
      <c r="H34" s="44">
        <v>48</v>
      </c>
      <c r="I34" s="42">
        <v>45</v>
      </c>
      <c r="J34" s="163">
        <v>41</v>
      </c>
      <c r="K34" s="164">
        <v>37</v>
      </c>
      <c r="L34" s="376" t="s">
        <v>917</v>
      </c>
      <c r="M34" s="377"/>
      <c r="N34" s="377"/>
      <c r="O34" s="377"/>
      <c r="P34" s="377"/>
      <c r="Q34" s="377"/>
      <c r="R34" s="377"/>
      <c r="S34" s="377"/>
      <c r="T34" s="377"/>
      <c r="U34" s="377"/>
      <c r="V34" s="377"/>
      <c r="W34" s="377"/>
      <c r="X34" s="415"/>
    </row>
    <row r="35" ht="21" customHeight="1" spans="1:24">
      <c r="A35" s="457" t="s">
        <v>918</v>
      </c>
      <c r="B35" s="458"/>
      <c r="C35" s="458"/>
      <c r="D35" s="458"/>
      <c r="E35" s="458"/>
      <c r="F35" s="458"/>
      <c r="G35" s="458"/>
      <c r="H35" s="458"/>
      <c r="I35" s="458"/>
      <c r="J35" s="458"/>
      <c r="K35" s="458"/>
      <c r="L35" s="458"/>
      <c r="M35" s="458"/>
      <c r="N35" s="458"/>
      <c r="O35" s="458"/>
      <c r="P35" s="458"/>
      <c r="Q35" s="458"/>
      <c r="R35" s="458"/>
      <c r="S35" s="458"/>
      <c r="T35" s="458"/>
      <c r="U35" s="458"/>
      <c r="V35" s="458"/>
      <c r="W35" s="458"/>
      <c r="X35" s="472"/>
    </row>
    <row r="36" ht="19.5" spans="1:24">
      <c r="A36" s="105"/>
      <c r="B36" s="106"/>
      <c r="C36" s="106"/>
      <c r="D36" s="106"/>
      <c r="E36" s="106"/>
      <c r="F36" s="106"/>
      <c r="G36" s="106"/>
      <c r="H36" s="106"/>
      <c r="I36" s="106"/>
      <c r="J36" s="106"/>
      <c r="K36" s="106"/>
      <c r="L36" s="106"/>
      <c r="M36" s="106"/>
      <c r="N36" s="106"/>
      <c r="O36" s="106"/>
      <c r="P36" s="106"/>
      <c r="Q36" s="106"/>
      <c r="R36" s="106"/>
      <c r="S36" s="106"/>
      <c r="T36" s="106"/>
      <c r="U36" s="106"/>
      <c r="V36" s="106"/>
      <c r="W36" s="106"/>
      <c r="X36" s="286"/>
    </row>
    <row r="37" ht="44" customHeight="1" spans="1:24">
      <c r="A37" s="14"/>
      <c r="B37" s="15"/>
      <c r="C37" s="15" t="str">
        <f>_xlfn.DISPIMG("ID_0EB5F14A9BD9496C9801A93CD267A672",1)</f>
        <v>=DISPIMG("ID_0EB5F14A9BD9496C9801A93CD267A672",1)</v>
      </c>
      <c r="D37" s="15" t="str">
        <f>_xlfn.DISPIMG("ID_7254D72746EF4518970ABF112104494A",1)</f>
        <v>=DISPIMG("ID_7254D72746EF4518970ABF112104494A",1)</v>
      </c>
      <c r="E37" s="15"/>
      <c r="F37" s="16"/>
      <c r="G37" s="345" t="s">
        <v>919</v>
      </c>
      <c r="H37" s="346"/>
      <c r="I37" s="346"/>
      <c r="J37" s="346"/>
      <c r="K37" s="346"/>
      <c r="L37" s="346"/>
      <c r="M37" s="346"/>
      <c r="N37" s="346"/>
      <c r="O37" s="388"/>
      <c r="P37" s="134"/>
      <c r="Q37" s="233"/>
      <c r="R37" s="233"/>
      <c r="S37" s="233"/>
      <c r="T37" s="233"/>
      <c r="U37" s="233"/>
      <c r="V37" s="233"/>
      <c r="W37" s="233"/>
      <c r="X37" s="234"/>
    </row>
    <row r="38" ht="21" customHeight="1" spans="1:24">
      <c r="A38" s="12" t="s">
        <v>920</v>
      </c>
      <c r="B38" s="13"/>
      <c r="C38" s="13"/>
      <c r="D38" s="13"/>
      <c r="E38" s="13"/>
      <c r="F38" s="13"/>
      <c r="G38" s="13"/>
      <c r="H38" s="13"/>
      <c r="I38" s="13"/>
      <c r="J38" s="13"/>
      <c r="K38" s="13"/>
      <c r="L38" s="13"/>
      <c r="M38" s="13"/>
      <c r="N38" s="13"/>
      <c r="O38" s="13"/>
      <c r="P38" s="13"/>
      <c r="Q38" s="13"/>
      <c r="R38" s="13"/>
      <c r="S38" s="13"/>
      <c r="T38" s="13"/>
      <c r="U38" s="13"/>
      <c r="V38" s="13"/>
      <c r="W38" s="13"/>
      <c r="X38" s="232"/>
    </row>
    <row r="39" ht="21" customHeight="1" spans="1:24">
      <c r="A39" s="21" t="s">
        <v>288</v>
      </c>
      <c r="B39" s="22"/>
      <c r="C39" s="23">
        <v>0</v>
      </c>
      <c r="D39" s="24">
        <v>1</v>
      </c>
      <c r="E39" s="24">
        <v>2</v>
      </c>
      <c r="F39" s="24">
        <v>3</v>
      </c>
      <c r="G39" s="24">
        <v>4</v>
      </c>
      <c r="H39" s="24">
        <v>5</v>
      </c>
      <c r="I39" s="24">
        <v>6</v>
      </c>
      <c r="J39" s="24">
        <v>7</v>
      </c>
      <c r="K39" s="135">
        <v>8</v>
      </c>
      <c r="L39" s="136">
        <v>9</v>
      </c>
      <c r="M39" s="137"/>
      <c r="N39" s="138"/>
      <c r="O39" s="139">
        <v>10</v>
      </c>
      <c r="P39" s="140">
        <v>11</v>
      </c>
      <c r="Q39" s="236">
        <v>12</v>
      </c>
      <c r="R39" s="236"/>
      <c r="S39" s="236"/>
      <c r="T39" s="139">
        <v>13</v>
      </c>
      <c r="U39" s="237">
        <v>14</v>
      </c>
      <c r="V39" s="140">
        <v>15</v>
      </c>
      <c r="W39" s="137">
        <v>16</v>
      </c>
      <c r="X39" s="138"/>
    </row>
    <row r="40" ht="21" customHeight="1" spans="1:24">
      <c r="A40" s="73" t="s">
        <v>921</v>
      </c>
      <c r="B40" s="74"/>
      <c r="C40" s="75">
        <v>30</v>
      </c>
      <c r="D40" s="76">
        <v>29</v>
      </c>
      <c r="E40" s="76">
        <v>28</v>
      </c>
      <c r="F40" s="76">
        <v>27</v>
      </c>
      <c r="G40" s="76">
        <v>26</v>
      </c>
      <c r="H40" s="76">
        <v>25</v>
      </c>
      <c r="I40" s="76">
        <v>24</v>
      </c>
      <c r="J40" s="76">
        <v>23</v>
      </c>
      <c r="K40" s="182">
        <v>22</v>
      </c>
      <c r="L40" s="183"/>
      <c r="M40" s="159">
        <v>20</v>
      </c>
      <c r="N40" s="184"/>
      <c r="O40" s="161">
        <v>18</v>
      </c>
      <c r="P40" s="162">
        <v>16</v>
      </c>
      <c r="Q40" s="184"/>
      <c r="R40" s="247">
        <v>14</v>
      </c>
      <c r="S40" s="184"/>
      <c r="T40" s="161">
        <v>12</v>
      </c>
      <c r="U40" s="248">
        <v>10</v>
      </c>
      <c r="V40" s="162">
        <v>8</v>
      </c>
      <c r="W40" s="261"/>
      <c r="X40" s="250">
        <v>7</v>
      </c>
    </row>
    <row r="41" ht="21" customHeight="1" spans="1:24">
      <c r="A41" s="94" t="s">
        <v>922</v>
      </c>
      <c r="B41" s="86"/>
      <c r="C41" s="27">
        <v>60</v>
      </c>
      <c r="D41" s="28">
        <v>59</v>
      </c>
      <c r="E41" s="28">
        <v>58</v>
      </c>
      <c r="F41" s="28">
        <v>57</v>
      </c>
      <c r="G41" s="28">
        <v>56</v>
      </c>
      <c r="H41" s="28">
        <v>55</v>
      </c>
      <c r="I41" s="28">
        <v>54</v>
      </c>
      <c r="J41" s="28">
        <v>53</v>
      </c>
      <c r="K41" s="141">
        <v>52</v>
      </c>
      <c r="L41" s="154"/>
      <c r="M41" s="468">
        <v>50</v>
      </c>
      <c r="N41" s="156"/>
      <c r="O41" s="188">
        <v>48</v>
      </c>
      <c r="P41" s="189">
        <v>46</v>
      </c>
      <c r="Q41" s="156"/>
      <c r="R41" s="262">
        <v>43</v>
      </c>
      <c r="S41" s="156"/>
      <c r="T41" s="188">
        <v>40</v>
      </c>
      <c r="U41" s="263">
        <v>37</v>
      </c>
      <c r="V41" s="189">
        <v>34</v>
      </c>
      <c r="W41" s="246"/>
      <c r="X41" s="265">
        <v>30</v>
      </c>
    </row>
    <row r="42" ht="21" customHeight="1" spans="1:24">
      <c r="A42" s="394" t="s">
        <v>923</v>
      </c>
      <c r="B42" s="395"/>
      <c r="C42" s="395"/>
      <c r="D42" s="395"/>
      <c r="E42" s="395"/>
      <c r="F42" s="395"/>
      <c r="G42" s="395"/>
      <c r="H42" s="395"/>
      <c r="I42" s="395"/>
      <c r="J42" s="395"/>
      <c r="K42" s="395"/>
      <c r="L42" s="395"/>
      <c r="M42" s="395"/>
      <c r="N42" s="395"/>
      <c r="O42" s="395"/>
      <c r="P42" s="395"/>
      <c r="Q42" s="395"/>
      <c r="R42" s="395"/>
      <c r="S42" s="395"/>
      <c r="T42" s="395"/>
      <c r="U42" s="395"/>
      <c r="V42" s="395"/>
      <c r="W42" s="395"/>
      <c r="X42" s="428"/>
    </row>
    <row r="43" ht="21" customHeight="1" spans="1:24">
      <c r="A43" s="105"/>
      <c r="B43" s="106"/>
      <c r="C43" s="106"/>
      <c r="D43" s="106"/>
      <c r="E43" s="106"/>
      <c r="F43" s="106"/>
      <c r="G43" s="106"/>
      <c r="H43" s="106"/>
      <c r="I43" s="106"/>
      <c r="J43" s="106"/>
      <c r="K43" s="106"/>
      <c r="L43" s="106"/>
      <c r="M43" s="106"/>
      <c r="N43" s="106"/>
      <c r="O43" s="106"/>
      <c r="P43" s="106"/>
      <c r="Q43" s="106"/>
      <c r="R43" s="106"/>
      <c r="S43" s="106"/>
      <c r="T43" s="106"/>
      <c r="U43" s="106"/>
      <c r="V43" s="106"/>
      <c r="W43" s="106"/>
      <c r="X43" s="286"/>
    </row>
    <row r="44" ht="44" customHeight="1" spans="1:24">
      <c r="A44" s="353" t="str">
        <f>_xlfn.DISPIMG("ID_BD4F342D684241EE9B1E162888BD57C5",1)</f>
        <v>=DISPIMG("ID_BD4F342D684241EE9B1E162888BD57C5",1)</v>
      </c>
      <c r="B44" s="354"/>
      <c r="C44" s="354"/>
      <c r="D44" s="354"/>
      <c r="E44" s="354"/>
      <c r="F44" s="355"/>
      <c r="G44" s="459" t="s">
        <v>924</v>
      </c>
      <c r="H44" s="460"/>
      <c r="I44" s="460"/>
      <c r="J44" s="460"/>
      <c r="K44" s="460"/>
      <c r="L44" s="460"/>
      <c r="M44" s="460"/>
      <c r="N44" s="460"/>
      <c r="O44" s="469"/>
      <c r="P44" s="353"/>
      <c r="Q44" s="354"/>
      <c r="R44" s="354"/>
      <c r="S44" s="15"/>
      <c r="T44" s="15" t="str">
        <f>_xlfn.DISPIMG("ID_0803C8FF46EF4B8290D4A8AD1FE85115",1)</f>
        <v>=DISPIMG("ID_0803C8FF46EF4B8290D4A8AD1FE85115",1)</v>
      </c>
      <c r="U44" s="15" t="str">
        <f>_xlfn.DISPIMG("ID_AB38C4507D604175A9AE7A87A7593E21",1)</f>
        <v>=DISPIMG("ID_AB38C4507D604175A9AE7A87A7593E21",1)</v>
      </c>
      <c r="V44" s="15"/>
      <c r="W44" s="15"/>
      <c r="X44" s="16"/>
    </row>
    <row r="45" ht="21" customHeight="1" spans="1:24">
      <c r="A45" s="12" t="s">
        <v>925</v>
      </c>
      <c r="B45" s="13"/>
      <c r="C45" s="13"/>
      <c r="D45" s="13"/>
      <c r="E45" s="13"/>
      <c r="F45" s="13"/>
      <c r="G45" s="13"/>
      <c r="H45" s="13"/>
      <c r="I45" s="13"/>
      <c r="J45" s="13"/>
      <c r="K45" s="13"/>
      <c r="L45" s="13"/>
      <c r="M45" s="13"/>
      <c r="N45" s="13"/>
      <c r="O45" s="13"/>
      <c r="P45" s="13"/>
      <c r="Q45" s="13"/>
      <c r="R45" s="13"/>
      <c r="S45" s="13"/>
      <c r="T45" s="13"/>
      <c r="U45" s="13"/>
      <c r="V45" s="13"/>
      <c r="W45" s="13"/>
      <c r="X45" s="232"/>
    </row>
    <row r="46" ht="21" customHeight="1" spans="1:24">
      <c r="A46" s="21" t="s">
        <v>288</v>
      </c>
      <c r="B46" s="22"/>
      <c r="C46" s="23">
        <v>0</v>
      </c>
      <c r="D46" s="24">
        <v>1</v>
      </c>
      <c r="E46" s="24">
        <v>2</v>
      </c>
      <c r="F46" s="24">
        <v>3</v>
      </c>
      <c r="G46" s="24">
        <v>4</v>
      </c>
      <c r="H46" s="24">
        <v>5</v>
      </c>
      <c r="I46" s="24">
        <v>6</v>
      </c>
      <c r="J46" s="24">
        <v>7</v>
      </c>
      <c r="K46" s="135">
        <v>8</v>
      </c>
      <c r="L46" s="136">
        <v>9</v>
      </c>
      <c r="M46" s="137"/>
      <c r="N46" s="138"/>
      <c r="O46" s="139">
        <v>10</v>
      </c>
      <c r="P46" s="140">
        <v>11</v>
      </c>
      <c r="Q46" s="236">
        <v>12</v>
      </c>
      <c r="R46" s="236"/>
      <c r="S46" s="236"/>
      <c r="T46" s="139">
        <v>13</v>
      </c>
      <c r="U46" s="237">
        <v>14</v>
      </c>
      <c r="V46" s="140">
        <v>15</v>
      </c>
      <c r="W46" s="137">
        <v>16</v>
      </c>
      <c r="X46" s="138"/>
    </row>
    <row r="47" ht="21" customHeight="1" spans="1:24">
      <c r="A47" s="25" t="s">
        <v>926</v>
      </c>
      <c r="B47" s="26"/>
      <c r="C47" s="113">
        <v>50</v>
      </c>
      <c r="D47" s="307">
        <v>48</v>
      </c>
      <c r="E47" s="307">
        <v>46</v>
      </c>
      <c r="F47" s="307">
        <v>44</v>
      </c>
      <c r="G47" s="307">
        <v>42</v>
      </c>
      <c r="H47" s="307">
        <v>40</v>
      </c>
      <c r="I47" s="307">
        <v>38</v>
      </c>
      <c r="J47" s="307">
        <v>35</v>
      </c>
      <c r="K47" s="312">
        <v>32</v>
      </c>
      <c r="L47" s="154"/>
      <c r="M47" s="155">
        <v>29</v>
      </c>
      <c r="N47" s="156"/>
      <c r="O47" s="145">
        <v>26</v>
      </c>
      <c r="P47" s="146">
        <v>23</v>
      </c>
      <c r="Q47" s="156"/>
      <c r="R47" s="238">
        <v>20</v>
      </c>
      <c r="S47" s="156"/>
      <c r="T47" s="145">
        <v>17</v>
      </c>
      <c r="U47" s="239">
        <v>14</v>
      </c>
      <c r="V47" s="146">
        <v>11</v>
      </c>
      <c r="W47" s="246"/>
      <c r="X47" s="241">
        <v>7</v>
      </c>
    </row>
    <row r="48" ht="21" customHeight="1" spans="1:24">
      <c r="A48" s="73" t="s">
        <v>927</v>
      </c>
      <c r="B48" s="74"/>
      <c r="C48" s="75">
        <v>50</v>
      </c>
      <c r="D48" s="76">
        <v>48</v>
      </c>
      <c r="E48" s="76">
        <v>46</v>
      </c>
      <c r="F48" s="76">
        <v>44</v>
      </c>
      <c r="G48" s="76">
        <v>42</v>
      </c>
      <c r="H48" s="76">
        <v>40</v>
      </c>
      <c r="I48" s="76">
        <v>38</v>
      </c>
      <c r="J48" s="76">
        <v>35</v>
      </c>
      <c r="K48" s="182">
        <v>32</v>
      </c>
      <c r="L48" s="183"/>
      <c r="M48" s="159">
        <v>29</v>
      </c>
      <c r="N48" s="184"/>
      <c r="O48" s="161">
        <v>26</v>
      </c>
      <c r="P48" s="162">
        <v>23</v>
      </c>
      <c r="Q48" s="184"/>
      <c r="R48" s="247">
        <v>20</v>
      </c>
      <c r="S48" s="184"/>
      <c r="T48" s="161">
        <v>17</v>
      </c>
      <c r="U48" s="248">
        <v>14</v>
      </c>
      <c r="V48" s="162">
        <v>11</v>
      </c>
      <c r="W48" s="261"/>
      <c r="X48" s="250">
        <v>7</v>
      </c>
    </row>
    <row r="49" ht="21" customHeight="1" spans="1:24">
      <c r="A49" s="25" t="s">
        <v>928</v>
      </c>
      <c r="B49" s="26"/>
      <c r="C49" s="113">
        <v>50</v>
      </c>
      <c r="D49" s="307">
        <v>48</v>
      </c>
      <c r="E49" s="307">
        <v>46</v>
      </c>
      <c r="F49" s="307">
        <v>44</v>
      </c>
      <c r="G49" s="307">
        <v>42</v>
      </c>
      <c r="H49" s="307">
        <v>40</v>
      </c>
      <c r="I49" s="307">
        <v>38</v>
      </c>
      <c r="J49" s="307">
        <v>35</v>
      </c>
      <c r="K49" s="312">
        <v>32</v>
      </c>
      <c r="L49" s="185"/>
      <c r="M49" s="143">
        <v>29</v>
      </c>
      <c r="N49" s="187"/>
      <c r="O49" s="145">
        <v>26</v>
      </c>
      <c r="P49" s="146">
        <v>23</v>
      </c>
      <c r="Q49" s="187"/>
      <c r="R49" s="238">
        <v>20</v>
      </c>
      <c r="S49" s="187"/>
      <c r="T49" s="145">
        <v>17</v>
      </c>
      <c r="U49" s="239">
        <v>14</v>
      </c>
      <c r="V49" s="146">
        <v>11</v>
      </c>
      <c r="W49" s="264"/>
      <c r="X49" s="241">
        <v>7</v>
      </c>
    </row>
    <row r="50" ht="21" customHeight="1" spans="1:24">
      <c r="A50" s="65" t="s">
        <v>18</v>
      </c>
      <c r="B50" s="65"/>
      <c r="C50" s="66">
        <v>15</v>
      </c>
      <c r="D50" s="67">
        <v>14.5</v>
      </c>
      <c r="E50" s="67">
        <v>14</v>
      </c>
      <c r="F50" s="93">
        <v>13.5</v>
      </c>
      <c r="G50" s="67">
        <v>13</v>
      </c>
      <c r="H50" s="69">
        <v>12</v>
      </c>
      <c r="I50" s="67">
        <v>11</v>
      </c>
      <c r="J50" s="178">
        <v>10</v>
      </c>
      <c r="K50" s="378">
        <v>8</v>
      </c>
      <c r="L50" s="392" t="s">
        <v>929</v>
      </c>
      <c r="M50" s="393"/>
      <c r="N50" s="393"/>
      <c r="O50" s="393"/>
      <c r="P50" s="393"/>
      <c r="Q50" s="393"/>
      <c r="R50" s="393"/>
      <c r="S50" s="393"/>
      <c r="T50" s="393"/>
      <c r="U50" s="393"/>
      <c r="V50" s="393"/>
      <c r="W50" s="393"/>
      <c r="X50" s="427"/>
    </row>
    <row r="51" ht="21" customHeight="1" spans="1:24">
      <c r="A51" s="394" t="s">
        <v>930</v>
      </c>
      <c r="B51" s="395"/>
      <c r="C51" s="395"/>
      <c r="D51" s="395"/>
      <c r="E51" s="395"/>
      <c r="F51" s="395"/>
      <c r="G51" s="395"/>
      <c r="H51" s="395"/>
      <c r="I51" s="395"/>
      <c r="J51" s="395"/>
      <c r="K51" s="395"/>
      <c r="L51" s="395"/>
      <c r="M51" s="395"/>
      <c r="N51" s="395"/>
      <c r="O51" s="395"/>
      <c r="P51" s="395"/>
      <c r="Q51" s="395"/>
      <c r="R51" s="395"/>
      <c r="S51" s="395"/>
      <c r="T51" s="395"/>
      <c r="U51" s="395"/>
      <c r="V51" s="395"/>
      <c r="W51" s="395"/>
      <c r="X51" s="428"/>
    </row>
    <row r="52" ht="21" customHeight="1" spans="1:24">
      <c r="A52" s="461" t="s">
        <v>931</v>
      </c>
      <c r="B52" s="462"/>
      <c r="C52" s="462"/>
      <c r="D52" s="462"/>
      <c r="E52" s="462"/>
      <c r="F52" s="462"/>
      <c r="G52" s="462"/>
      <c r="H52" s="462"/>
      <c r="I52" s="462"/>
      <c r="J52" s="462"/>
      <c r="K52" s="462"/>
      <c r="L52" s="462"/>
      <c r="M52" s="462"/>
      <c r="N52" s="462"/>
      <c r="O52" s="462"/>
      <c r="P52" s="462"/>
      <c r="Q52" s="462"/>
      <c r="R52" s="462"/>
      <c r="S52" s="462"/>
      <c r="T52" s="462"/>
      <c r="U52" s="462"/>
      <c r="V52" s="462"/>
      <c r="W52" s="462"/>
      <c r="X52" s="473"/>
    </row>
    <row r="53" ht="21" customHeight="1" spans="1:24">
      <c r="A53" s="463" t="s">
        <v>932</v>
      </c>
      <c r="B53" s="464"/>
      <c r="C53" s="464"/>
      <c r="D53" s="464"/>
      <c r="E53" s="464"/>
      <c r="F53" s="464"/>
      <c r="G53" s="464"/>
      <c r="H53" s="464"/>
      <c r="I53" s="464"/>
      <c r="J53" s="464"/>
      <c r="K53" s="464"/>
      <c r="L53" s="464"/>
      <c r="M53" s="464"/>
      <c r="N53" s="464"/>
      <c r="O53" s="464"/>
      <c r="P53" s="464"/>
      <c r="Q53" s="464"/>
      <c r="R53" s="464"/>
      <c r="S53" s="464"/>
      <c r="T53" s="464"/>
      <c r="U53" s="464"/>
      <c r="V53" s="464"/>
      <c r="W53" s="464"/>
      <c r="X53" s="474"/>
    </row>
    <row r="54" ht="21" customHeight="1" spans="1:24">
      <c r="A54" s="463" t="s">
        <v>933</v>
      </c>
      <c r="B54" s="464"/>
      <c r="C54" s="464"/>
      <c r="D54" s="464"/>
      <c r="E54" s="464"/>
      <c r="F54" s="464"/>
      <c r="G54" s="464"/>
      <c r="H54" s="464"/>
      <c r="I54" s="464"/>
      <c r="J54" s="464"/>
      <c r="K54" s="464"/>
      <c r="L54" s="464"/>
      <c r="M54" s="464"/>
      <c r="N54" s="464"/>
      <c r="O54" s="464"/>
      <c r="P54" s="464"/>
      <c r="Q54" s="464"/>
      <c r="R54" s="464"/>
      <c r="S54" s="464"/>
      <c r="T54" s="464"/>
      <c r="U54" s="464"/>
      <c r="V54" s="464"/>
      <c r="W54" s="464"/>
      <c r="X54" s="474"/>
    </row>
    <row r="55" ht="21" customHeight="1" spans="1:24">
      <c r="A55" s="465" t="s">
        <v>934</v>
      </c>
      <c r="B55" s="465"/>
      <c r="C55" s="465"/>
      <c r="D55" s="465"/>
      <c r="E55" s="465"/>
      <c r="F55" s="465"/>
      <c r="G55" s="465"/>
      <c r="H55" s="465"/>
      <c r="I55" s="465"/>
      <c r="J55" s="465"/>
      <c r="K55" s="465"/>
      <c r="L55" s="465"/>
      <c r="M55" s="465"/>
      <c r="N55" s="465"/>
      <c r="O55" s="465"/>
      <c r="P55" s="465"/>
      <c r="Q55" s="465"/>
      <c r="R55" s="465"/>
      <c r="S55" s="465"/>
      <c r="T55" s="465"/>
      <c r="U55" s="465"/>
      <c r="V55" s="465"/>
      <c r="W55" s="465"/>
      <c r="X55" s="465"/>
    </row>
    <row r="56" ht="21" customHeight="1"/>
    <row r="57" ht="44" customHeight="1"/>
    <row r="58" ht="21" customHeight="1"/>
    <row r="61" s="1" customFormat="1" ht="21" customHeight="1"/>
    <row r="62" s="1" customFormat="1" ht="21" customHeight="1"/>
  </sheetData>
  <sheetProtection formatCells="0" insertHyperlinks="0" autoFilter="0"/>
  <mergeCells count="86">
    <mergeCell ref="A1:C1"/>
    <mergeCell ref="D1:T1"/>
    <mergeCell ref="U1:X1"/>
    <mergeCell ref="B2:D2"/>
    <mergeCell ref="F2:H2"/>
    <mergeCell ref="J2:V2"/>
    <mergeCell ref="W2:X2"/>
    <mergeCell ref="A3:X3"/>
    <mergeCell ref="A4:X4"/>
    <mergeCell ref="G5:O5"/>
    <mergeCell ref="A6:X6"/>
    <mergeCell ref="A7:B7"/>
    <mergeCell ref="L7:N7"/>
    <mergeCell ref="Q7:S7"/>
    <mergeCell ref="W7:X7"/>
    <mergeCell ref="A8:B8"/>
    <mergeCell ref="A9:B9"/>
    <mergeCell ref="A10:B10"/>
    <mergeCell ref="A11:B11"/>
    <mergeCell ref="A12:B12"/>
    <mergeCell ref="A13:B13"/>
    <mergeCell ref="A14:J14"/>
    <mergeCell ref="K14:X14"/>
    <mergeCell ref="A15:J15"/>
    <mergeCell ref="K15:X15"/>
    <mergeCell ref="A16:J16"/>
    <mergeCell ref="K16:X16"/>
    <mergeCell ref="A17:X17"/>
    <mergeCell ref="A18:X18"/>
    <mergeCell ref="G19:O19"/>
    <mergeCell ref="A20:X20"/>
    <mergeCell ref="A21:B21"/>
    <mergeCell ref="L21:N21"/>
    <mergeCell ref="Q21:S21"/>
    <mergeCell ref="W21:X21"/>
    <mergeCell ref="A22:B22"/>
    <mergeCell ref="A23:B23"/>
    <mergeCell ref="A24:B24"/>
    <mergeCell ref="A25:B25"/>
    <mergeCell ref="L25:X25"/>
    <mergeCell ref="A26:B26"/>
    <mergeCell ref="L26:X26"/>
    <mergeCell ref="A27:X27"/>
    <mergeCell ref="A28:X28"/>
    <mergeCell ref="A29:B29"/>
    <mergeCell ref="L29:N29"/>
    <mergeCell ref="Q29:S29"/>
    <mergeCell ref="W29:X29"/>
    <mergeCell ref="A30:B30"/>
    <mergeCell ref="A31:B31"/>
    <mergeCell ref="A32:B32"/>
    <mergeCell ref="A33:B33"/>
    <mergeCell ref="L33:X33"/>
    <mergeCell ref="A34:B34"/>
    <mergeCell ref="L34:X34"/>
    <mergeCell ref="A35:X35"/>
    <mergeCell ref="A36:X36"/>
    <mergeCell ref="G37:O37"/>
    <mergeCell ref="P37:X37"/>
    <mergeCell ref="A38:X38"/>
    <mergeCell ref="A39:B39"/>
    <mergeCell ref="L39:N39"/>
    <mergeCell ref="Q39:S39"/>
    <mergeCell ref="W39:X39"/>
    <mergeCell ref="A40:B40"/>
    <mergeCell ref="A41:B41"/>
    <mergeCell ref="A42:X42"/>
    <mergeCell ref="A43:X43"/>
    <mergeCell ref="A44:F44"/>
    <mergeCell ref="G44:O44"/>
    <mergeCell ref="P44:R44"/>
    <mergeCell ref="A45:X45"/>
    <mergeCell ref="A46:B46"/>
    <mergeCell ref="L46:N46"/>
    <mergeCell ref="Q46:S46"/>
    <mergeCell ref="W46:X46"/>
    <mergeCell ref="A47:B47"/>
    <mergeCell ref="A48:B48"/>
    <mergeCell ref="A49:B49"/>
    <mergeCell ref="A50:B50"/>
    <mergeCell ref="L50:X50"/>
    <mergeCell ref="A51:X51"/>
    <mergeCell ref="A52:X52"/>
    <mergeCell ref="A53:X53"/>
    <mergeCell ref="A54:X54"/>
    <mergeCell ref="A55:X55"/>
  </mergeCells>
  <pageMargins left="0.75" right="0.75" top="1" bottom="1" header="0.5" footer="0.5"/>
  <headerFooter/>
  <picture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84"/>
  <sheetViews>
    <sheetView topLeftCell="A13" workbookViewId="0">
      <selection activeCell="O26" sqref="O26"/>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13</v>
      </c>
      <c r="B1" s="2"/>
      <c r="C1" s="2"/>
      <c r="D1" s="3" t="s">
        <v>935</v>
      </c>
      <c r="E1" s="4"/>
      <c r="F1" s="4"/>
      <c r="G1" s="2"/>
      <c r="H1" s="2"/>
      <c r="I1" s="4"/>
      <c r="J1" s="4"/>
      <c r="K1" s="2"/>
      <c r="L1" s="2"/>
      <c r="M1" s="2"/>
      <c r="N1" s="2"/>
      <c r="O1" s="2"/>
      <c r="P1" s="2"/>
      <c r="Q1" s="2"/>
      <c r="R1" s="2"/>
      <c r="S1" s="2"/>
      <c r="T1" s="2"/>
      <c r="U1" s="2">
        <v>13</v>
      </c>
      <c r="V1" s="2"/>
      <c r="W1" s="2"/>
      <c r="X1" s="2"/>
    </row>
    <row r="2" ht="21" customHeight="1" spans="1:24">
      <c r="A2" s="5"/>
      <c r="B2" s="6" t="s">
        <v>1</v>
      </c>
      <c r="C2" s="7"/>
      <c r="D2" s="8"/>
      <c r="E2" s="9"/>
      <c r="F2" s="6" t="s">
        <v>33</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14"/>
      <c r="B5" s="15" t="str">
        <f>_xlfn.DISPIMG("ID_12929B1506444B86B383FFFBB60C0904",1)</f>
        <v>=DISPIMG("ID_12929B1506444B86B383FFFBB60C0904",1)</v>
      </c>
      <c r="C5" s="15" t="str">
        <f>_xlfn.DISPIMG("ID_08769320AA724096B72C5009141DF7ED",1)</f>
        <v>=DISPIMG("ID_08769320AA724096B72C5009141DF7ED",1)</v>
      </c>
      <c r="D5" s="15" t="str">
        <f>_xlfn.DISPIMG("ID_BB3976F750BD44DDB12F3E6F82A0FCC5",1)</f>
        <v>=DISPIMG("ID_BB3976F750BD44DDB12F3E6F82A0FCC5",1)</v>
      </c>
      <c r="E5" s="15" t="str">
        <f>_xlfn.DISPIMG("ID_A645C85702804F89A4B8B04740A1EFAC",1)</f>
        <v>=DISPIMG("ID_A645C85702804F89A4B8B04740A1EFAC",1)</v>
      </c>
      <c r="F5" s="16"/>
      <c r="G5" s="71" t="s">
        <v>936</v>
      </c>
      <c r="H5" s="72"/>
      <c r="I5" s="72"/>
      <c r="J5" s="72"/>
      <c r="K5" s="72"/>
      <c r="L5" s="72"/>
      <c r="M5" s="72"/>
      <c r="N5" s="72"/>
      <c r="O5" s="180"/>
      <c r="P5" s="134" t="str">
        <f>_xlfn.DISPIMG("ID_005268EE918D40DFA64C83FF391DE5DA",1)</f>
        <v>=DISPIMG("ID_005268EE918D40DFA64C83FF391DE5DA",1)</v>
      </c>
      <c r="Q5" s="233"/>
      <c r="R5" s="233"/>
      <c r="S5" s="233"/>
      <c r="T5" s="233"/>
      <c r="U5" s="233"/>
      <c r="V5" s="233"/>
      <c r="W5" s="233"/>
      <c r="X5" s="234"/>
    </row>
    <row r="6" ht="21" customHeight="1" spans="1:24">
      <c r="A6" s="19"/>
      <c r="B6" s="20"/>
      <c r="C6" s="20"/>
      <c r="D6" s="20"/>
      <c r="E6" s="20"/>
      <c r="F6" s="20"/>
      <c r="G6" s="20"/>
      <c r="H6" s="20"/>
      <c r="I6" s="20"/>
      <c r="J6" s="20"/>
      <c r="K6" s="20"/>
      <c r="L6" s="20"/>
      <c r="M6" s="20"/>
      <c r="N6" s="20"/>
      <c r="O6" s="20"/>
      <c r="P6" s="20"/>
      <c r="Q6" s="20"/>
      <c r="R6" s="20"/>
      <c r="S6" s="20"/>
      <c r="T6" s="20"/>
      <c r="U6" s="20"/>
      <c r="V6" s="20"/>
      <c r="W6" s="20"/>
      <c r="X6" s="235"/>
    </row>
    <row r="7" ht="21" customHeight="1" spans="1:24">
      <c r="A7" s="21" t="s">
        <v>288</v>
      </c>
      <c r="B7" s="22"/>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73" t="s">
        <v>937</v>
      </c>
      <c r="B8" s="74"/>
      <c r="C8" s="321">
        <v>60</v>
      </c>
      <c r="D8" s="322">
        <v>59</v>
      </c>
      <c r="E8" s="322">
        <v>58</v>
      </c>
      <c r="F8" s="322">
        <v>57</v>
      </c>
      <c r="G8" s="322">
        <v>55</v>
      </c>
      <c r="H8" s="322">
        <v>53</v>
      </c>
      <c r="I8" s="322">
        <v>51</v>
      </c>
      <c r="J8" s="322">
        <v>48</v>
      </c>
      <c r="K8" s="361">
        <v>45</v>
      </c>
      <c r="L8" s="362"/>
      <c r="M8" s="159">
        <v>42</v>
      </c>
      <c r="N8" s="160"/>
      <c r="O8" s="161">
        <v>39</v>
      </c>
      <c r="P8" s="162">
        <v>36</v>
      </c>
      <c r="Q8" s="160"/>
      <c r="R8" s="247">
        <v>33</v>
      </c>
      <c r="S8" s="160"/>
      <c r="T8" s="161">
        <v>30</v>
      </c>
      <c r="U8" s="248">
        <v>27</v>
      </c>
      <c r="V8" s="162">
        <v>24</v>
      </c>
      <c r="W8" s="249"/>
      <c r="X8" s="250">
        <v>21</v>
      </c>
    </row>
    <row r="9" ht="21" customHeight="1" spans="1:24">
      <c r="A9" s="26" t="s">
        <v>938</v>
      </c>
      <c r="B9" s="315"/>
      <c r="C9" s="323">
        <v>55</v>
      </c>
      <c r="D9" s="324">
        <v>54</v>
      </c>
      <c r="E9" s="324">
        <v>53</v>
      </c>
      <c r="F9" s="324">
        <v>52</v>
      </c>
      <c r="G9" s="324">
        <v>50</v>
      </c>
      <c r="H9" s="324">
        <v>48</v>
      </c>
      <c r="I9" s="324">
        <v>46</v>
      </c>
      <c r="J9" s="324">
        <v>43</v>
      </c>
      <c r="K9" s="363">
        <v>40</v>
      </c>
      <c r="L9" s="364"/>
      <c r="M9" s="143">
        <v>37</v>
      </c>
      <c r="N9" s="144"/>
      <c r="O9" s="145">
        <v>34</v>
      </c>
      <c r="P9" s="146">
        <v>31</v>
      </c>
      <c r="Q9" s="144"/>
      <c r="R9" s="238">
        <v>28</v>
      </c>
      <c r="S9" s="144"/>
      <c r="T9" s="145">
        <v>25</v>
      </c>
      <c r="U9" s="239">
        <v>22</v>
      </c>
      <c r="V9" s="146">
        <v>19</v>
      </c>
      <c r="W9" s="240"/>
      <c r="X9" s="241">
        <v>16</v>
      </c>
    </row>
    <row r="10" ht="21" customHeight="1" spans="1:24">
      <c r="A10" s="325" t="s">
        <v>939</v>
      </c>
      <c r="B10" s="326"/>
      <c r="C10" s="110">
        <v>30</v>
      </c>
      <c r="D10" s="130">
        <v>29</v>
      </c>
      <c r="E10" s="130">
        <v>28</v>
      </c>
      <c r="F10" s="130">
        <v>27</v>
      </c>
      <c r="G10" s="130">
        <v>26</v>
      </c>
      <c r="H10" s="130">
        <v>25</v>
      </c>
      <c r="I10" s="130">
        <v>24</v>
      </c>
      <c r="J10" s="130">
        <v>23</v>
      </c>
      <c r="K10" s="221">
        <v>22</v>
      </c>
      <c r="L10" s="196"/>
      <c r="M10" s="197">
        <v>20</v>
      </c>
      <c r="N10" s="198"/>
      <c r="O10" s="161">
        <v>18</v>
      </c>
      <c r="P10" s="162">
        <v>16</v>
      </c>
      <c r="Q10" s="198"/>
      <c r="R10" s="247">
        <v>14</v>
      </c>
      <c r="S10" s="198"/>
      <c r="T10" s="161">
        <v>12</v>
      </c>
      <c r="U10" s="248">
        <v>10</v>
      </c>
      <c r="V10" s="162">
        <v>8</v>
      </c>
      <c r="W10" s="271"/>
      <c r="X10" s="250">
        <v>7</v>
      </c>
    </row>
    <row r="11" ht="21" customHeight="1" spans="1:24">
      <c r="A11" s="94" t="s">
        <v>940</v>
      </c>
      <c r="B11" s="86"/>
      <c r="C11" s="327">
        <v>55</v>
      </c>
      <c r="D11" s="328">
        <v>54</v>
      </c>
      <c r="E11" s="328">
        <v>53</v>
      </c>
      <c r="F11" s="328">
        <v>52</v>
      </c>
      <c r="G11" s="328">
        <v>50</v>
      </c>
      <c r="H11" s="328">
        <v>48</v>
      </c>
      <c r="I11" s="328">
        <v>46</v>
      </c>
      <c r="J11" s="328">
        <v>43</v>
      </c>
      <c r="K11" s="365">
        <v>40</v>
      </c>
      <c r="L11" s="366"/>
      <c r="M11" s="218">
        <v>37</v>
      </c>
      <c r="N11" s="367"/>
      <c r="O11" s="203">
        <v>34</v>
      </c>
      <c r="P11" s="204">
        <v>31</v>
      </c>
      <c r="Q11" s="367"/>
      <c r="R11" s="272">
        <v>28</v>
      </c>
      <c r="S11" s="367"/>
      <c r="T11" s="203">
        <v>25</v>
      </c>
      <c r="U11" s="273">
        <v>22</v>
      </c>
      <c r="V11" s="204">
        <v>19</v>
      </c>
      <c r="W11" s="403"/>
      <c r="X11" s="275">
        <v>16</v>
      </c>
    </row>
    <row r="12" ht="21" customHeight="1" spans="1:24">
      <c r="A12" s="329" t="s">
        <v>941</v>
      </c>
      <c r="B12" s="330"/>
      <c r="C12" s="331">
        <v>60</v>
      </c>
      <c r="D12" s="332">
        <v>59</v>
      </c>
      <c r="E12" s="332">
        <v>58</v>
      </c>
      <c r="F12" s="332">
        <v>57</v>
      </c>
      <c r="G12" s="332">
        <v>55</v>
      </c>
      <c r="H12" s="332">
        <v>53</v>
      </c>
      <c r="I12" s="332">
        <v>51</v>
      </c>
      <c r="J12" s="332">
        <v>48</v>
      </c>
      <c r="K12" s="368">
        <v>45</v>
      </c>
      <c r="L12" s="369"/>
      <c r="M12" s="370">
        <v>42</v>
      </c>
      <c r="N12" s="371"/>
      <c r="O12" s="372">
        <v>39</v>
      </c>
      <c r="P12" s="373">
        <v>36</v>
      </c>
      <c r="Q12" s="371"/>
      <c r="R12" s="404">
        <v>33</v>
      </c>
      <c r="S12" s="371"/>
      <c r="T12" s="372">
        <v>30</v>
      </c>
      <c r="U12" s="405">
        <v>27</v>
      </c>
      <c r="V12" s="373">
        <v>24</v>
      </c>
      <c r="W12" s="406"/>
      <c r="X12" s="407">
        <v>21</v>
      </c>
    </row>
    <row r="13" ht="21" customHeight="1" spans="1:24">
      <c r="A13" s="123" t="s">
        <v>942</v>
      </c>
      <c r="B13" s="333"/>
      <c r="C13" s="333"/>
      <c r="D13" s="333"/>
      <c r="E13" s="333"/>
      <c r="F13" s="333"/>
      <c r="G13" s="333"/>
      <c r="H13" s="333"/>
      <c r="I13" s="333"/>
      <c r="J13" s="333"/>
      <c r="K13" s="333"/>
      <c r="L13" s="333"/>
      <c r="M13" s="333"/>
      <c r="N13" s="333"/>
      <c r="O13" s="333"/>
      <c r="P13" s="333"/>
      <c r="Q13" s="333"/>
      <c r="R13" s="333"/>
      <c r="S13" s="333"/>
      <c r="T13" s="333"/>
      <c r="U13" s="333"/>
      <c r="V13" s="333"/>
      <c r="W13" s="333"/>
      <c r="X13" s="408"/>
    </row>
    <row r="14" ht="21" customHeight="1" spans="1:24">
      <c r="A14" s="45"/>
      <c r="B14" s="46"/>
      <c r="C14" s="46"/>
      <c r="D14" s="46"/>
      <c r="E14" s="46"/>
      <c r="F14" s="46"/>
      <c r="G14" s="46"/>
      <c r="H14" s="46"/>
      <c r="I14" s="46"/>
      <c r="J14" s="46"/>
      <c r="K14" s="46"/>
      <c r="L14" s="46"/>
      <c r="M14" s="46"/>
      <c r="N14" s="46"/>
      <c r="O14" s="46"/>
      <c r="P14" s="46"/>
      <c r="Q14" s="46"/>
      <c r="R14" s="46"/>
      <c r="S14" s="46"/>
      <c r="T14" s="46"/>
      <c r="U14" s="46"/>
      <c r="V14" s="46"/>
      <c r="W14" s="46"/>
      <c r="X14" s="252"/>
    </row>
    <row r="15" ht="44" customHeight="1" spans="1:24">
      <c r="A15" s="47"/>
      <c r="B15" s="48" t="str">
        <f>_xlfn.DISPIMG("ID_01E74CE5BB5246EE8607851E0F49B9FD",1)</f>
        <v>=DISPIMG("ID_01E74CE5BB5246EE8607851E0F49B9FD",1)</v>
      </c>
      <c r="C15" s="48" t="str">
        <f>_xlfn.DISPIMG("ID_39EC644208F34360A2FD9A5BFC4422F5",1)</f>
        <v>=DISPIMG("ID_39EC644208F34360A2FD9A5BFC4422F5",1)</v>
      </c>
      <c r="D15" s="48" t="str">
        <f>_xlfn.DISPIMG("ID_1CF0813B32054CC9AE4416E7D749A801",1)</f>
        <v>=DISPIMG("ID_1CF0813B32054CC9AE4416E7D749A801",1)</v>
      </c>
      <c r="E15" s="48" t="str">
        <f>_xlfn.DISPIMG("ID_54F95748C7644E85A04C9B5003C8FDF2",1)</f>
        <v>=DISPIMG("ID_54F95748C7644E85A04C9B5003C8FDF2",1)</v>
      </c>
      <c r="F15" s="70"/>
      <c r="G15" s="334" t="s">
        <v>943</v>
      </c>
      <c r="H15" s="335"/>
      <c r="I15" s="335"/>
      <c r="J15" s="335"/>
      <c r="K15" s="335"/>
      <c r="L15" s="335"/>
      <c r="M15" s="335"/>
      <c r="N15" s="335"/>
      <c r="O15" s="374"/>
      <c r="P15" s="375"/>
      <c r="Q15" s="409"/>
      <c r="R15" s="409"/>
      <c r="S15" s="409"/>
      <c r="T15" s="409" t="str">
        <f>_xlfn.DISPIMG("ID_B628D53AC97B4258B59F5933010EB2A5",1)</f>
        <v>=DISPIMG("ID_B628D53AC97B4258B59F5933010EB2A5",1)</v>
      </c>
      <c r="U15" s="409" t="str">
        <f>_xlfn.DISPIMG("ID_7BDE4AEF507C46E39DD7644117B2636D",1)</f>
        <v>=DISPIMG("ID_7BDE4AEF507C46E39DD7644117B2636D",1)</v>
      </c>
      <c r="V15" s="409"/>
      <c r="W15" s="409"/>
      <c r="X15" s="410"/>
    </row>
    <row r="16" ht="21" customHeight="1" spans="1:24">
      <c r="A16" s="19"/>
      <c r="B16" s="20"/>
      <c r="C16" s="20"/>
      <c r="D16" s="20"/>
      <c r="E16" s="20"/>
      <c r="F16" s="20"/>
      <c r="G16" s="20"/>
      <c r="H16" s="20"/>
      <c r="I16" s="20"/>
      <c r="J16" s="20"/>
      <c r="K16" s="20"/>
      <c r="L16" s="20"/>
      <c r="M16" s="20"/>
      <c r="N16" s="20"/>
      <c r="O16" s="20"/>
      <c r="P16" s="20"/>
      <c r="Q16" s="20"/>
      <c r="R16" s="20"/>
      <c r="S16" s="20"/>
      <c r="T16" s="20"/>
      <c r="U16" s="20"/>
      <c r="V16" s="20"/>
      <c r="W16" s="20"/>
      <c r="X16" s="235"/>
    </row>
    <row r="17" ht="21" customHeight="1" spans="1:24">
      <c r="A17" s="21" t="s">
        <v>288</v>
      </c>
      <c r="B17" s="22"/>
      <c r="C17" s="23">
        <v>0</v>
      </c>
      <c r="D17" s="24">
        <v>1</v>
      </c>
      <c r="E17" s="24">
        <v>2</v>
      </c>
      <c r="F17" s="24">
        <v>3</v>
      </c>
      <c r="G17" s="24">
        <v>4</v>
      </c>
      <c r="H17" s="24">
        <v>5</v>
      </c>
      <c r="I17" s="24">
        <v>6</v>
      </c>
      <c r="J17" s="24">
        <v>7</v>
      </c>
      <c r="K17" s="135">
        <v>8</v>
      </c>
      <c r="L17" s="136">
        <v>9</v>
      </c>
      <c r="M17" s="137"/>
      <c r="N17" s="138"/>
      <c r="O17" s="139">
        <v>10</v>
      </c>
      <c r="P17" s="140">
        <v>11</v>
      </c>
      <c r="Q17" s="236">
        <v>12</v>
      </c>
      <c r="R17" s="236"/>
      <c r="S17" s="236"/>
      <c r="T17" s="139">
        <v>13</v>
      </c>
      <c r="U17" s="237">
        <v>14</v>
      </c>
      <c r="V17" s="140">
        <v>15</v>
      </c>
      <c r="W17" s="137">
        <v>16</v>
      </c>
      <c r="X17" s="138"/>
    </row>
    <row r="18" ht="21" customHeight="1" spans="1:24">
      <c r="A18" s="73" t="s">
        <v>944</v>
      </c>
      <c r="B18" s="74"/>
      <c r="C18" s="321">
        <v>30</v>
      </c>
      <c r="D18" s="322">
        <v>29</v>
      </c>
      <c r="E18" s="322">
        <v>28</v>
      </c>
      <c r="F18" s="322">
        <v>27</v>
      </c>
      <c r="G18" s="322">
        <v>25</v>
      </c>
      <c r="H18" s="322">
        <v>23</v>
      </c>
      <c r="I18" s="322">
        <v>21</v>
      </c>
      <c r="J18" s="322">
        <v>18</v>
      </c>
      <c r="K18" s="361">
        <v>15</v>
      </c>
      <c r="L18" s="362"/>
      <c r="M18" s="159">
        <v>12</v>
      </c>
      <c r="N18" s="160"/>
      <c r="O18" s="161">
        <v>11</v>
      </c>
      <c r="P18" s="162">
        <v>10</v>
      </c>
      <c r="Q18" s="160"/>
      <c r="R18" s="247">
        <v>9</v>
      </c>
      <c r="S18" s="160"/>
      <c r="T18" s="161">
        <v>8</v>
      </c>
      <c r="U18" s="248">
        <v>7</v>
      </c>
      <c r="V18" s="162">
        <v>7</v>
      </c>
      <c r="W18" s="249"/>
      <c r="X18" s="250">
        <v>7</v>
      </c>
    </row>
    <row r="19" ht="21" customHeight="1" spans="1:24">
      <c r="A19" s="25" t="s">
        <v>945</v>
      </c>
      <c r="B19" s="26"/>
      <c r="C19" s="27">
        <v>30</v>
      </c>
      <c r="D19" s="28">
        <v>29</v>
      </c>
      <c r="E19" s="28">
        <v>28</v>
      </c>
      <c r="F19" s="28">
        <v>27</v>
      </c>
      <c r="G19" s="28">
        <v>25</v>
      </c>
      <c r="H19" s="28">
        <v>23</v>
      </c>
      <c r="I19" s="28">
        <v>21</v>
      </c>
      <c r="J19" s="28">
        <v>18</v>
      </c>
      <c r="K19" s="141">
        <v>15</v>
      </c>
      <c r="L19" s="142"/>
      <c r="M19" s="143">
        <v>12</v>
      </c>
      <c r="N19" s="144"/>
      <c r="O19" s="145">
        <v>8</v>
      </c>
      <c r="P19" s="146">
        <v>4</v>
      </c>
      <c r="Q19" s="144"/>
      <c r="R19" s="238">
        <v>0</v>
      </c>
      <c r="S19" s="144"/>
      <c r="T19" s="411" t="s">
        <v>850</v>
      </c>
      <c r="U19" s="412" t="s">
        <v>850</v>
      </c>
      <c r="V19" s="413" t="s">
        <v>850</v>
      </c>
      <c r="W19" s="240"/>
      <c r="X19" s="414" t="s">
        <v>850</v>
      </c>
    </row>
    <row r="20" ht="21" customHeight="1" spans="1:24">
      <c r="A20" s="73" t="s">
        <v>946</v>
      </c>
      <c r="B20" s="74"/>
      <c r="C20" s="321">
        <v>30</v>
      </c>
      <c r="D20" s="322">
        <v>29</v>
      </c>
      <c r="E20" s="322">
        <v>28</v>
      </c>
      <c r="F20" s="322">
        <v>27</v>
      </c>
      <c r="G20" s="322">
        <v>26</v>
      </c>
      <c r="H20" s="322">
        <v>25</v>
      </c>
      <c r="I20" s="322">
        <v>23</v>
      </c>
      <c r="J20" s="322">
        <v>22</v>
      </c>
      <c r="K20" s="361">
        <v>21</v>
      </c>
      <c r="L20" s="362"/>
      <c r="M20" s="159">
        <v>20</v>
      </c>
      <c r="N20" s="160"/>
      <c r="O20" s="161">
        <v>19</v>
      </c>
      <c r="P20" s="162">
        <v>18</v>
      </c>
      <c r="Q20" s="160"/>
      <c r="R20" s="247">
        <v>17</v>
      </c>
      <c r="S20" s="160"/>
      <c r="T20" s="161">
        <v>16</v>
      </c>
      <c r="U20" s="248">
        <v>14</v>
      </c>
      <c r="V20" s="162">
        <v>12</v>
      </c>
      <c r="W20" s="249"/>
      <c r="X20" s="250">
        <v>10</v>
      </c>
    </row>
    <row r="21" ht="21" customHeight="1" spans="1:24">
      <c r="A21" s="21" t="s">
        <v>340</v>
      </c>
      <c r="B21" s="22"/>
      <c r="C21" s="23">
        <v>0</v>
      </c>
      <c r="D21" s="24">
        <v>1</v>
      </c>
      <c r="E21" s="24">
        <v>2</v>
      </c>
      <c r="F21" s="24">
        <v>3</v>
      </c>
      <c r="G21" s="24">
        <v>4</v>
      </c>
      <c r="H21" s="24">
        <v>5</v>
      </c>
      <c r="I21" s="24">
        <v>6</v>
      </c>
      <c r="J21" s="24">
        <v>7</v>
      </c>
      <c r="K21" s="135">
        <v>8</v>
      </c>
      <c r="L21" s="136">
        <v>9</v>
      </c>
      <c r="M21" s="137"/>
      <c r="N21" s="138"/>
      <c r="O21" s="139">
        <v>10</v>
      </c>
      <c r="P21" s="140">
        <v>11</v>
      </c>
      <c r="Q21" s="236">
        <v>12</v>
      </c>
      <c r="R21" s="236"/>
      <c r="S21" s="236"/>
      <c r="T21" s="139">
        <v>13</v>
      </c>
      <c r="U21" s="237">
        <v>14</v>
      </c>
      <c r="V21" s="140">
        <v>15</v>
      </c>
      <c r="W21" s="137">
        <v>16</v>
      </c>
      <c r="X21" s="138"/>
    </row>
    <row r="22" ht="21" customHeight="1" spans="1:24">
      <c r="A22" s="25" t="s">
        <v>869</v>
      </c>
      <c r="B22" s="26"/>
      <c r="C22" s="27">
        <v>25</v>
      </c>
      <c r="D22" s="28">
        <v>26</v>
      </c>
      <c r="E22" s="28">
        <v>27</v>
      </c>
      <c r="F22" s="28">
        <v>28</v>
      </c>
      <c r="G22" s="28">
        <v>29</v>
      </c>
      <c r="H22" s="28">
        <v>30</v>
      </c>
      <c r="I22" s="28">
        <v>31</v>
      </c>
      <c r="J22" s="28">
        <v>32</v>
      </c>
      <c r="K22" s="141">
        <v>33</v>
      </c>
      <c r="L22" s="142"/>
      <c r="M22" s="143">
        <v>34</v>
      </c>
      <c r="N22" s="144"/>
      <c r="O22" s="145">
        <v>35</v>
      </c>
      <c r="P22" s="146">
        <v>36</v>
      </c>
      <c r="Q22" s="144"/>
      <c r="R22" s="238">
        <v>37</v>
      </c>
      <c r="S22" s="144"/>
      <c r="T22" s="145">
        <v>38</v>
      </c>
      <c r="U22" s="239">
        <v>39</v>
      </c>
      <c r="V22" s="146">
        <v>40</v>
      </c>
      <c r="W22" s="240"/>
      <c r="X22" s="241">
        <v>41</v>
      </c>
    </row>
    <row r="23" ht="21" customHeight="1" spans="1:24">
      <c r="A23" s="59" t="s">
        <v>947</v>
      </c>
      <c r="B23" s="60"/>
      <c r="C23" s="61">
        <v>0</v>
      </c>
      <c r="D23" s="62">
        <v>1</v>
      </c>
      <c r="E23" s="62">
        <v>2</v>
      </c>
      <c r="F23" s="63">
        <v>3</v>
      </c>
      <c r="G23" s="62">
        <v>4</v>
      </c>
      <c r="H23" s="64">
        <v>5</v>
      </c>
      <c r="I23" s="62">
        <v>6</v>
      </c>
      <c r="J23" s="174">
        <v>7</v>
      </c>
      <c r="K23" s="175">
        <v>8</v>
      </c>
      <c r="L23" s="376" t="s">
        <v>948</v>
      </c>
      <c r="M23" s="377"/>
      <c r="N23" s="377"/>
      <c r="O23" s="377"/>
      <c r="P23" s="377"/>
      <c r="Q23" s="377"/>
      <c r="R23" s="377"/>
      <c r="S23" s="377"/>
      <c r="T23" s="377"/>
      <c r="U23" s="377"/>
      <c r="V23" s="377"/>
      <c r="W23" s="377"/>
      <c r="X23" s="415"/>
    </row>
    <row r="24" ht="21" customHeight="1" spans="1:24">
      <c r="A24" s="25" t="s">
        <v>949</v>
      </c>
      <c r="B24" s="25"/>
      <c r="C24" s="41">
        <v>30</v>
      </c>
      <c r="D24" s="42">
        <v>28</v>
      </c>
      <c r="E24" s="42">
        <v>26</v>
      </c>
      <c r="F24" s="43">
        <v>24</v>
      </c>
      <c r="G24" s="42">
        <v>22</v>
      </c>
      <c r="H24" s="44">
        <v>20</v>
      </c>
      <c r="I24" s="42">
        <v>17</v>
      </c>
      <c r="J24" s="163">
        <v>14</v>
      </c>
      <c r="K24" s="164">
        <v>9</v>
      </c>
      <c r="L24" s="376" t="s">
        <v>873</v>
      </c>
      <c r="M24" s="377"/>
      <c r="N24" s="377"/>
      <c r="O24" s="377"/>
      <c r="P24" s="377"/>
      <c r="Q24" s="377"/>
      <c r="R24" s="377"/>
      <c r="S24" s="377"/>
      <c r="T24" s="377"/>
      <c r="U24" s="377"/>
      <c r="V24" s="377"/>
      <c r="W24" s="377"/>
      <c r="X24" s="415"/>
    </row>
    <row r="25" ht="21" customHeight="1" spans="1:24">
      <c r="A25" s="65" t="s">
        <v>950</v>
      </c>
      <c r="B25" s="65"/>
      <c r="C25" s="66">
        <v>300</v>
      </c>
      <c r="D25" s="67">
        <v>350</v>
      </c>
      <c r="E25" s="67">
        <v>400</v>
      </c>
      <c r="F25" s="93">
        <v>450</v>
      </c>
      <c r="G25" s="67">
        <v>500</v>
      </c>
      <c r="H25" s="69">
        <v>550</v>
      </c>
      <c r="I25" s="67">
        <v>600</v>
      </c>
      <c r="J25" s="178">
        <v>700</v>
      </c>
      <c r="K25" s="378">
        <v>900</v>
      </c>
      <c r="L25" s="376" t="s">
        <v>951</v>
      </c>
      <c r="M25" s="377"/>
      <c r="N25" s="377"/>
      <c r="O25" s="377"/>
      <c r="P25" s="377"/>
      <c r="Q25" s="377"/>
      <c r="R25" s="377"/>
      <c r="S25" s="377"/>
      <c r="T25" s="377"/>
      <c r="U25" s="377"/>
      <c r="V25" s="377"/>
      <c r="W25" s="377"/>
      <c r="X25" s="415"/>
    </row>
    <row r="26" ht="21" customHeight="1" spans="1:24">
      <c r="A26" s="21" t="s">
        <v>952</v>
      </c>
      <c r="B26" s="22"/>
      <c r="C26" s="23">
        <v>0</v>
      </c>
      <c r="D26" s="24">
        <v>1</v>
      </c>
      <c r="E26" s="24">
        <v>2</v>
      </c>
      <c r="F26" s="24">
        <v>3</v>
      </c>
      <c r="G26" s="24">
        <v>4</v>
      </c>
      <c r="H26" s="24">
        <v>5</v>
      </c>
      <c r="I26" s="24">
        <v>6</v>
      </c>
      <c r="J26" s="24">
        <v>7</v>
      </c>
      <c r="K26" s="135">
        <v>8</v>
      </c>
      <c r="L26" s="136">
        <v>9</v>
      </c>
      <c r="M26" s="137"/>
      <c r="N26" s="138"/>
      <c r="O26" s="139">
        <v>10</v>
      </c>
      <c r="P26" s="140">
        <v>11</v>
      </c>
      <c r="Q26" s="236">
        <v>12</v>
      </c>
      <c r="R26" s="236"/>
      <c r="S26" s="236"/>
      <c r="T26" s="139">
        <v>13</v>
      </c>
      <c r="U26" s="237">
        <v>14</v>
      </c>
      <c r="V26" s="140">
        <v>15</v>
      </c>
      <c r="W26" s="137">
        <v>16</v>
      </c>
      <c r="X26" s="138"/>
    </row>
    <row r="27" ht="21" customHeight="1" spans="1:24">
      <c r="A27" s="94" t="s">
        <v>953</v>
      </c>
      <c r="B27" s="86"/>
      <c r="C27" s="336">
        <v>25</v>
      </c>
      <c r="D27" s="337">
        <v>45</v>
      </c>
      <c r="E27" s="337">
        <v>65</v>
      </c>
      <c r="F27" s="337">
        <v>85</v>
      </c>
      <c r="G27" s="337">
        <v>115</v>
      </c>
      <c r="H27" s="337">
        <v>145</v>
      </c>
      <c r="I27" s="337">
        <v>175</v>
      </c>
      <c r="J27" s="337">
        <v>215</v>
      </c>
      <c r="K27" s="379">
        <v>255</v>
      </c>
      <c r="L27" s="380"/>
      <c r="M27" s="381">
        <v>295</v>
      </c>
      <c r="N27" s="367"/>
      <c r="O27" s="382">
        <v>345</v>
      </c>
      <c r="P27" s="383">
        <v>395</v>
      </c>
      <c r="Q27" s="367"/>
      <c r="R27" s="416">
        <v>445</v>
      </c>
      <c r="S27" s="367"/>
      <c r="T27" s="382">
        <v>495</v>
      </c>
      <c r="U27" s="417">
        <v>545</v>
      </c>
      <c r="V27" s="383">
        <v>595</v>
      </c>
      <c r="W27" s="403"/>
      <c r="X27" s="418">
        <v>645</v>
      </c>
    </row>
    <row r="28" s="1" customFormat="1" ht="21" customHeight="1" spans="1:24">
      <c r="A28" s="338" t="s">
        <v>954</v>
      </c>
      <c r="B28" s="339"/>
      <c r="C28" s="321">
        <v>25</v>
      </c>
      <c r="D28" s="322">
        <v>45</v>
      </c>
      <c r="E28" s="322">
        <v>65</v>
      </c>
      <c r="F28" s="322">
        <v>85</v>
      </c>
      <c r="G28" s="322">
        <v>115</v>
      </c>
      <c r="H28" s="322">
        <v>145</v>
      </c>
      <c r="I28" s="322">
        <v>175</v>
      </c>
      <c r="J28" s="322">
        <v>215</v>
      </c>
      <c r="K28" s="361">
        <v>255</v>
      </c>
      <c r="L28" s="362"/>
      <c r="M28" s="159">
        <v>295</v>
      </c>
      <c r="N28" s="160"/>
      <c r="O28" s="161">
        <v>345</v>
      </c>
      <c r="P28" s="162">
        <v>395</v>
      </c>
      <c r="Q28" s="160"/>
      <c r="R28" s="247">
        <v>445</v>
      </c>
      <c r="S28" s="160"/>
      <c r="T28" s="161">
        <v>495</v>
      </c>
      <c r="U28" s="248">
        <v>545</v>
      </c>
      <c r="V28" s="162">
        <v>595</v>
      </c>
      <c r="W28" s="249"/>
      <c r="X28" s="250">
        <v>645</v>
      </c>
    </row>
    <row r="29" ht="21" customHeight="1" spans="1:24">
      <c r="A29" s="45"/>
      <c r="B29" s="46"/>
      <c r="C29" s="46"/>
      <c r="D29" s="46"/>
      <c r="E29" s="46"/>
      <c r="F29" s="46"/>
      <c r="G29" s="46"/>
      <c r="H29" s="46"/>
      <c r="I29" s="46"/>
      <c r="J29" s="46"/>
      <c r="K29" s="46"/>
      <c r="L29" s="46"/>
      <c r="M29" s="46"/>
      <c r="N29" s="46"/>
      <c r="O29" s="46"/>
      <c r="P29" s="46"/>
      <c r="Q29" s="46"/>
      <c r="R29" s="46"/>
      <c r="S29" s="46"/>
      <c r="T29" s="46"/>
      <c r="U29" s="46"/>
      <c r="V29" s="46"/>
      <c r="W29" s="46"/>
      <c r="X29" s="252"/>
    </row>
    <row r="30" ht="44" customHeight="1" spans="1:24">
      <c r="A30" s="47"/>
      <c r="B30" s="48" t="str">
        <f>_xlfn.DISPIMG("ID_BCD74278CA0846998EBE9676E8AC0D7D",1)</f>
        <v>=DISPIMG("ID_BCD74278CA0846998EBE9676E8AC0D7D",1)</v>
      </c>
      <c r="C30" s="48" t="str">
        <f>_xlfn.DISPIMG("ID_FD631B39435949FCA06CE7AF96E67BC6",1)</f>
        <v>=DISPIMG("ID_FD631B39435949FCA06CE7AF96E67BC6",1)</v>
      </c>
      <c r="D30" s="48" t="str">
        <f>_xlfn.DISPIMG("ID_3F9B97FAEE0B4183A3F735F178D7BD57",1)</f>
        <v>=DISPIMG("ID_3F9B97FAEE0B4183A3F735F178D7BD57",1)</v>
      </c>
      <c r="E30" s="48" t="str">
        <f>_xlfn.DISPIMG("ID_5368718989884D8E8956CF7DF895DFB6",1)</f>
        <v>=DISPIMG("ID_5368718989884D8E8956CF7DF895DFB6",1)</v>
      </c>
      <c r="F30" s="70"/>
      <c r="G30" s="340" t="s">
        <v>955</v>
      </c>
      <c r="H30" s="341"/>
      <c r="I30" s="341"/>
      <c r="J30" s="341"/>
      <c r="K30" s="341"/>
      <c r="L30" s="341"/>
      <c r="M30" s="341"/>
      <c r="N30" s="341"/>
      <c r="O30" s="384"/>
      <c r="P30" s="181"/>
      <c r="Q30" s="259"/>
      <c r="R30" s="259"/>
      <c r="S30" s="259"/>
      <c r="T30" s="259"/>
      <c r="U30" s="259"/>
      <c r="V30" s="259"/>
      <c r="W30" s="259"/>
      <c r="X30" s="260"/>
    </row>
    <row r="31" ht="21" customHeight="1" spans="1:24">
      <c r="A31" s="342" t="s">
        <v>956</v>
      </c>
      <c r="B31" s="343"/>
      <c r="C31" s="343"/>
      <c r="D31" s="343"/>
      <c r="E31" s="343"/>
      <c r="F31" s="343"/>
      <c r="G31" s="343"/>
      <c r="H31" s="343"/>
      <c r="I31" s="343"/>
      <c r="J31" s="343"/>
      <c r="K31" s="343"/>
      <c r="L31" s="343"/>
      <c r="M31" s="343"/>
      <c r="N31" s="343"/>
      <c r="O31" s="343"/>
      <c r="P31" s="343"/>
      <c r="Q31" s="343"/>
      <c r="R31" s="343"/>
      <c r="S31" s="343"/>
      <c r="T31" s="343"/>
      <c r="U31" s="343"/>
      <c r="V31" s="343"/>
      <c r="W31" s="343"/>
      <c r="X31" s="419"/>
    </row>
    <row r="32" ht="21" customHeight="1" spans="1:24">
      <c r="A32" s="21" t="s">
        <v>288</v>
      </c>
      <c r="B32" s="22"/>
      <c r="C32" s="23">
        <v>0</v>
      </c>
      <c r="D32" s="24">
        <v>1</v>
      </c>
      <c r="E32" s="24">
        <v>2</v>
      </c>
      <c r="F32" s="24">
        <v>3</v>
      </c>
      <c r="G32" s="24">
        <v>4</v>
      </c>
      <c r="H32" s="24">
        <v>5</v>
      </c>
      <c r="I32" s="24">
        <v>6</v>
      </c>
      <c r="J32" s="24">
        <v>7</v>
      </c>
      <c r="K32" s="135">
        <v>8</v>
      </c>
      <c r="L32" s="136">
        <v>9</v>
      </c>
      <c r="M32" s="137"/>
      <c r="N32" s="138"/>
      <c r="O32" s="139">
        <v>10</v>
      </c>
      <c r="P32" s="140">
        <v>11</v>
      </c>
      <c r="Q32" s="236">
        <v>12</v>
      </c>
      <c r="R32" s="236"/>
      <c r="S32" s="236"/>
      <c r="T32" s="139">
        <v>13</v>
      </c>
      <c r="U32" s="237">
        <v>14</v>
      </c>
      <c r="V32" s="140">
        <v>15</v>
      </c>
      <c r="W32" s="137">
        <v>16</v>
      </c>
      <c r="X32" s="138"/>
    </row>
    <row r="33" ht="21" customHeight="1" spans="1:24">
      <c r="A33" s="73" t="s">
        <v>957</v>
      </c>
      <c r="B33" s="74"/>
      <c r="C33" s="75">
        <v>40</v>
      </c>
      <c r="D33" s="76">
        <v>39</v>
      </c>
      <c r="E33" s="76">
        <v>38</v>
      </c>
      <c r="F33" s="76">
        <v>37</v>
      </c>
      <c r="G33" s="76">
        <v>36</v>
      </c>
      <c r="H33" s="76">
        <v>35</v>
      </c>
      <c r="I33" s="76">
        <v>34</v>
      </c>
      <c r="J33" s="76">
        <v>33</v>
      </c>
      <c r="K33" s="182">
        <v>32</v>
      </c>
      <c r="L33" s="183"/>
      <c r="M33" s="159">
        <v>30</v>
      </c>
      <c r="N33" s="184"/>
      <c r="O33" s="161">
        <v>28</v>
      </c>
      <c r="P33" s="162">
        <v>26</v>
      </c>
      <c r="Q33" s="184"/>
      <c r="R33" s="247">
        <v>24</v>
      </c>
      <c r="S33" s="184"/>
      <c r="T33" s="161">
        <v>22</v>
      </c>
      <c r="U33" s="248">
        <v>20</v>
      </c>
      <c r="V33" s="162">
        <v>17</v>
      </c>
      <c r="W33" s="261"/>
      <c r="X33" s="250">
        <v>14</v>
      </c>
    </row>
    <row r="34" ht="21" customHeight="1" spans="1:24">
      <c r="A34" s="25" t="s">
        <v>958</v>
      </c>
      <c r="B34" s="26"/>
      <c r="C34" s="113">
        <v>40</v>
      </c>
      <c r="D34" s="307">
        <v>39</v>
      </c>
      <c r="E34" s="307">
        <v>38</v>
      </c>
      <c r="F34" s="307">
        <v>37</v>
      </c>
      <c r="G34" s="307">
        <v>36</v>
      </c>
      <c r="H34" s="307">
        <v>35</v>
      </c>
      <c r="I34" s="307">
        <v>34</v>
      </c>
      <c r="J34" s="307">
        <v>33</v>
      </c>
      <c r="K34" s="312">
        <v>32</v>
      </c>
      <c r="L34" s="154"/>
      <c r="M34" s="155">
        <v>30</v>
      </c>
      <c r="N34" s="156"/>
      <c r="O34" s="145">
        <v>28</v>
      </c>
      <c r="P34" s="146">
        <v>26</v>
      </c>
      <c r="Q34" s="156"/>
      <c r="R34" s="238">
        <v>24</v>
      </c>
      <c r="S34" s="156"/>
      <c r="T34" s="145">
        <v>22</v>
      </c>
      <c r="U34" s="239">
        <v>20</v>
      </c>
      <c r="V34" s="146">
        <v>17</v>
      </c>
      <c r="W34" s="246"/>
      <c r="X34" s="241">
        <v>13</v>
      </c>
    </row>
    <row r="35" ht="21" customHeight="1" spans="1:24">
      <c r="A35" s="115" t="s">
        <v>959</v>
      </c>
      <c r="B35" s="38"/>
      <c r="C35" s="321">
        <v>40</v>
      </c>
      <c r="D35" s="322">
        <v>39</v>
      </c>
      <c r="E35" s="322">
        <v>38</v>
      </c>
      <c r="F35" s="322">
        <v>37</v>
      </c>
      <c r="G35" s="322">
        <v>36</v>
      </c>
      <c r="H35" s="322">
        <v>35</v>
      </c>
      <c r="I35" s="322">
        <v>34</v>
      </c>
      <c r="J35" s="322">
        <v>33</v>
      </c>
      <c r="K35" s="361">
        <v>32</v>
      </c>
      <c r="L35" s="183"/>
      <c r="M35" s="385">
        <v>30</v>
      </c>
      <c r="N35" s="184"/>
      <c r="O35" s="386">
        <v>28</v>
      </c>
      <c r="P35" s="387">
        <v>26</v>
      </c>
      <c r="Q35" s="184"/>
      <c r="R35" s="420">
        <v>24</v>
      </c>
      <c r="S35" s="184"/>
      <c r="T35" s="386">
        <v>22</v>
      </c>
      <c r="U35" s="421">
        <v>20</v>
      </c>
      <c r="V35" s="387">
        <v>17</v>
      </c>
      <c r="W35" s="261"/>
      <c r="X35" s="422">
        <v>14</v>
      </c>
    </row>
    <row r="36" ht="21" customHeight="1" spans="1:24">
      <c r="A36" s="25" t="s">
        <v>960</v>
      </c>
      <c r="B36" s="26"/>
      <c r="C36" s="113">
        <v>31</v>
      </c>
      <c r="D36" s="307">
        <v>30</v>
      </c>
      <c r="E36" s="307">
        <v>29</v>
      </c>
      <c r="F36" s="307">
        <v>28</v>
      </c>
      <c r="G36" s="307">
        <v>27</v>
      </c>
      <c r="H36" s="307">
        <v>26</v>
      </c>
      <c r="I36" s="307">
        <v>25</v>
      </c>
      <c r="J36" s="307">
        <v>24</v>
      </c>
      <c r="K36" s="312">
        <v>23</v>
      </c>
      <c r="L36" s="154"/>
      <c r="M36" s="155">
        <v>22</v>
      </c>
      <c r="N36" s="156"/>
      <c r="O36" s="145">
        <v>20</v>
      </c>
      <c r="P36" s="146">
        <v>18</v>
      </c>
      <c r="Q36" s="156"/>
      <c r="R36" s="238">
        <v>16</v>
      </c>
      <c r="S36" s="156"/>
      <c r="T36" s="145">
        <v>14</v>
      </c>
      <c r="U36" s="239">
        <v>12</v>
      </c>
      <c r="V36" s="146">
        <v>10</v>
      </c>
      <c r="W36" s="246"/>
      <c r="X36" s="241">
        <v>7</v>
      </c>
    </row>
    <row r="37" ht="21" customHeight="1" spans="1:24">
      <c r="A37" s="344" t="s">
        <v>961</v>
      </c>
      <c r="B37" s="344"/>
      <c r="C37" s="344"/>
      <c r="D37" s="344"/>
      <c r="E37" s="344"/>
      <c r="F37" s="344"/>
      <c r="G37" s="344"/>
      <c r="H37" s="344"/>
      <c r="I37" s="344"/>
      <c r="J37" s="344"/>
      <c r="K37" s="344"/>
      <c r="L37" s="344"/>
      <c r="M37" s="344"/>
      <c r="N37" s="344"/>
      <c r="O37" s="344"/>
      <c r="P37" s="344"/>
      <c r="Q37" s="344"/>
      <c r="R37" s="344"/>
      <c r="S37" s="344"/>
      <c r="T37" s="344"/>
      <c r="U37" s="344"/>
      <c r="V37" s="344"/>
      <c r="W37" s="344"/>
      <c r="X37" s="344"/>
    </row>
    <row r="38" ht="21" customHeight="1" spans="1:24">
      <c r="A38" s="45"/>
      <c r="B38" s="46"/>
      <c r="C38" s="46"/>
      <c r="D38" s="46"/>
      <c r="E38" s="46"/>
      <c r="F38" s="46"/>
      <c r="G38" s="46"/>
      <c r="H38" s="46"/>
      <c r="I38" s="46"/>
      <c r="J38" s="46"/>
      <c r="K38" s="46"/>
      <c r="L38" s="46"/>
      <c r="M38" s="46"/>
      <c r="N38" s="46"/>
      <c r="O38" s="46"/>
      <c r="P38" s="46"/>
      <c r="Q38" s="46"/>
      <c r="R38" s="46"/>
      <c r="S38" s="46"/>
      <c r="T38" s="46"/>
      <c r="U38" s="46"/>
      <c r="V38" s="46"/>
      <c r="W38" s="46"/>
      <c r="X38" s="252"/>
    </row>
    <row r="39" ht="44" customHeight="1" spans="1:24">
      <c r="A39" s="47"/>
      <c r="B39" s="48"/>
      <c r="C39" s="48" t="str">
        <f>_xlfn.DISPIMG("ID_EFABC6FAC7B34C65AAA4D39708F528CA",1)</f>
        <v>=DISPIMG("ID_EFABC6FAC7B34C65AAA4D39708F528CA",1)</v>
      </c>
      <c r="D39" s="48" t="str">
        <f>_xlfn.DISPIMG("ID_E9663CB23507426AAC89CE26A1964238",1)</f>
        <v>=DISPIMG("ID_E9663CB23507426AAC89CE26A1964238",1)</v>
      </c>
      <c r="E39" s="48"/>
      <c r="F39" s="70"/>
      <c r="G39" s="345" t="s">
        <v>962</v>
      </c>
      <c r="H39" s="346"/>
      <c r="I39" s="346"/>
      <c r="J39" s="346"/>
      <c r="K39" s="346"/>
      <c r="L39" s="346"/>
      <c r="M39" s="346"/>
      <c r="N39" s="346"/>
      <c r="O39" s="388"/>
      <c r="P39" s="181"/>
      <c r="Q39" s="259"/>
      <c r="R39" s="259"/>
      <c r="S39" s="259"/>
      <c r="T39" s="259"/>
      <c r="U39" s="259"/>
      <c r="V39" s="259"/>
      <c r="W39" s="259"/>
      <c r="X39" s="260"/>
    </row>
    <row r="40" ht="21" customHeight="1" spans="1:24">
      <c r="A40" s="19"/>
      <c r="B40" s="20"/>
      <c r="C40" s="20"/>
      <c r="D40" s="20"/>
      <c r="E40" s="20"/>
      <c r="F40" s="20"/>
      <c r="G40" s="20"/>
      <c r="H40" s="20"/>
      <c r="I40" s="20"/>
      <c r="J40" s="20"/>
      <c r="K40" s="20"/>
      <c r="L40" s="20"/>
      <c r="M40" s="20"/>
      <c r="N40" s="20"/>
      <c r="O40" s="20"/>
      <c r="P40" s="20"/>
      <c r="Q40" s="20"/>
      <c r="R40" s="20"/>
      <c r="S40" s="20"/>
      <c r="T40" s="20"/>
      <c r="U40" s="20"/>
      <c r="V40" s="20"/>
      <c r="W40" s="20"/>
      <c r="X40" s="235"/>
    </row>
    <row r="41" ht="21" customHeight="1" spans="1:24">
      <c r="A41" s="21" t="s">
        <v>288</v>
      </c>
      <c r="B41" s="22"/>
      <c r="C41" s="23">
        <v>0</v>
      </c>
      <c r="D41" s="24">
        <v>1</v>
      </c>
      <c r="E41" s="24">
        <v>2</v>
      </c>
      <c r="F41" s="24">
        <v>3</v>
      </c>
      <c r="G41" s="24">
        <v>4</v>
      </c>
      <c r="H41" s="24">
        <v>5</v>
      </c>
      <c r="I41" s="24">
        <v>6</v>
      </c>
      <c r="J41" s="24">
        <v>7</v>
      </c>
      <c r="K41" s="135">
        <v>8</v>
      </c>
      <c r="L41" s="136">
        <v>9</v>
      </c>
      <c r="M41" s="137"/>
      <c r="N41" s="138"/>
      <c r="O41" s="139">
        <v>10</v>
      </c>
      <c r="P41" s="140">
        <v>11</v>
      </c>
      <c r="Q41" s="236">
        <v>12</v>
      </c>
      <c r="R41" s="236"/>
      <c r="S41" s="236"/>
      <c r="T41" s="139">
        <v>13</v>
      </c>
      <c r="U41" s="237">
        <v>14</v>
      </c>
      <c r="V41" s="140">
        <v>15</v>
      </c>
      <c r="W41" s="137">
        <v>16</v>
      </c>
      <c r="X41" s="138"/>
    </row>
    <row r="42" ht="21" customHeight="1" spans="1:24">
      <c r="A42" s="73" t="s">
        <v>963</v>
      </c>
      <c r="B42" s="74"/>
      <c r="C42" s="75">
        <v>60</v>
      </c>
      <c r="D42" s="76">
        <v>59</v>
      </c>
      <c r="E42" s="76">
        <v>58</v>
      </c>
      <c r="F42" s="76">
        <v>57</v>
      </c>
      <c r="G42" s="76">
        <v>55</v>
      </c>
      <c r="H42" s="76">
        <v>53</v>
      </c>
      <c r="I42" s="76">
        <v>51</v>
      </c>
      <c r="J42" s="76">
        <v>48</v>
      </c>
      <c r="K42" s="182">
        <v>45</v>
      </c>
      <c r="L42" s="183"/>
      <c r="M42" s="159">
        <v>42</v>
      </c>
      <c r="N42" s="184"/>
      <c r="O42" s="161">
        <v>39</v>
      </c>
      <c r="P42" s="162">
        <v>36</v>
      </c>
      <c r="Q42" s="184"/>
      <c r="R42" s="247">
        <v>33</v>
      </c>
      <c r="S42" s="184"/>
      <c r="T42" s="161">
        <v>30</v>
      </c>
      <c r="U42" s="248">
        <v>27</v>
      </c>
      <c r="V42" s="162">
        <v>24</v>
      </c>
      <c r="W42" s="261"/>
      <c r="X42" s="250">
        <v>21</v>
      </c>
    </row>
    <row r="43" ht="21" customHeight="1" spans="1:24">
      <c r="A43" s="25" t="s">
        <v>964</v>
      </c>
      <c r="B43" s="26"/>
      <c r="C43" s="113">
        <v>60</v>
      </c>
      <c r="D43" s="307">
        <v>59</v>
      </c>
      <c r="E43" s="307">
        <v>58</v>
      </c>
      <c r="F43" s="307">
        <v>57</v>
      </c>
      <c r="G43" s="307">
        <v>55</v>
      </c>
      <c r="H43" s="307">
        <v>53</v>
      </c>
      <c r="I43" s="307">
        <v>51</v>
      </c>
      <c r="J43" s="307">
        <v>48</v>
      </c>
      <c r="K43" s="312">
        <v>45</v>
      </c>
      <c r="L43" s="154"/>
      <c r="M43" s="155">
        <v>42</v>
      </c>
      <c r="N43" s="156"/>
      <c r="O43" s="145">
        <v>39</v>
      </c>
      <c r="P43" s="146">
        <v>36</v>
      </c>
      <c r="Q43" s="156"/>
      <c r="R43" s="238">
        <v>33</v>
      </c>
      <c r="S43" s="156"/>
      <c r="T43" s="145">
        <v>30</v>
      </c>
      <c r="U43" s="239">
        <v>27</v>
      </c>
      <c r="V43" s="423">
        <v>24</v>
      </c>
      <c r="W43" s="424"/>
      <c r="X43" s="425">
        <v>21</v>
      </c>
    </row>
    <row r="44" ht="21" customHeight="1" spans="1:24">
      <c r="A44" s="347" t="s">
        <v>965</v>
      </c>
      <c r="B44" s="347"/>
      <c r="C44" s="347"/>
      <c r="D44" s="347"/>
      <c r="E44" s="347"/>
      <c r="F44" s="347"/>
      <c r="G44" s="347"/>
      <c r="H44" s="347"/>
      <c r="I44" s="347"/>
      <c r="J44" s="347"/>
      <c r="K44" s="347"/>
      <c r="L44" s="347"/>
      <c r="M44" s="347"/>
      <c r="N44" s="347"/>
      <c r="O44" s="347"/>
      <c r="P44" s="347"/>
      <c r="Q44" s="347"/>
      <c r="R44" s="347"/>
      <c r="S44" s="347"/>
      <c r="T44" s="347"/>
      <c r="U44" s="347"/>
      <c r="V44" s="347"/>
      <c r="W44" s="347"/>
      <c r="X44" s="347"/>
    </row>
    <row r="45" ht="21" customHeight="1" spans="1:24">
      <c r="A45" s="45"/>
      <c r="B45" s="46"/>
      <c r="C45" s="46"/>
      <c r="D45" s="46"/>
      <c r="E45" s="46"/>
      <c r="F45" s="46"/>
      <c r="G45" s="46"/>
      <c r="H45" s="46"/>
      <c r="I45" s="46"/>
      <c r="J45" s="106"/>
      <c r="K45" s="106"/>
      <c r="L45" s="106"/>
      <c r="M45" s="106"/>
      <c r="N45" s="106"/>
      <c r="O45" s="106"/>
      <c r="P45" s="106"/>
      <c r="Q45" s="106"/>
      <c r="R45" s="106"/>
      <c r="S45" s="106"/>
      <c r="T45" s="106"/>
      <c r="U45" s="106"/>
      <c r="V45" s="106"/>
      <c r="W45" s="46"/>
      <c r="X45" s="252"/>
    </row>
    <row r="46" ht="44" customHeight="1" spans="1:24">
      <c r="A46" s="14"/>
      <c r="B46" s="15" t="str">
        <f>_xlfn.DISPIMG("ID_71A951DC54204143B32F56F9591C9663",1)</f>
        <v>=DISPIMG("ID_71A951DC54204143B32F56F9591C9663",1)</v>
      </c>
      <c r="C46" s="15" t="str">
        <f>_xlfn.DISPIMG("ID_47A814DAD85047949BFD81A39E6CD865",1)</f>
        <v>=DISPIMG("ID_47A814DAD85047949BFD81A39E6CD865",1)</v>
      </c>
      <c r="D46" s="15" t="str">
        <f>_xlfn.DISPIMG("ID_02E81D06E1C849C38D65A1D66A114F8A",1)</f>
        <v>=DISPIMG("ID_02E81D06E1C849C38D65A1D66A114F8A",1)</v>
      </c>
      <c r="E46" s="348" t="str">
        <f>_xlfn.DISPIMG("ID_424EB2CE29864A1499D952FA005102BA",1)</f>
        <v>=DISPIMG("ID_424EB2CE29864A1499D952FA005102BA",1)</v>
      </c>
      <c r="F46" s="349"/>
      <c r="G46" s="350" t="s">
        <v>966</v>
      </c>
      <c r="H46" s="351"/>
      <c r="I46" s="351"/>
      <c r="J46" s="351"/>
      <c r="K46" s="351"/>
      <c r="L46" s="351"/>
      <c r="M46" s="351"/>
      <c r="N46" s="351"/>
      <c r="O46" s="389"/>
      <c r="P46" s="353"/>
      <c r="Q46" s="354"/>
      <c r="R46" s="354"/>
      <c r="S46" s="354"/>
      <c r="T46" s="354"/>
      <c r="U46" s="354"/>
      <c r="V46" s="354"/>
      <c r="W46" s="354"/>
      <c r="X46" s="355"/>
    </row>
    <row r="47" ht="21" customHeight="1" spans="1:24">
      <c r="A47" s="45"/>
      <c r="B47" s="46"/>
      <c r="C47" s="46"/>
      <c r="D47" s="46"/>
      <c r="E47" s="46"/>
      <c r="F47" s="46"/>
      <c r="G47" s="46"/>
      <c r="H47" s="46"/>
      <c r="I47" s="46"/>
      <c r="J47" s="106"/>
      <c r="K47" s="106"/>
      <c r="L47" s="106"/>
      <c r="M47" s="106"/>
      <c r="N47" s="106"/>
      <c r="O47" s="106"/>
      <c r="P47" s="106"/>
      <c r="Q47" s="106"/>
      <c r="R47" s="106"/>
      <c r="S47" s="106"/>
      <c r="T47" s="106"/>
      <c r="U47" s="106"/>
      <c r="V47" s="106"/>
      <c r="W47" s="46"/>
      <c r="X47" s="252"/>
    </row>
    <row r="48" ht="21" customHeight="1" spans="1:24">
      <c r="A48" s="21" t="s">
        <v>288</v>
      </c>
      <c r="B48" s="22"/>
      <c r="C48" s="23">
        <v>0</v>
      </c>
      <c r="D48" s="24">
        <v>1</v>
      </c>
      <c r="E48" s="24">
        <v>2</v>
      </c>
      <c r="F48" s="24">
        <v>3</v>
      </c>
      <c r="G48" s="24">
        <v>4</v>
      </c>
      <c r="H48" s="24">
        <v>5</v>
      </c>
      <c r="I48" s="24">
        <v>6</v>
      </c>
      <c r="J48" s="24">
        <v>7</v>
      </c>
      <c r="K48" s="135">
        <v>8</v>
      </c>
      <c r="L48" s="136">
        <v>9</v>
      </c>
      <c r="M48" s="137"/>
      <c r="N48" s="138"/>
      <c r="O48" s="139">
        <v>10</v>
      </c>
      <c r="P48" s="140">
        <v>11</v>
      </c>
      <c r="Q48" s="236">
        <v>12</v>
      </c>
      <c r="R48" s="236"/>
      <c r="S48" s="236"/>
      <c r="T48" s="139">
        <v>13</v>
      </c>
      <c r="U48" s="237">
        <v>14</v>
      </c>
      <c r="V48" s="140">
        <v>15</v>
      </c>
      <c r="W48" s="137">
        <v>16</v>
      </c>
      <c r="X48" s="138"/>
    </row>
    <row r="49" ht="21" customHeight="1" spans="1:24">
      <c r="A49" s="128" t="s">
        <v>967</v>
      </c>
      <c r="B49" s="129"/>
      <c r="C49" s="110">
        <v>60</v>
      </c>
      <c r="D49" s="130">
        <v>59</v>
      </c>
      <c r="E49" s="130">
        <v>58</v>
      </c>
      <c r="F49" s="130">
        <v>57</v>
      </c>
      <c r="G49" s="130">
        <v>56</v>
      </c>
      <c r="H49" s="130">
        <v>55</v>
      </c>
      <c r="I49" s="130">
        <v>54</v>
      </c>
      <c r="J49" s="130">
        <v>53</v>
      </c>
      <c r="K49" s="221">
        <v>52</v>
      </c>
      <c r="L49" s="212"/>
      <c r="M49" s="222">
        <v>50</v>
      </c>
      <c r="N49" s="214"/>
      <c r="O49" s="223">
        <v>48</v>
      </c>
      <c r="P49" s="224">
        <v>45</v>
      </c>
      <c r="Q49" s="214"/>
      <c r="R49" s="297">
        <v>40</v>
      </c>
      <c r="S49" s="214"/>
      <c r="T49" s="223">
        <v>35</v>
      </c>
      <c r="U49" s="298">
        <v>30</v>
      </c>
      <c r="V49" s="224">
        <v>25</v>
      </c>
      <c r="W49" s="291"/>
      <c r="X49" s="299">
        <v>20</v>
      </c>
    </row>
    <row r="50" ht="21" customHeight="1" spans="1:24">
      <c r="A50" s="25" t="s">
        <v>968</v>
      </c>
      <c r="B50" s="26"/>
      <c r="C50" s="113">
        <v>60</v>
      </c>
      <c r="D50" s="307">
        <v>59</v>
      </c>
      <c r="E50" s="307">
        <v>58</v>
      </c>
      <c r="F50" s="307">
        <v>57</v>
      </c>
      <c r="G50" s="307">
        <v>56</v>
      </c>
      <c r="H50" s="307">
        <v>55</v>
      </c>
      <c r="I50" s="307">
        <v>54</v>
      </c>
      <c r="J50" s="307">
        <v>53</v>
      </c>
      <c r="K50" s="312">
        <v>52</v>
      </c>
      <c r="L50" s="185"/>
      <c r="M50" s="143">
        <v>50</v>
      </c>
      <c r="N50" s="187"/>
      <c r="O50" s="145">
        <v>48</v>
      </c>
      <c r="P50" s="146">
        <v>45</v>
      </c>
      <c r="Q50" s="187"/>
      <c r="R50" s="238">
        <v>40</v>
      </c>
      <c r="S50" s="187"/>
      <c r="T50" s="145">
        <v>35</v>
      </c>
      <c r="U50" s="239">
        <v>30</v>
      </c>
      <c r="V50" s="146">
        <v>25</v>
      </c>
      <c r="W50" s="264"/>
      <c r="X50" s="241">
        <v>20</v>
      </c>
    </row>
    <row r="51" ht="21" customHeight="1" spans="1:24">
      <c r="A51" s="128" t="s">
        <v>969</v>
      </c>
      <c r="B51" s="129"/>
      <c r="C51" s="110">
        <v>60</v>
      </c>
      <c r="D51" s="130">
        <v>59</v>
      </c>
      <c r="E51" s="130">
        <v>58</v>
      </c>
      <c r="F51" s="130">
        <v>57</v>
      </c>
      <c r="G51" s="130">
        <v>56</v>
      </c>
      <c r="H51" s="130">
        <v>55</v>
      </c>
      <c r="I51" s="130">
        <v>54</v>
      </c>
      <c r="J51" s="130">
        <v>53</v>
      </c>
      <c r="K51" s="221">
        <v>52</v>
      </c>
      <c r="L51" s="212"/>
      <c r="M51" s="222">
        <v>50</v>
      </c>
      <c r="N51" s="214"/>
      <c r="O51" s="223">
        <v>48</v>
      </c>
      <c r="P51" s="224">
        <v>46</v>
      </c>
      <c r="Q51" s="214"/>
      <c r="R51" s="297">
        <v>41</v>
      </c>
      <c r="S51" s="214"/>
      <c r="T51" s="223">
        <v>36</v>
      </c>
      <c r="U51" s="298">
        <v>31</v>
      </c>
      <c r="V51" s="224">
        <v>26</v>
      </c>
      <c r="W51" s="291"/>
      <c r="X51" s="299">
        <v>21</v>
      </c>
    </row>
    <row r="52" ht="21" customHeight="1" spans="1:24">
      <c r="A52" s="25" t="s">
        <v>970</v>
      </c>
      <c r="B52" s="26"/>
      <c r="C52" s="113">
        <v>50</v>
      </c>
      <c r="D52" s="307">
        <v>48</v>
      </c>
      <c r="E52" s="307">
        <v>46</v>
      </c>
      <c r="F52" s="307">
        <v>44</v>
      </c>
      <c r="G52" s="307">
        <v>42</v>
      </c>
      <c r="H52" s="307">
        <v>40</v>
      </c>
      <c r="I52" s="307">
        <v>38</v>
      </c>
      <c r="J52" s="307">
        <v>35</v>
      </c>
      <c r="K52" s="312">
        <v>32</v>
      </c>
      <c r="L52" s="185"/>
      <c r="M52" s="143">
        <v>29</v>
      </c>
      <c r="N52" s="187"/>
      <c r="O52" s="145">
        <v>26</v>
      </c>
      <c r="P52" s="146">
        <v>23</v>
      </c>
      <c r="Q52" s="187"/>
      <c r="R52" s="238">
        <v>20</v>
      </c>
      <c r="S52" s="187"/>
      <c r="T52" s="145">
        <v>17</v>
      </c>
      <c r="U52" s="239">
        <v>14</v>
      </c>
      <c r="V52" s="146">
        <v>11</v>
      </c>
      <c r="W52" s="264"/>
      <c r="X52" s="241">
        <v>7</v>
      </c>
    </row>
    <row r="53" ht="21" customHeight="1" spans="1:24">
      <c r="A53" s="59" t="s">
        <v>586</v>
      </c>
      <c r="B53" s="60"/>
      <c r="C53" s="61">
        <v>0</v>
      </c>
      <c r="D53" s="62">
        <v>1</v>
      </c>
      <c r="E53" s="62">
        <v>2</v>
      </c>
      <c r="F53" s="63">
        <v>3</v>
      </c>
      <c r="G53" s="62">
        <v>4</v>
      </c>
      <c r="H53" s="64">
        <v>5</v>
      </c>
      <c r="I53" s="62">
        <v>6</v>
      </c>
      <c r="J53" s="174">
        <v>7</v>
      </c>
      <c r="K53" s="175">
        <v>8</v>
      </c>
      <c r="L53" s="390"/>
      <c r="M53" s="391"/>
      <c r="N53" s="391"/>
      <c r="O53" s="391"/>
      <c r="P53" s="391"/>
      <c r="Q53" s="391"/>
      <c r="R53" s="391"/>
      <c r="S53" s="391"/>
      <c r="T53" s="391"/>
      <c r="U53" s="391"/>
      <c r="V53" s="391"/>
      <c r="W53" s="391"/>
      <c r="X53" s="426"/>
    </row>
    <row r="54" ht="21" customHeight="1" spans="1:24">
      <c r="A54" s="65" t="s">
        <v>971</v>
      </c>
      <c r="B54" s="65"/>
      <c r="C54" s="66">
        <v>10</v>
      </c>
      <c r="D54" s="67">
        <v>9.5</v>
      </c>
      <c r="E54" s="67">
        <v>9</v>
      </c>
      <c r="F54" s="93">
        <v>8</v>
      </c>
      <c r="G54" s="67">
        <v>7</v>
      </c>
      <c r="H54" s="69">
        <v>6</v>
      </c>
      <c r="I54" s="67">
        <v>5</v>
      </c>
      <c r="J54" s="178">
        <v>4</v>
      </c>
      <c r="K54" s="378">
        <v>3</v>
      </c>
      <c r="L54" s="392" t="s">
        <v>972</v>
      </c>
      <c r="M54" s="393"/>
      <c r="N54" s="393"/>
      <c r="O54" s="393"/>
      <c r="P54" s="393"/>
      <c r="Q54" s="393"/>
      <c r="R54" s="393"/>
      <c r="S54" s="393"/>
      <c r="T54" s="393"/>
      <c r="U54" s="393"/>
      <c r="V54" s="393"/>
      <c r="W54" s="393"/>
      <c r="X54" s="427"/>
    </row>
    <row r="55" ht="21" customHeight="1" spans="1:24">
      <c r="A55" s="25" t="s">
        <v>973</v>
      </c>
      <c r="B55" s="25"/>
      <c r="C55" s="89">
        <v>10</v>
      </c>
      <c r="D55" s="90">
        <v>11</v>
      </c>
      <c r="E55" s="90">
        <v>12</v>
      </c>
      <c r="F55" s="91">
        <v>13</v>
      </c>
      <c r="G55" s="90">
        <v>14</v>
      </c>
      <c r="H55" s="92">
        <v>15</v>
      </c>
      <c r="I55" s="90">
        <v>16</v>
      </c>
      <c r="J55" s="206">
        <v>18</v>
      </c>
      <c r="K55" s="207">
        <v>21</v>
      </c>
      <c r="L55" s="394" t="s">
        <v>974</v>
      </c>
      <c r="M55" s="395"/>
      <c r="N55" s="395"/>
      <c r="O55" s="395"/>
      <c r="P55" s="395"/>
      <c r="Q55" s="395"/>
      <c r="R55" s="395"/>
      <c r="S55" s="395"/>
      <c r="T55" s="395"/>
      <c r="U55" s="395"/>
      <c r="V55" s="395"/>
      <c r="W55" s="395"/>
      <c r="X55" s="428"/>
    </row>
    <row r="56" ht="21" customHeight="1" spans="1:24">
      <c r="A56" s="65" t="s">
        <v>975</v>
      </c>
      <c r="B56" s="65"/>
      <c r="C56" s="66">
        <v>5</v>
      </c>
      <c r="D56" s="67">
        <v>6</v>
      </c>
      <c r="E56" s="67">
        <v>7</v>
      </c>
      <c r="F56" s="93">
        <v>8</v>
      </c>
      <c r="G56" s="67">
        <v>9</v>
      </c>
      <c r="H56" s="69">
        <v>10</v>
      </c>
      <c r="I56" s="67">
        <v>11</v>
      </c>
      <c r="J56" s="178">
        <v>12</v>
      </c>
      <c r="K56" s="378">
        <v>15</v>
      </c>
      <c r="L56" s="394" t="s">
        <v>976</v>
      </c>
      <c r="M56" s="395"/>
      <c r="N56" s="395"/>
      <c r="O56" s="395"/>
      <c r="P56" s="395"/>
      <c r="Q56" s="395"/>
      <c r="R56" s="395"/>
      <c r="S56" s="395"/>
      <c r="T56" s="395"/>
      <c r="U56" s="395"/>
      <c r="V56" s="395"/>
      <c r="W56" s="395"/>
      <c r="X56" s="428"/>
    </row>
    <row r="57" ht="21" customHeight="1" spans="1:24">
      <c r="A57" s="352" t="s">
        <v>977</v>
      </c>
      <c r="B57" s="352"/>
      <c r="C57" s="352"/>
      <c r="D57" s="352"/>
      <c r="E57" s="352"/>
      <c r="F57" s="352"/>
      <c r="G57" s="352"/>
      <c r="H57" s="352"/>
      <c r="I57" s="352"/>
      <c r="J57" s="352"/>
      <c r="K57" s="352"/>
      <c r="L57" s="352"/>
      <c r="M57" s="352"/>
      <c r="N57" s="352"/>
      <c r="O57" s="352"/>
      <c r="P57" s="352"/>
      <c r="Q57" s="352"/>
      <c r="R57" s="352"/>
      <c r="S57" s="352"/>
      <c r="T57" s="352"/>
      <c r="U57" s="352"/>
      <c r="V57" s="352"/>
      <c r="W57" s="352"/>
      <c r="X57" s="352"/>
    </row>
    <row r="58" ht="21" customHeight="1" spans="1:24">
      <c r="A58" s="45"/>
      <c r="B58" s="46"/>
      <c r="C58" s="46"/>
      <c r="D58" s="46"/>
      <c r="E58" s="46"/>
      <c r="F58" s="46"/>
      <c r="G58" s="46"/>
      <c r="H58" s="46"/>
      <c r="I58" s="46"/>
      <c r="J58" s="106"/>
      <c r="K58" s="106"/>
      <c r="L58" s="106"/>
      <c r="M58" s="106"/>
      <c r="N58" s="106"/>
      <c r="O58" s="106"/>
      <c r="P58" s="106"/>
      <c r="Q58" s="106"/>
      <c r="R58" s="106"/>
      <c r="S58" s="106"/>
      <c r="T58" s="106"/>
      <c r="U58" s="106"/>
      <c r="V58" s="106"/>
      <c r="W58" s="106"/>
      <c r="X58" s="286"/>
    </row>
    <row r="59" ht="44" customHeight="1" spans="1:24">
      <c r="A59" s="353" t="str">
        <f>_xlfn.DISPIMG("ID_EE3DB8B00CCE48A79AE73A08F132BC93",1)</f>
        <v>=DISPIMG("ID_EE3DB8B00CCE48A79AE73A08F132BC93",1)</v>
      </c>
      <c r="B59" s="354"/>
      <c r="C59" s="354"/>
      <c r="D59" s="354"/>
      <c r="E59" s="354"/>
      <c r="F59" s="355"/>
      <c r="G59" s="356" t="s">
        <v>978</v>
      </c>
      <c r="H59" s="357"/>
      <c r="I59" s="357"/>
      <c r="J59" s="357"/>
      <c r="K59" s="357"/>
      <c r="L59" s="357"/>
      <c r="M59" s="357"/>
      <c r="N59" s="357"/>
      <c r="O59" s="396"/>
      <c r="P59" s="353"/>
      <c r="Q59" s="354"/>
      <c r="R59" s="354"/>
      <c r="S59" s="354"/>
      <c r="T59" s="354"/>
      <c r="U59" s="354"/>
      <c r="V59" s="354"/>
      <c r="W59" s="354"/>
      <c r="X59" s="355"/>
    </row>
    <row r="60" ht="21" customHeight="1" spans="1:24">
      <c r="A60" s="19"/>
      <c r="B60" s="20"/>
      <c r="C60" s="20"/>
      <c r="D60" s="20"/>
      <c r="E60" s="20"/>
      <c r="F60" s="20"/>
      <c r="G60" s="20"/>
      <c r="H60" s="20"/>
      <c r="I60" s="20"/>
      <c r="J60" s="20"/>
      <c r="K60" s="20"/>
      <c r="L60" s="20"/>
      <c r="M60" s="20"/>
      <c r="N60" s="20"/>
      <c r="O60" s="20"/>
      <c r="P60" s="20"/>
      <c r="Q60" s="20"/>
      <c r="R60" s="20"/>
      <c r="S60" s="20"/>
      <c r="T60" s="20"/>
      <c r="U60" s="20"/>
      <c r="V60" s="20"/>
      <c r="W60" s="20"/>
      <c r="X60" s="235"/>
    </row>
    <row r="61" ht="21" spans="1:24">
      <c r="A61" s="21" t="s">
        <v>288</v>
      </c>
      <c r="B61" s="22"/>
      <c r="C61" s="23">
        <v>0</v>
      </c>
      <c r="D61" s="24">
        <v>1</v>
      </c>
      <c r="E61" s="24">
        <v>2</v>
      </c>
      <c r="F61" s="24">
        <v>3</v>
      </c>
      <c r="G61" s="24">
        <v>4</v>
      </c>
      <c r="H61" s="24">
        <v>5</v>
      </c>
      <c r="I61" s="24">
        <v>6</v>
      </c>
      <c r="J61" s="24">
        <v>7</v>
      </c>
      <c r="K61" s="135">
        <v>8</v>
      </c>
      <c r="L61" s="136">
        <v>9</v>
      </c>
      <c r="M61" s="137"/>
      <c r="N61" s="138"/>
      <c r="O61" s="139">
        <v>10</v>
      </c>
      <c r="P61" s="140">
        <v>11</v>
      </c>
      <c r="Q61" s="236">
        <v>12</v>
      </c>
      <c r="R61" s="236"/>
      <c r="S61" s="236"/>
      <c r="T61" s="139">
        <v>13</v>
      </c>
      <c r="U61" s="237">
        <v>14</v>
      </c>
      <c r="V61" s="140">
        <v>15</v>
      </c>
      <c r="W61" s="137">
        <v>16</v>
      </c>
      <c r="X61" s="138"/>
    </row>
    <row r="62" ht="21" customHeight="1" spans="1:24">
      <c r="A62" s="358" t="s">
        <v>979</v>
      </c>
      <c r="B62" s="283"/>
      <c r="C62" s="359">
        <v>47</v>
      </c>
      <c r="D62" s="360">
        <v>45</v>
      </c>
      <c r="E62" s="360">
        <v>43</v>
      </c>
      <c r="F62" s="360">
        <v>41</v>
      </c>
      <c r="G62" s="360">
        <v>39</v>
      </c>
      <c r="H62" s="360">
        <v>37</v>
      </c>
      <c r="I62" s="360">
        <v>35</v>
      </c>
      <c r="J62" s="360">
        <v>33</v>
      </c>
      <c r="K62" s="397">
        <v>31</v>
      </c>
      <c r="L62" s="398"/>
      <c r="M62" s="399">
        <v>29</v>
      </c>
      <c r="N62" s="400"/>
      <c r="O62" s="401">
        <v>26</v>
      </c>
      <c r="P62" s="402">
        <v>23</v>
      </c>
      <c r="Q62" s="400"/>
      <c r="R62" s="429">
        <v>20</v>
      </c>
      <c r="S62" s="400"/>
      <c r="T62" s="401">
        <v>17</v>
      </c>
      <c r="U62" s="430">
        <v>14</v>
      </c>
      <c r="V62" s="402">
        <v>11</v>
      </c>
      <c r="W62" s="431"/>
      <c r="X62" s="432">
        <v>8</v>
      </c>
    </row>
    <row r="63" ht="20.25" spans="1:24">
      <c r="A63" s="227" t="s">
        <v>980</v>
      </c>
      <c r="B63" s="228"/>
      <c r="C63" s="228"/>
      <c r="D63" s="228"/>
      <c r="E63" s="228"/>
      <c r="F63" s="228"/>
      <c r="G63" s="228"/>
      <c r="H63" s="228"/>
      <c r="I63" s="228"/>
      <c r="J63" s="228"/>
      <c r="K63" s="228"/>
      <c r="L63" s="228"/>
      <c r="M63" s="228"/>
      <c r="N63" s="228"/>
      <c r="O63" s="228"/>
      <c r="P63" s="228"/>
      <c r="Q63" s="228"/>
      <c r="R63" s="228"/>
      <c r="S63" s="228"/>
      <c r="T63" s="228"/>
      <c r="U63" s="228"/>
      <c r="V63" s="228"/>
      <c r="W63" s="228"/>
      <c r="X63" s="301"/>
    </row>
    <row r="64" ht="19.5" spans="1:24">
      <c r="A64" s="45"/>
      <c r="B64" s="46"/>
      <c r="C64" s="46"/>
      <c r="D64" s="46"/>
      <c r="E64" s="46"/>
      <c r="F64" s="46"/>
      <c r="G64" s="46"/>
      <c r="H64" s="46"/>
      <c r="I64" s="46"/>
      <c r="J64" s="106"/>
      <c r="K64" s="106"/>
      <c r="L64" s="106"/>
      <c r="M64" s="106"/>
      <c r="N64" s="106"/>
      <c r="O64" s="106"/>
      <c r="P64" s="106"/>
      <c r="Q64" s="106"/>
      <c r="R64" s="106"/>
      <c r="S64" s="106"/>
      <c r="T64" s="106"/>
      <c r="U64" s="106"/>
      <c r="V64" s="106"/>
      <c r="W64" s="46"/>
      <c r="X64" s="252"/>
    </row>
    <row r="65" ht="44" customHeight="1" spans="1:24">
      <c r="A65" s="14"/>
      <c r="B65" s="15" t="str">
        <f>_xlfn.DISPIMG("ID_C1758B572F6C4C9C8389E1865A8505FE",1)</f>
        <v>=DISPIMG("ID_C1758B572F6C4C9C8389E1865A8505FE",1)</v>
      </c>
      <c r="C65" s="15" t="str">
        <f>_xlfn.DISPIMG("ID_B5599312208741DA8B59570CEDFB9717",1)</f>
        <v>=DISPIMG("ID_B5599312208741DA8B59570CEDFB9717",1)</v>
      </c>
      <c r="D65" s="15" t="str">
        <f>_xlfn.DISPIMG("ID_018E24F59C304A258F3B35823074AB72",1)</f>
        <v>=DISPIMG("ID_018E24F59C304A258F3B35823074AB72",1)</v>
      </c>
      <c r="E65" s="15"/>
      <c r="F65" s="16"/>
      <c r="G65" s="433" t="s">
        <v>981</v>
      </c>
      <c r="H65" s="434"/>
      <c r="I65" s="434"/>
      <c r="J65" s="434"/>
      <c r="K65" s="434"/>
      <c r="L65" s="434"/>
      <c r="M65" s="434"/>
      <c r="N65" s="434"/>
      <c r="O65" s="441"/>
      <c r="P65" s="134"/>
      <c r="Q65" s="233"/>
      <c r="R65" s="233"/>
      <c r="S65" s="233"/>
      <c r="T65" s="233"/>
      <c r="U65" s="233"/>
      <c r="V65" s="233"/>
      <c r="W65" s="233"/>
      <c r="X65" s="234"/>
    </row>
    <row r="66" ht="19.5" spans="1:24">
      <c r="A66" s="19"/>
      <c r="B66" s="20"/>
      <c r="C66" s="20"/>
      <c r="D66" s="20"/>
      <c r="E66" s="20"/>
      <c r="F66" s="20"/>
      <c r="G66" s="20"/>
      <c r="H66" s="20"/>
      <c r="I66" s="20"/>
      <c r="J66" s="20"/>
      <c r="K66" s="20"/>
      <c r="L66" s="20"/>
      <c r="M66" s="20"/>
      <c r="N66" s="20"/>
      <c r="O66" s="20"/>
      <c r="P66" s="20"/>
      <c r="Q66" s="20"/>
      <c r="R66" s="20"/>
      <c r="S66" s="20"/>
      <c r="T66" s="20"/>
      <c r="U66" s="20"/>
      <c r="V66" s="20"/>
      <c r="W66" s="20"/>
      <c r="X66" s="235"/>
    </row>
    <row r="67" ht="21" customHeight="1" spans="1:24">
      <c r="A67" s="21" t="s">
        <v>250</v>
      </c>
      <c r="B67" s="22"/>
      <c r="C67" s="23">
        <v>0</v>
      </c>
      <c r="D67" s="24">
        <v>1</v>
      </c>
      <c r="E67" s="24">
        <v>2</v>
      </c>
      <c r="F67" s="24">
        <v>3</v>
      </c>
      <c r="G67" s="24">
        <v>4</v>
      </c>
      <c r="H67" s="24">
        <v>5</v>
      </c>
      <c r="I67" s="24">
        <v>6</v>
      </c>
      <c r="J67" s="24">
        <v>7</v>
      </c>
      <c r="K67" s="135">
        <v>8</v>
      </c>
      <c r="L67" s="136">
        <v>9</v>
      </c>
      <c r="M67" s="137"/>
      <c r="N67" s="138"/>
      <c r="O67" s="139">
        <v>10</v>
      </c>
      <c r="P67" s="140">
        <v>11</v>
      </c>
      <c r="Q67" s="236">
        <v>12</v>
      </c>
      <c r="R67" s="236"/>
      <c r="S67" s="236"/>
      <c r="T67" s="139">
        <v>13</v>
      </c>
      <c r="U67" s="237">
        <v>14</v>
      </c>
      <c r="V67" s="140">
        <v>15</v>
      </c>
      <c r="W67" s="137">
        <v>16</v>
      </c>
      <c r="X67" s="138"/>
    </row>
    <row r="68" ht="21" customHeight="1" spans="1:24">
      <c r="A68" s="73" t="s">
        <v>982</v>
      </c>
      <c r="B68" s="74"/>
      <c r="C68" s="75">
        <v>50</v>
      </c>
      <c r="D68" s="76">
        <v>70</v>
      </c>
      <c r="E68" s="76">
        <v>90</v>
      </c>
      <c r="F68" s="76">
        <v>110</v>
      </c>
      <c r="G68" s="76">
        <v>130</v>
      </c>
      <c r="H68" s="76">
        <v>150</v>
      </c>
      <c r="I68" s="76">
        <v>170</v>
      </c>
      <c r="J68" s="76">
        <v>200</v>
      </c>
      <c r="K68" s="182">
        <v>230</v>
      </c>
      <c r="L68" s="183"/>
      <c r="M68" s="159">
        <v>260</v>
      </c>
      <c r="N68" s="184"/>
      <c r="O68" s="161">
        <v>300</v>
      </c>
      <c r="P68" s="162">
        <v>340</v>
      </c>
      <c r="Q68" s="184"/>
      <c r="R68" s="247">
        <v>380</v>
      </c>
      <c r="S68" s="184"/>
      <c r="T68" s="161">
        <v>420</v>
      </c>
      <c r="U68" s="248">
        <v>460</v>
      </c>
      <c r="V68" s="162">
        <v>500</v>
      </c>
      <c r="W68" s="261"/>
      <c r="X68" s="250">
        <v>540</v>
      </c>
    </row>
    <row r="69" ht="21" customHeight="1" spans="1:24">
      <c r="A69" s="25" t="s">
        <v>983</v>
      </c>
      <c r="B69" s="26"/>
      <c r="C69" s="113">
        <v>50</v>
      </c>
      <c r="D69" s="307">
        <v>70</v>
      </c>
      <c r="E69" s="307">
        <v>90</v>
      </c>
      <c r="F69" s="307">
        <v>110</v>
      </c>
      <c r="G69" s="307">
        <v>130</v>
      </c>
      <c r="H69" s="307">
        <v>150</v>
      </c>
      <c r="I69" s="307">
        <v>170</v>
      </c>
      <c r="J69" s="307">
        <v>200</v>
      </c>
      <c r="K69" s="312">
        <v>230</v>
      </c>
      <c r="L69" s="154"/>
      <c r="M69" s="155">
        <v>260</v>
      </c>
      <c r="N69" s="156"/>
      <c r="O69" s="145">
        <v>300</v>
      </c>
      <c r="P69" s="146">
        <v>340</v>
      </c>
      <c r="Q69" s="156"/>
      <c r="R69" s="238">
        <v>380</v>
      </c>
      <c r="S69" s="156"/>
      <c r="T69" s="145">
        <v>420</v>
      </c>
      <c r="U69" s="239">
        <v>460</v>
      </c>
      <c r="V69" s="146">
        <v>500</v>
      </c>
      <c r="W69" s="246"/>
      <c r="X69" s="241">
        <v>540</v>
      </c>
    </row>
    <row r="70" ht="21" customHeight="1" spans="1:24">
      <c r="A70" s="73" t="s">
        <v>984</v>
      </c>
      <c r="B70" s="74"/>
      <c r="C70" s="75">
        <v>50</v>
      </c>
      <c r="D70" s="76">
        <v>70</v>
      </c>
      <c r="E70" s="76">
        <v>90</v>
      </c>
      <c r="F70" s="76">
        <v>110</v>
      </c>
      <c r="G70" s="76">
        <v>130</v>
      </c>
      <c r="H70" s="76">
        <v>150</v>
      </c>
      <c r="I70" s="76">
        <v>170</v>
      </c>
      <c r="J70" s="76">
        <v>200</v>
      </c>
      <c r="K70" s="182">
        <v>230</v>
      </c>
      <c r="L70" s="183"/>
      <c r="M70" s="159">
        <v>260</v>
      </c>
      <c r="N70" s="184"/>
      <c r="O70" s="161">
        <v>300</v>
      </c>
      <c r="P70" s="162">
        <v>340</v>
      </c>
      <c r="Q70" s="184"/>
      <c r="R70" s="247">
        <v>380</v>
      </c>
      <c r="S70" s="184"/>
      <c r="T70" s="161">
        <v>420</v>
      </c>
      <c r="U70" s="248">
        <v>460</v>
      </c>
      <c r="V70" s="162">
        <v>500</v>
      </c>
      <c r="W70" s="261"/>
      <c r="X70" s="250">
        <v>540</v>
      </c>
    </row>
    <row r="71" ht="21" customHeight="1" spans="1:24">
      <c r="A71" s="25" t="s">
        <v>985</v>
      </c>
      <c r="B71" s="25"/>
      <c r="C71" s="41">
        <v>30</v>
      </c>
      <c r="D71" s="42">
        <v>28</v>
      </c>
      <c r="E71" s="42">
        <v>26</v>
      </c>
      <c r="F71" s="43">
        <v>24</v>
      </c>
      <c r="G71" s="42">
        <v>22</v>
      </c>
      <c r="H71" s="44">
        <v>20</v>
      </c>
      <c r="I71" s="42">
        <v>18</v>
      </c>
      <c r="J71" s="163">
        <v>15</v>
      </c>
      <c r="K71" s="164">
        <v>12</v>
      </c>
      <c r="L71" s="123" t="s">
        <v>986</v>
      </c>
      <c r="M71" s="333"/>
      <c r="N71" s="333"/>
      <c r="O71" s="333"/>
      <c r="P71" s="333"/>
      <c r="Q71" s="333"/>
      <c r="R71" s="333"/>
      <c r="S71" s="333"/>
      <c r="T71" s="333"/>
      <c r="U71" s="333"/>
      <c r="V71" s="333"/>
      <c r="W71" s="333"/>
      <c r="X71" s="408"/>
    </row>
    <row r="72" ht="21" customHeight="1" spans="1:24">
      <c r="A72" s="105"/>
      <c r="B72" s="106"/>
      <c r="C72" s="106"/>
      <c r="D72" s="106"/>
      <c r="E72" s="106"/>
      <c r="F72" s="106"/>
      <c r="G72" s="106"/>
      <c r="H72" s="106"/>
      <c r="I72" s="106"/>
      <c r="J72" s="106"/>
      <c r="K72" s="106"/>
      <c r="L72" s="106"/>
      <c r="M72" s="106"/>
      <c r="N72" s="106"/>
      <c r="O72" s="106"/>
      <c r="P72" s="106"/>
      <c r="Q72" s="106"/>
      <c r="R72" s="106"/>
      <c r="S72" s="106"/>
      <c r="T72" s="106"/>
      <c r="U72" s="106"/>
      <c r="V72" s="106"/>
      <c r="W72" s="106"/>
      <c r="X72" s="286"/>
    </row>
    <row r="73" ht="44" customHeight="1" spans="1:24">
      <c r="A73" s="134" t="str">
        <f>_xlfn.DISPIMG("ID_465E7EBF6EC44B0BA2FFD210DAD9E5C4",1)</f>
        <v>=DISPIMG("ID_465E7EBF6EC44B0BA2FFD210DAD9E5C4",1)</v>
      </c>
      <c r="B73" s="233"/>
      <c r="C73" s="233"/>
      <c r="D73" s="233"/>
      <c r="E73" s="233"/>
      <c r="F73" s="234"/>
      <c r="G73" s="435" t="s">
        <v>987</v>
      </c>
      <c r="H73" s="436"/>
      <c r="I73" s="436"/>
      <c r="J73" s="436"/>
      <c r="K73" s="436"/>
      <c r="L73" s="436"/>
      <c r="M73" s="436"/>
      <c r="N73" s="436"/>
      <c r="O73" s="442"/>
      <c r="P73" s="443"/>
      <c r="Q73" s="446"/>
      <c r="R73" s="446"/>
      <c r="S73" s="446"/>
      <c r="T73" s="446"/>
      <c r="U73" s="446"/>
      <c r="V73" s="446"/>
      <c r="W73" s="446"/>
      <c r="X73" s="447"/>
    </row>
    <row r="74" ht="21" customHeight="1" spans="1:24">
      <c r="A74" s="437" t="s">
        <v>988</v>
      </c>
      <c r="B74" s="438"/>
      <c r="C74" s="438"/>
      <c r="D74" s="438"/>
      <c r="E74" s="438"/>
      <c r="F74" s="438"/>
      <c r="G74" s="438"/>
      <c r="H74" s="438"/>
      <c r="I74" s="438"/>
      <c r="J74" s="438"/>
      <c r="K74" s="438"/>
      <c r="L74" s="438"/>
      <c r="M74" s="438"/>
      <c r="N74" s="438"/>
      <c r="O74" s="438"/>
      <c r="P74" s="438"/>
      <c r="Q74" s="438"/>
      <c r="R74" s="438"/>
      <c r="S74" s="438"/>
      <c r="T74" s="438"/>
      <c r="U74" s="438"/>
      <c r="V74" s="438"/>
      <c r="W74" s="438"/>
      <c r="X74" s="448"/>
    </row>
    <row r="75" ht="21" customHeight="1" spans="1:24">
      <c r="A75" s="21" t="s">
        <v>989</v>
      </c>
      <c r="B75" s="22"/>
      <c r="C75" s="23">
        <v>0</v>
      </c>
      <c r="D75" s="24">
        <v>1</v>
      </c>
      <c r="E75" s="24">
        <v>2</v>
      </c>
      <c r="F75" s="24">
        <v>3</v>
      </c>
      <c r="G75" s="24">
        <v>4</v>
      </c>
      <c r="H75" s="24">
        <v>5</v>
      </c>
      <c r="I75" s="24">
        <v>6</v>
      </c>
      <c r="J75" s="24">
        <v>7</v>
      </c>
      <c r="K75" s="135">
        <v>8</v>
      </c>
      <c r="L75" s="136">
        <v>9</v>
      </c>
      <c r="M75" s="137"/>
      <c r="N75" s="138"/>
      <c r="O75" s="139">
        <v>10</v>
      </c>
      <c r="P75" s="140">
        <v>11</v>
      </c>
      <c r="Q75" s="236">
        <v>12</v>
      </c>
      <c r="R75" s="236"/>
      <c r="S75" s="236"/>
      <c r="T75" s="139">
        <v>13</v>
      </c>
      <c r="U75" s="237">
        <v>14</v>
      </c>
      <c r="V75" s="140">
        <v>15</v>
      </c>
      <c r="W75" s="137">
        <v>16</v>
      </c>
      <c r="X75" s="138"/>
    </row>
    <row r="76" ht="21" customHeight="1" spans="1:24">
      <c r="A76" s="25" t="s">
        <v>288</v>
      </c>
      <c r="B76" s="26"/>
      <c r="C76" s="113">
        <v>30</v>
      </c>
      <c r="D76" s="307">
        <v>29</v>
      </c>
      <c r="E76" s="307">
        <v>28</v>
      </c>
      <c r="F76" s="307">
        <v>27</v>
      </c>
      <c r="G76" s="307">
        <v>26</v>
      </c>
      <c r="H76" s="307">
        <v>25</v>
      </c>
      <c r="I76" s="307">
        <v>24</v>
      </c>
      <c r="J76" s="307">
        <v>22</v>
      </c>
      <c r="K76" s="312">
        <v>20</v>
      </c>
      <c r="L76" s="154"/>
      <c r="M76" s="155">
        <v>18</v>
      </c>
      <c r="N76" s="156"/>
      <c r="O76" s="145">
        <v>16</v>
      </c>
      <c r="P76" s="146">
        <v>14</v>
      </c>
      <c r="Q76" s="156"/>
      <c r="R76" s="238">
        <v>12</v>
      </c>
      <c r="S76" s="156"/>
      <c r="T76" s="145">
        <v>10</v>
      </c>
      <c r="U76" s="239">
        <v>9</v>
      </c>
      <c r="V76" s="146">
        <v>8</v>
      </c>
      <c r="W76" s="246"/>
      <c r="X76" s="241">
        <v>7</v>
      </c>
    </row>
    <row r="77" ht="21" customHeight="1" spans="1:24">
      <c r="A77" s="73" t="s">
        <v>250</v>
      </c>
      <c r="B77" s="74"/>
      <c r="C77" s="75">
        <v>50</v>
      </c>
      <c r="D77" s="76">
        <v>50</v>
      </c>
      <c r="E77" s="76">
        <v>50</v>
      </c>
      <c r="F77" s="76">
        <v>60</v>
      </c>
      <c r="G77" s="76">
        <v>60</v>
      </c>
      <c r="H77" s="76">
        <v>60</v>
      </c>
      <c r="I77" s="76">
        <v>70</v>
      </c>
      <c r="J77" s="76">
        <v>70</v>
      </c>
      <c r="K77" s="182">
        <v>80</v>
      </c>
      <c r="L77" s="183"/>
      <c r="M77" s="159">
        <v>90</v>
      </c>
      <c r="N77" s="184"/>
      <c r="O77" s="161">
        <v>100</v>
      </c>
      <c r="P77" s="162">
        <v>110</v>
      </c>
      <c r="Q77" s="184"/>
      <c r="R77" s="247">
        <v>130</v>
      </c>
      <c r="S77" s="184"/>
      <c r="T77" s="161">
        <v>150</v>
      </c>
      <c r="U77" s="248">
        <v>170</v>
      </c>
      <c r="V77" s="162">
        <v>200</v>
      </c>
      <c r="W77" s="261"/>
      <c r="X77" s="250">
        <v>250</v>
      </c>
    </row>
    <row r="78" ht="21" customHeight="1" spans="1:24">
      <c r="A78" s="25" t="s">
        <v>847</v>
      </c>
      <c r="B78" s="25"/>
      <c r="C78" s="89">
        <v>15</v>
      </c>
      <c r="D78" s="90">
        <v>14</v>
      </c>
      <c r="E78" s="90">
        <v>13</v>
      </c>
      <c r="F78" s="91">
        <v>12</v>
      </c>
      <c r="G78" s="90">
        <v>11</v>
      </c>
      <c r="H78" s="92">
        <v>10</v>
      </c>
      <c r="I78" s="90">
        <v>9</v>
      </c>
      <c r="J78" s="206">
        <v>8</v>
      </c>
      <c r="K78" s="207">
        <v>5</v>
      </c>
      <c r="L78" s="352" t="s">
        <v>990</v>
      </c>
      <c r="M78" s="352"/>
      <c r="N78" s="352"/>
      <c r="O78" s="352"/>
      <c r="P78" s="352"/>
      <c r="Q78" s="352"/>
      <c r="R78" s="352"/>
      <c r="S78" s="352"/>
      <c r="T78" s="352"/>
      <c r="U78" s="352"/>
      <c r="V78" s="352"/>
      <c r="W78" s="352"/>
      <c r="X78" s="352"/>
    </row>
    <row r="79" ht="21" customHeight="1" spans="1:24">
      <c r="A79" s="105"/>
      <c r="B79" s="106"/>
      <c r="C79" s="106"/>
      <c r="D79" s="106"/>
      <c r="E79" s="106"/>
      <c r="F79" s="106"/>
      <c r="G79" s="106"/>
      <c r="H79" s="106"/>
      <c r="I79" s="106"/>
      <c r="J79" s="106"/>
      <c r="K79" s="106"/>
      <c r="L79" s="106"/>
      <c r="M79" s="106"/>
      <c r="N79" s="106"/>
      <c r="O79" s="106"/>
      <c r="P79" s="106"/>
      <c r="Q79" s="106"/>
      <c r="R79" s="106"/>
      <c r="S79" s="106"/>
      <c r="T79" s="106"/>
      <c r="U79" s="106"/>
      <c r="V79" s="106"/>
      <c r="W79" s="106"/>
      <c r="X79" s="286"/>
    </row>
    <row r="80" ht="44" customHeight="1" spans="1:24">
      <c r="A80" s="353" t="str">
        <f>_xlfn.DISPIMG("ID_855BE4F53C1244F3B36D91AA2F1A2740",1)</f>
        <v>=DISPIMG("ID_855BE4F53C1244F3B36D91AA2F1A2740",1)</v>
      </c>
      <c r="B80" s="354"/>
      <c r="C80" s="354"/>
      <c r="D80" s="354"/>
      <c r="E80" s="354"/>
      <c r="F80" s="355"/>
      <c r="G80" s="439" t="s">
        <v>991</v>
      </c>
      <c r="H80" s="440"/>
      <c r="I80" s="440"/>
      <c r="J80" s="440"/>
      <c r="K80" s="440"/>
      <c r="L80" s="440"/>
      <c r="M80" s="440"/>
      <c r="N80" s="440"/>
      <c r="O80" s="444"/>
      <c r="P80" s="445" t="str">
        <f>_xlfn.DISPIMG("ID_62CEF322D1B34A3DA96C1497111BD5A6",1)</f>
        <v>=DISPIMG("ID_62CEF322D1B34A3DA96C1497111BD5A6",1)</v>
      </c>
      <c r="Q80" s="49"/>
      <c r="R80" s="49"/>
      <c r="S80" s="49"/>
      <c r="T80" s="49"/>
      <c r="U80" s="49"/>
      <c r="V80" s="49"/>
      <c r="W80" s="49"/>
      <c r="X80" s="50"/>
    </row>
    <row r="81" ht="21" customHeight="1" spans="1:24">
      <c r="A81" s="437"/>
      <c r="B81" s="438"/>
      <c r="C81" s="438"/>
      <c r="D81" s="438"/>
      <c r="E81" s="438"/>
      <c r="F81" s="438"/>
      <c r="G81" s="438"/>
      <c r="H81" s="438"/>
      <c r="I81" s="438"/>
      <c r="J81" s="438"/>
      <c r="K81" s="438"/>
      <c r="L81" s="438"/>
      <c r="M81" s="438"/>
      <c r="N81" s="438"/>
      <c r="O81" s="438"/>
      <c r="P81" s="438"/>
      <c r="Q81" s="438"/>
      <c r="R81" s="438"/>
      <c r="S81" s="438"/>
      <c r="T81" s="438"/>
      <c r="U81" s="438"/>
      <c r="V81" s="438"/>
      <c r="W81" s="438"/>
      <c r="X81" s="448"/>
    </row>
    <row r="82" ht="21" customHeight="1" spans="1:24">
      <c r="A82" s="21" t="s">
        <v>992</v>
      </c>
      <c r="B82" s="22"/>
      <c r="C82" s="23">
        <v>0</v>
      </c>
      <c r="D82" s="24">
        <v>1</v>
      </c>
      <c r="E82" s="24">
        <v>2</v>
      </c>
      <c r="F82" s="24">
        <v>3</v>
      </c>
      <c r="G82" s="24">
        <v>4</v>
      </c>
      <c r="H82" s="24">
        <v>5</v>
      </c>
      <c r="I82" s="24">
        <v>6</v>
      </c>
      <c r="J82" s="24">
        <v>7</v>
      </c>
      <c r="K82" s="135">
        <v>8</v>
      </c>
      <c r="L82" s="136">
        <v>9</v>
      </c>
      <c r="M82" s="137"/>
      <c r="N82" s="138"/>
      <c r="O82" s="139">
        <v>10</v>
      </c>
      <c r="P82" s="140">
        <v>11</v>
      </c>
      <c r="Q82" s="236">
        <v>12</v>
      </c>
      <c r="R82" s="236"/>
      <c r="S82" s="236"/>
      <c r="T82" s="139">
        <v>13</v>
      </c>
      <c r="U82" s="237">
        <v>14</v>
      </c>
      <c r="V82" s="140">
        <v>15</v>
      </c>
      <c r="W82" s="137">
        <v>16</v>
      </c>
      <c r="X82" s="138"/>
    </row>
    <row r="83" ht="21" customHeight="1" spans="1:24">
      <c r="A83" s="25" t="s">
        <v>993</v>
      </c>
      <c r="B83" s="26"/>
      <c r="C83" s="113" t="s">
        <v>994</v>
      </c>
      <c r="D83" s="307" t="s">
        <v>994</v>
      </c>
      <c r="E83" s="307" t="s">
        <v>994</v>
      </c>
      <c r="F83" s="307" t="s">
        <v>994</v>
      </c>
      <c r="G83" s="307" t="s">
        <v>994</v>
      </c>
      <c r="H83" s="307" t="s">
        <v>994</v>
      </c>
      <c r="I83" s="307" t="s">
        <v>994</v>
      </c>
      <c r="J83" s="307" t="s">
        <v>994</v>
      </c>
      <c r="K83" s="312" t="s">
        <v>994</v>
      </c>
      <c r="L83" s="154"/>
      <c r="M83" s="155" t="s">
        <v>994</v>
      </c>
      <c r="N83" s="156"/>
      <c r="O83" s="145" t="s">
        <v>994</v>
      </c>
      <c r="P83" s="146" t="s">
        <v>994</v>
      </c>
      <c r="Q83" s="156"/>
      <c r="R83" s="238" t="s">
        <v>994</v>
      </c>
      <c r="S83" s="156"/>
      <c r="T83" s="145" t="s">
        <v>994</v>
      </c>
      <c r="U83" s="239" t="s">
        <v>994</v>
      </c>
      <c r="V83" s="146" t="s">
        <v>994</v>
      </c>
      <c r="W83" s="246"/>
      <c r="X83" s="241" t="s">
        <v>994</v>
      </c>
    </row>
    <row r="84" ht="21" customHeight="1" spans="1:24">
      <c r="A84" s="73" t="s">
        <v>995</v>
      </c>
      <c r="B84" s="74"/>
      <c r="C84" s="75" t="s">
        <v>994</v>
      </c>
      <c r="D84" s="76" t="s">
        <v>994</v>
      </c>
      <c r="E84" s="76" t="s">
        <v>994</v>
      </c>
      <c r="F84" s="76" t="s">
        <v>994</v>
      </c>
      <c r="G84" s="76" t="s">
        <v>994</v>
      </c>
      <c r="H84" s="76" t="s">
        <v>994</v>
      </c>
      <c r="I84" s="76" t="s">
        <v>994</v>
      </c>
      <c r="J84" s="76" t="s">
        <v>994</v>
      </c>
      <c r="K84" s="182" t="s">
        <v>994</v>
      </c>
      <c r="L84" s="183"/>
      <c r="M84" s="159" t="s">
        <v>994</v>
      </c>
      <c r="N84" s="184"/>
      <c r="O84" s="161" t="s">
        <v>994</v>
      </c>
      <c r="P84" s="162" t="s">
        <v>994</v>
      </c>
      <c r="Q84" s="184"/>
      <c r="R84" s="247" t="s">
        <v>994</v>
      </c>
      <c r="S84" s="184"/>
      <c r="T84" s="161" t="s">
        <v>994</v>
      </c>
      <c r="U84" s="248" t="s">
        <v>994</v>
      </c>
      <c r="V84" s="162" t="s">
        <v>994</v>
      </c>
      <c r="W84" s="261"/>
      <c r="X84" s="250" t="s">
        <v>994</v>
      </c>
    </row>
  </sheetData>
  <sheetProtection formatCells="0" insertHyperlinks="0" autoFilter="0"/>
  <mergeCells count="142">
    <mergeCell ref="A1:C1"/>
    <mergeCell ref="D1:T1"/>
    <mergeCell ref="U1:X1"/>
    <mergeCell ref="B2:D2"/>
    <mergeCell ref="F2:H2"/>
    <mergeCell ref="J2:V2"/>
    <mergeCell ref="W2:X2"/>
    <mergeCell ref="A3:X3"/>
    <mergeCell ref="A4:X4"/>
    <mergeCell ref="G5:O5"/>
    <mergeCell ref="P5:X5"/>
    <mergeCell ref="A6:X6"/>
    <mergeCell ref="A7:B7"/>
    <mergeCell ref="L7:N7"/>
    <mergeCell ref="Q7:S7"/>
    <mergeCell ref="W7:X7"/>
    <mergeCell ref="A8:B8"/>
    <mergeCell ref="A9:B9"/>
    <mergeCell ref="A10:B10"/>
    <mergeCell ref="A11:B11"/>
    <mergeCell ref="A12:B12"/>
    <mergeCell ref="A13:X13"/>
    <mergeCell ref="A14:X14"/>
    <mergeCell ref="G15:O15"/>
    <mergeCell ref="A16:X16"/>
    <mergeCell ref="A17:B17"/>
    <mergeCell ref="L17:N17"/>
    <mergeCell ref="Q17:S17"/>
    <mergeCell ref="W17:X17"/>
    <mergeCell ref="A18:B18"/>
    <mergeCell ref="A19:B19"/>
    <mergeCell ref="A20:B20"/>
    <mergeCell ref="A21:B21"/>
    <mergeCell ref="L21:N21"/>
    <mergeCell ref="Q21:S21"/>
    <mergeCell ref="W21:X21"/>
    <mergeCell ref="A22:B22"/>
    <mergeCell ref="A23:B23"/>
    <mergeCell ref="L23:X23"/>
    <mergeCell ref="A24:B24"/>
    <mergeCell ref="L24:X24"/>
    <mergeCell ref="A25:B25"/>
    <mergeCell ref="L25:X25"/>
    <mergeCell ref="A26:B26"/>
    <mergeCell ref="L26:N26"/>
    <mergeCell ref="Q26:S26"/>
    <mergeCell ref="W26:X26"/>
    <mergeCell ref="A27:B27"/>
    <mergeCell ref="A28:B28"/>
    <mergeCell ref="A29:X29"/>
    <mergeCell ref="G30:O30"/>
    <mergeCell ref="P30:X30"/>
    <mergeCell ref="A31:X31"/>
    <mergeCell ref="A32:B32"/>
    <mergeCell ref="L32:N32"/>
    <mergeCell ref="Q32:S32"/>
    <mergeCell ref="W32:X32"/>
    <mergeCell ref="A33:B33"/>
    <mergeCell ref="A34:B34"/>
    <mergeCell ref="A35:B35"/>
    <mergeCell ref="A36:B36"/>
    <mergeCell ref="A37:X37"/>
    <mergeCell ref="A38:X38"/>
    <mergeCell ref="G39:O39"/>
    <mergeCell ref="P39:X39"/>
    <mergeCell ref="A40:X40"/>
    <mergeCell ref="A41:B41"/>
    <mergeCell ref="L41:N41"/>
    <mergeCell ref="Q41:S41"/>
    <mergeCell ref="W41:X41"/>
    <mergeCell ref="A42:B42"/>
    <mergeCell ref="A43:B43"/>
    <mergeCell ref="A44:X44"/>
    <mergeCell ref="A45:X45"/>
    <mergeCell ref="G46:O46"/>
    <mergeCell ref="P46:X46"/>
    <mergeCell ref="A47:X47"/>
    <mergeCell ref="A48:B48"/>
    <mergeCell ref="L48:N48"/>
    <mergeCell ref="Q48:S48"/>
    <mergeCell ref="W48:X48"/>
    <mergeCell ref="A49:B49"/>
    <mergeCell ref="A50:B50"/>
    <mergeCell ref="A51:B51"/>
    <mergeCell ref="A52:B52"/>
    <mergeCell ref="A53:B53"/>
    <mergeCell ref="L53:X53"/>
    <mergeCell ref="A54:B54"/>
    <mergeCell ref="L54:X54"/>
    <mergeCell ref="A55:B55"/>
    <mergeCell ref="L55:X55"/>
    <mergeCell ref="A56:B56"/>
    <mergeCell ref="L56:X56"/>
    <mergeCell ref="A57:X57"/>
    <mergeCell ref="A58:X58"/>
    <mergeCell ref="A59:F59"/>
    <mergeCell ref="G59:O59"/>
    <mergeCell ref="P59:X59"/>
    <mergeCell ref="A60:X60"/>
    <mergeCell ref="A61:B61"/>
    <mergeCell ref="L61:N61"/>
    <mergeCell ref="Q61:S61"/>
    <mergeCell ref="W61:X61"/>
    <mergeCell ref="A62:B62"/>
    <mergeCell ref="A63:X63"/>
    <mergeCell ref="A64:X64"/>
    <mergeCell ref="G65:O65"/>
    <mergeCell ref="P65:X65"/>
    <mergeCell ref="A66:X66"/>
    <mergeCell ref="A67:B67"/>
    <mergeCell ref="L67:N67"/>
    <mergeCell ref="Q67:S67"/>
    <mergeCell ref="W67:X67"/>
    <mergeCell ref="A68:B68"/>
    <mergeCell ref="A69:B69"/>
    <mergeCell ref="A70:B70"/>
    <mergeCell ref="A71:B71"/>
    <mergeCell ref="L71:X71"/>
    <mergeCell ref="A72:X72"/>
    <mergeCell ref="A73:F73"/>
    <mergeCell ref="G73:O73"/>
    <mergeCell ref="P73:X73"/>
    <mergeCell ref="A74:X74"/>
    <mergeCell ref="A75:B75"/>
    <mergeCell ref="L75:N75"/>
    <mergeCell ref="Q75:S75"/>
    <mergeCell ref="W75:X75"/>
    <mergeCell ref="A76:B76"/>
    <mergeCell ref="A77:B77"/>
    <mergeCell ref="A78:B78"/>
    <mergeCell ref="L78:X78"/>
    <mergeCell ref="A79:X79"/>
    <mergeCell ref="A80:F80"/>
    <mergeCell ref="G80:O80"/>
    <mergeCell ref="P80:X80"/>
    <mergeCell ref="A81:X81"/>
    <mergeCell ref="A82:B82"/>
    <mergeCell ref="L82:N82"/>
    <mergeCell ref="Q82:S82"/>
    <mergeCell ref="W82:X82"/>
    <mergeCell ref="A83:B83"/>
    <mergeCell ref="A84:B84"/>
  </mergeCells>
  <pageMargins left="0.75" right="0.75" top="1" bottom="1" header="0.5" footer="0.5"/>
  <headerFooter/>
  <pictur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9"/>
  <sheetViews>
    <sheetView workbookViewId="0">
      <selection activeCell="Y5" sqref="Y5"/>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14</v>
      </c>
      <c r="B1" s="2"/>
      <c r="C1" s="2"/>
      <c r="D1" s="3" t="s">
        <v>996</v>
      </c>
      <c r="E1" s="4"/>
      <c r="F1" s="4"/>
      <c r="G1" s="2"/>
      <c r="H1" s="2"/>
      <c r="I1" s="4"/>
      <c r="J1" s="4"/>
      <c r="K1" s="2"/>
      <c r="L1" s="2"/>
      <c r="M1" s="2"/>
      <c r="N1" s="2"/>
      <c r="O1" s="2"/>
      <c r="P1" s="2"/>
      <c r="Q1" s="2"/>
      <c r="R1" s="2"/>
      <c r="S1" s="2"/>
      <c r="T1" s="2"/>
      <c r="U1" s="2">
        <v>14</v>
      </c>
      <c r="V1" s="2"/>
      <c r="W1" s="2"/>
      <c r="X1" s="2"/>
    </row>
    <row r="2" ht="21" customHeight="1" spans="1:24">
      <c r="A2" s="5"/>
      <c r="B2" s="6" t="s">
        <v>1</v>
      </c>
      <c r="C2" s="7"/>
      <c r="D2" s="8"/>
      <c r="E2" s="9"/>
      <c r="F2" s="6" t="s">
        <v>33</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14"/>
      <c r="B5" s="15" t="str">
        <f>_xlfn.DISPIMG("ID_5CC466DD3AEB4F49B870DE2C5455A86F",1)</f>
        <v>=DISPIMG("ID_5CC466DD3AEB4F49B870DE2C5455A86F",1)</v>
      </c>
      <c r="C5" s="15" t="str">
        <f>_xlfn.DISPIMG("ID_C641B568B0734D00A0C440FA5C846F13",1)</f>
        <v>=DISPIMG("ID_C641B568B0734D00A0C440FA5C846F13",1)</v>
      </c>
      <c r="D5" s="15" t="str">
        <f>_xlfn.DISPIMG("ID_515C7F954BD54F048CE7028156235B34",1)</f>
        <v>=DISPIMG("ID_515C7F954BD54F048CE7028156235B34",1)</v>
      </c>
      <c r="E5" s="15"/>
      <c r="F5" s="16"/>
      <c r="G5" s="17" t="s">
        <v>997</v>
      </c>
      <c r="H5" s="18"/>
      <c r="I5" s="18"/>
      <c r="J5" s="18"/>
      <c r="K5" s="18"/>
      <c r="L5" s="18"/>
      <c r="M5" s="18"/>
      <c r="N5" s="18"/>
      <c r="O5" s="133"/>
      <c r="P5" s="134"/>
      <c r="Q5" s="233"/>
      <c r="R5" s="233"/>
      <c r="S5" s="233"/>
      <c r="T5" s="233"/>
      <c r="U5" s="233"/>
      <c r="V5" s="233"/>
      <c r="W5" s="233"/>
      <c r="X5" s="234"/>
    </row>
    <row r="6" ht="21" customHeight="1" spans="1:24">
      <c r="A6" s="19"/>
      <c r="B6" s="20"/>
      <c r="C6" s="20"/>
      <c r="D6" s="20"/>
      <c r="E6" s="20"/>
      <c r="F6" s="20"/>
      <c r="G6" s="20"/>
      <c r="H6" s="20"/>
      <c r="I6" s="20"/>
      <c r="J6" s="20"/>
      <c r="K6" s="20"/>
      <c r="L6" s="20"/>
      <c r="M6" s="20"/>
      <c r="N6" s="20"/>
      <c r="O6" s="20"/>
      <c r="P6" s="20"/>
      <c r="Q6" s="20"/>
      <c r="R6" s="20"/>
      <c r="S6" s="20"/>
      <c r="T6" s="20"/>
      <c r="U6" s="20"/>
      <c r="V6" s="20"/>
      <c r="W6" s="20"/>
      <c r="X6" s="235"/>
    </row>
    <row r="7" ht="21" customHeight="1" spans="1:24">
      <c r="A7" s="21" t="s">
        <v>250</v>
      </c>
      <c r="B7" s="22"/>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25" t="s">
        <v>998</v>
      </c>
      <c r="B8" s="26"/>
      <c r="C8" s="27">
        <v>500</v>
      </c>
      <c r="D8" s="28">
        <v>540</v>
      </c>
      <c r="E8" s="28">
        <v>580</v>
      </c>
      <c r="F8" s="28">
        <v>620</v>
      </c>
      <c r="G8" s="28">
        <v>680</v>
      </c>
      <c r="H8" s="28">
        <v>740</v>
      </c>
      <c r="I8" s="28">
        <v>800</v>
      </c>
      <c r="J8" s="28">
        <v>880</v>
      </c>
      <c r="K8" s="141">
        <v>960</v>
      </c>
      <c r="L8" s="142"/>
      <c r="M8" s="143">
        <v>1040</v>
      </c>
      <c r="N8" s="144"/>
      <c r="O8" s="145">
        <v>1140</v>
      </c>
      <c r="P8" s="146">
        <v>1240</v>
      </c>
      <c r="Q8" s="144"/>
      <c r="R8" s="238">
        <v>1340</v>
      </c>
      <c r="S8" s="144"/>
      <c r="T8" s="145">
        <v>1440</v>
      </c>
      <c r="U8" s="239">
        <v>1540</v>
      </c>
      <c r="V8" s="146">
        <v>1640</v>
      </c>
      <c r="W8" s="240"/>
      <c r="X8" s="241">
        <v>1740</v>
      </c>
    </row>
    <row r="9" ht="21" customHeight="1" spans="1:24">
      <c r="A9" s="29" t="s">
        <v>999</v>
      </c>
      <c r="B9" s="30"/>
      <c r="C9" s="31">
        <f t="shared" ref="C9:K9" si="0">INT(C8*1.2)</f>
        <v>600</v>
      </c>
      <c r="D9" s="32">
        <f t="shared" si="0"/>
        <v>648</v>
      </c>
      <c r="E9" s="32">
        <f t="shared" si="0"/>
        <v>696</v>
      </c>
      <c r="F9" s="32">
        <f t="shared" si="0"/>
        <v>744</v>
      </c>
      <c r="G9" s="32">
        <f t="shared" si="0"/>
        <v>816</v>
      </c>
      <c r="H9" s="32">
        <f t="shared" si="0"/>
        <v>888</v>
      </c>
      <c r="I9" s="32">
        <f t="shared" si="0"/>
        <v>960</v>
      </c>
      <c r="J9" s="32">
        <f t="shared" si="0"/>
        <v>1056</v>
      </c>
      <c r="K9" s="147">
        <f t="shared" si="0"/>
        <v>1152</v>
      </c>
      <c r="L9" s="148"/>
      <c r="M9" s="149">
        <f t="shared" ref="M9:P9" si="1">INT(M8*1.2)</f>
        <v>1248</v>
      </c>
      <c r="N9" s="150"/>
      <c r="O9" s="151">
        <f t="shared" si="1"/>
        <v>1368</v>
      </c>
      <c r="P9" s="152">
        <f t="shared" si="1"/>
        <v>1488</v>
      </c>
      <c r="Q9" s="150"/>
      <c r="R9" s="242">
        <f t="shared" ref="R9:V9" si="2">INT(R8*1.2)</f>
        <v>1608</v>
      </c>
      <c r="S9" s="150"/>
      <c r="T9" s="151">
        <f t="shared" si="2"/>
        <v>1728</v>
      </c>
      <c r="U9" s="243">
        <f t="shared" si="2"/>
        <v>1848</v>
      </c>
      <c r="V9" s="152">
        <f t="shared" si="2"/>
        <v>1968</v>
      </c>
      <c r="W9" s="244"/>
      <c r="X9" s="245">
        <f>INT(X8*1.2)</f>
        <v>2088</v>
      </c>
    </row>
    <row r="10" ht="21" customHeight="1" spans="1:24">
      <c r="A10" s="33" t="s">
        <v>1000</v>
      </c>
      <c r="B10" s="34"/>
      <c r="C10" s="35">
        <v>500</v>
      </c>
      <c r="D10" s="36">
        <v>540</v>
      </c>
      <c r="E10" s="36">
        <v>580</v>
      </c>
      <c r="F10" s="36">
        <v>620</v>
      </c>
      <c r="G10" s="36">
        <v>680</v>
      </c>
      <c r="H10" s="36">
        <v>740</v>
      </c>
      <c r="I10" s="36">
        <v>800</v>
      </c>
      <c r="J10" s="36">
        <v>880</v>
      </c>
      <c r="K10" s="153">
        <v>960</v>
      </c>
      <c r="L10" s="154"/>
      <c r="M10" s="155">
        <v>1040</v>
      </c>
      <c r="N10" s="156"/>
      <c r="O10" s="145">
        <v>1140</v>
      </c>
      <c r="P10" s="146">
        <v>1240</v>
      </c>
      <c r="Q10" s="156"/>
      <c r="R10" s="238">
        <v>1340</v>
      </c>
      <c r="S10" s="156"/>
      <c r="T10" s="145">
        <v>1440</v>
      </c>
      <c r="U10" s="239">
        <v>1540</v>
      </c>
      <c r="V10" s="146">
        <v>1640</v>
      </c>
      <c r="W10" s="246"/>
      <c r="X10" s="241">
        <v>1740</v>
      </c>
    </row>
    <row r="11" ht="21" customHeight="1" spans="1:24">
      <c r="A11" s="37" t="s">
        <v>1001</v>
      </c>
      <c r="B11" s="38"/>
      <c r="C11" s="39">
        <v>500</v>
      </c>
      <c r="D11" s="40">
        <v>540</v>
      </c>
      <c r="E11" s="40">
        <v>580</v>
      </c>
      <c r="F11" s="40">
        <v>620</v>
      </c>
      <c r="G11" s="40">
        <v>680</v>
      </c>
      <c r="H11" s="40">
        <v>740</v>
      </c>
      <c r="I11" s="40">
        <v>800</v>
      </c>
      <c r="J11" s="40">
        <v>880</v>
      </c>
      <c r="K11" s="157">
        <v>960</v>
      </c>
      <c r="L11" s="158"/>
      <c r="M11" s="159">
        <v>1040</v>
      </c>
      <c r="N11" s="160"/>
      <c r="O11" s="161">
        <v>1140</v>
      </c>
      <c r="P11" s="162">
        <v>1240</v>
      </c>
      <c r="Q11" s="160"/>
      <c r="R11" s="247">
        <v>1340</v>
      </c>
      <c r="S11" s="160"/>
      <c r="T11" s="161">
        <v>1440</v>
      </c>
      <c r="U11" s="248">
        <v>1540</v>
      </c>
      <c r="V11" s="162">
        <v>1640</v>
      </c>
      <c r="W11" s="249"/>
      <c r="X11" s="250">
        <v>1740</v>
      </c>
    </row>
    <row r="12" ht="21" customHeight="1" spans="1:24">
      <c r="A12" s="25" t="s">
        <v>1002</v>
      </c>
      <c r="B12" s="25"/>
      <c r="C12" s="41">
        <v>30</v>
      </c>
      <c r="D12" s="42">
        <v>28</v>
      </c>
      <c r="E12" s="42">
        <v>26</v>
      </c>
      <c r="F12" s="43">
        <v>24</v>
      </c>
      <c r="G12" s="42">
        <v>22</v>
      </c>
      <c r="H12" s="44">
        <v>20</v>
      </c>
      <c r="I12" s="42">
        <v>18</v>
      </c>
      <c r="J12" s="163">
        <v>15</v>
      </c>
      <c r="K12" s="164">
        <v>12</v>
      </c>
      <c r="L12" s="165" t="s">
        <v>1003</v>
      </c>
      <c r="M12" s="166"/>
      <c r="N12" s="166"/>
      <c r="O12" s="166"/>
      <c r="P12" s="166"/>
      <c r="Q12" s="166"/>
      <c r="R12" s="166"/>
      <c r="S12" s="166"/>
      <c r="T12" s="166"/>
      <c r="U12" s="166"/>
      <c r="V12" s="166"/>
      <c r="W12" s="166"/>
      <c r="X12" s="251"/>
    </row>
    <row r="13" ht="21" customHeight="1" spans="1:24">
      <c r="A13" s="45"/>
      <c r="B13" s="46"/>
      <c r="C13" s="46"/>
      <c r="D13" s="46"/>
      <c r="E13" s="46"/>
      <c r="F13" s="46"/>
      <c r="G13" s="46"/>
      <c r="H13" s="46"/>
      <c r="I13" s="46"/>
      <c r="J13" s="46"/>
      <c r="K13" s="46"/>
      <c r="L13" s="46"/>
      <c r="M13" s="46"/>
      <c r="N13" s="46"/>
      <c r="O13" s="46"/>
      <c r="P13" s="46"/>
      <c r="Q13" s="46"/>
      <c r="R13" s="46"/>
      <c r="S13" s="46"/>
      <c r="T13" s="46"/>
      <c r="U13" s="46"/>
      <c r="V13" s="46"/>
      <c r="W13" s="46"/>
      <c r="X13" s="252"/>
    </row>
    <row r="14" ht="44" customHeight="1" spans="1:24">
      <c r="A14" s="47"/>
      <c r="B14" s="48" t="str">
        <f>_xlfn.DISPIMG("ID_0B3C55368D914947B16C02522F0F1A5E",1)</f>
        <v>=DISPIMG("ID_0B3C55368D914947B16C02522F0F1A5E",1)</v>
      </c>
      <c r="C14" s="48" t="str">
        <f>_xlfn.DISPIMG("ID_1976508E656A4AF0814D7C1E805076D3",1)</f>
        <v>=DISPIMG("ID_1976508E656A4AF0814D7C1E805076D3",1)</v>
      </c>
      <c r="D14" s="48" t="str">
        <f>_xlfn.DISPIMG("ID_FD36312796FA46F0A5E212DC74B34E8A",1)</f>
        <v>=DISPIMG("ID_FD36312796FA46F0A5E212DC74B34E8A",1)</v>
      </c>
      <c r="E14" s="49"/>
      <c r="F14" s="50"/>
      <c r="G14" s="51" t="s">
        <v>1004</v>
      </c>
      <c r="H14" s="52"/>
      <c r="I14" s="52"/>
      <c r="J14" s="52"/>
      <c r="K14" s="52"/>
      <c r="L14" s="52"/>
      <c r="M14" s="52"/>
      <c r="N14" s="52"/>
      <c r="O14" s="167"/>
      <c r="P14" s="168"/>
      <c r="Q14" s="253"/>
      <c r="R14" s="253"/>
      <c r="S14" s="253"/>
      <c r="T14" s="253"/>
      <c r="U14" s="253"/>
      <c r="V14" s="253"/>
      <c r="W14" s="253"/>
      <c r="X14" s="254"/>
    </row>
    <row r="15" ht="21" customHeight="1" spans="1:24">
      <c r="A15" s="19"/>
      <c r="B15" s="20"/>
      <c r="C15" s="20"/>
      <c r="D15" s="20"/>
      <c r="E15" s="20"/>
      <c r="F15" s="20"/>
      <c r="G15" s="20"/>
      <c r="H15" s="20"/>
      <c r="I15" s="20"/>
      <c r="J15" s="20"/>
      <c r="K15" s="20"/>
      <c r="L15" s="20"/>
      <c r="M15" s="20"/>
      <c r="N15" s="20"/>
      <c r="O15" s="20"/>
      <c r="P15" s="20"/>
      <c r="Q15" s="20"/>
      <c r="R15" s="20"/>
      <c r="S15" s="20"/>
      <c r="T15" s="20"/>
      <c r="U15" s="20"/>
      <c r="V15" s="20"/>
      <c r="W15" s="20"/>
      <c r="X15" s="235"/>
    </row>
    <row r="16" ht="21" customHeight="1" spans="1:24">
      <c r="A16" s="21" t="s">
        <v>250</v>
      </c>
      <c r="B16" s="22"/>
      <c r="C16" s="23">
        <v>0</v>
      </c>
      <c r="D16" s="24">
        <v>1</v>
      </c>
      <c r="E16" s="24">
        <v>2</v>
      </c>
      <c r="F16" s="24">
        <v>3</v>
      </c>
      <c r="G16" s="24">
        <v>4</v>
      </c>
      <c r="H16" s="24">
        <v>5</v>
      </c>
      <c r="I16" s="24">
        <v>6</v>
      </c>
      <c r="J16" s="24">
        <v>7</v>
      </c>
      <c r="K16" s="135">
        <v>8</v>
      </c>
      <c r="L16" s="136">
        <v>9</v>
      </c>
      <c r="M16" s="137"/>
      <c r="N16" s="138"/>
      <c r="O16" s="139">
        <v>10</v>
      </c>
      <c r="P16" s="140">
        <v>11</v>
      </c>
      <c r="Q16" s="236">
        <v>12</v>
      </c>
      <c r="R16" s="236"/>
      <c r="S16" s="236"/>
      <c r="T16" s="139">
        <v>13</v>
      </c>
      <c r="U16" s="237">
        <v>14</v>
      </c>
      <c r="V16" s="140">
        <v>15</v>
      </c>
      <c r="W16" s="137">
        <v>16</v>
      </c>
      <c r="X16" s="138"/>
    </row>
    <row r="17" ht="21" customHeight="1" spans="1:24">
      <c r="A17" s="25" t="s">
        <v>1005</v>
      </c>
      <c r="B17" s="26"/>
      <c r="C17" s="27">
        <v>1000</v>
      </c>
      <c r="D17" s="28">
        <v>1050</v>
      </c>
      <c r="E17" s="28">
        <v>1100</v>
      </c>
      <c r="F17" s="28">
        <v>1150</v>
      </c>
      <c r="G17" s="28">
        <v>1230</v>
      </c>
      <c r="H17" s="28">
        <v>1310</v>
      </c>
      <c r="I17" s="28">
        <v>1390</v>
      </c>
      <c r="J17" s="28">
        <v>1500</v>
      </c>
      <c r="K17" s="141">
        <v>1610</v>
      </c>
      <c r="L17" s="142"/>
      <c r="M17" s="143">
        <v>1720</v>
      </c>
      <c r="N17" s="144"/>
      <c r="O17" s="145">
        <v>1820</v>
      </c>
      <c r="P17" s="146">
        <v>2020</v>
      </c>
      <c r="Q17" s="144"/>
      <c r="R17" s="238">
        <v>2220</v>
      </c>
      <c r="S17" s="144"/>
      <c r="T17" s="145">
        <v>2420</v>
      </c>
      <c r="U17" s="239">
        <v>2620</v>
      </c>
      <c r="V17" s="146">
        <v>2820</v>
      </c>
      <c r="W17" s="240"/>
      <c r="X17" s="241">
        <v>3020</v>
      </c>
    </row>
    <row r="18" ht="21" customHeight="1" spans="1:24">
      <c r="A18" s="29" t="s">
        <v>1006</v>
      </c>
      <c r="B18" s="30"/>
      <c r="C18" s="53">
        <f t="shared" ref="C18:K18" si="3">INT(C17*1.2)</f>
        <v>1200</v>
      </c>
      <c r="D18" s="54">
        <f t="shared" si="3"/>
        <v>1260</v>
      </c>
      <c r="E18" s="54">
        <f t="shared" si="3"/>
        <v>1320</v>
      </c>
      <c r="F18" s="54">
        <f t="shared" si="3"/>
        <v>1380</v>
      </c>
      <c r="G18" s="54">
        <f t="shared" si="3"/>
        <v>1476</v>
      </c>
      <c r="H18" s="54">
        <f t="shared" si="3"/>
        <v>1572</v>
      </c>
      <c r="I18" s="54">
        <f t="shared" si="3"/>
        <v>1668</v>
      </c>
      <c r="J18" s="54">
        <f t="shared" si="3"/>
        <v>1800</v>
      </c>
      <c r="K18" s="169">
        <f t="shared" si="3"/>
        <v>1932</v>
      </c>
      <c r="L18" s="170"/>
      <c r="M18" s="149">
        <f t="shared" ref="M18:P18" si="4">INT(M17*1.2)</f>
        <v>2064</v>
      </c>
      <c r="N18" s="150"/>
      <c r="O18" s="171">
        <f t="shared" si="4"/>
        <v>2184</v>
      </c>
      <c r="P18" s="172">
        <f t="shared" si="4"/>
        <v>2424</v>
      </c>
      <c r="Q18" s="150"/>
      <c r="R18" s="255">
        <f t="shared" ref="R18:V18" si="5">INT(R17*1.2)</f>
        <v>2664</v>
      </c>
      <c r="S18" s="150"/>
      <c r="T18" s="171">
        <f t="shared" si="5"/>
        <v>2904</v>
      </c>
      <c r="U18" s="256">
        <f t="shared" si="5"/>
        <v>3144</v>
      </c>
      <c r="V18" s="172">
        <f t="shared" si="5"/>
        <v>3384</v>
      </c>
      <c r="W18" s="244"/>
      <c r="X18" s="257">
        <f>INT(X17*1.2)</f>
        <v>3624</v>
      </c>
    </row>
    <row r="19" ht="21" customHeight="1" spans="1:24">
      <c r="A19" s="25" t="s">
        <v>1007</v>
      </c>
      <c r="B19" s="26"/>
      <c r="C19" s="27">
        <v>1100</v>
      </c>
      <c r="D19" s="28">
        <v>1105</v>
      </c>
      <c r="E19" s="28">
        <v>1110</v>
      </c>
      <c r="F19" s="28">
        <v>1115</v>
      </c>
      <c r="G19" s="28">
        <v>1123</v>
      </c>
      <c r="H19" s="28">
        <v>1131</v>
      </c>
      <c r="I19" s="28">
        <v>1139</v>
      </c>
      <c r="J19" s="28">
        <v>1150</v>
      </c>
      <c r="K19" s="141">
        <v>1161</v>
      </c>
      <c r="L19" s="142"/>
      <c r="M19" s="143">
        <v>1172</v>
      </c>
      <c r="N19" s="144"/>
      <c r="O19" s="145">
        <v>1182</v>
      </c>
      <c r="P19" s="146">
        <v>1202</v>
      </c>
      <c r="Q19" s="144"/>
      <c r="R19" s="238">
        <v>1222</v>
      </c>
      <c r="S19" s="144"/>
      <c r="T19" s="145">
        <v>1242</v>
      </c>
      <c r="U19" s="239">
        <v>1262</v>
      </c>
      <c r="V19" s="146">
        <v>1282</v>
      </c>
      <c r="W19" s="240"/>
      <c r="X19" s="241">
        <v>1302</v>
      </c>
    </row>
    <row r="20" ht="21" customHeight="1" spans="1:24">
      <c r="A20" s="55" t="s">
        <v>1008</v>
      </c>
      <c r="B20" s="56"/>
      <c r="C20" s="53">
        <f t="shared" ref="C20:K20" si="6">C19*1.2</f>
        <v>1320</v>
      </c>
      <c r="D20" s="54">
        <f t="shared" si="6"/>
        <v>1326</v>
      </c>
      <c r="E20" s="54">
        <f t="shared" si="6"/>
        <v>1332</v>
      </c>
      <c r="F20" s="54">
        <f t="shared" si="6"/>
        <v>1338</v>
      </c>
      <c r="G20" s="54">
        <f t="shared" si="6"/>
        <v>1347.6</v>
      </c>
      <c r="H20" s="54">
        <f t="shared" si="6"/>
        <v>1357.2</v>
      </c>
      <c r="I20" s="54">
        <f t="shared" si="6"/>
        <v>1366.8</v>
      </c>
      <c r="J20" s="54">
        <f t="shared" si="6"/>
        <v>1380</v>
      </c>
      <c r="K20" s="169">
        <f t="shared" si="6"/>
        <v>1393.2</v>
      </c>
      <c r="L20" s="170"/>
      <c r="M20" s="173">
        <f t="shared" ref="M20:P20" si="7">M19*1.2</f>
        <v>1406.4</v>
      </c>
      <c r="N20" s="150"/>
      <c r="O20" s="171">
        <f t="shared" si="7"/>
        <v>1418.4</v>
      </c>
      <c r="P20" s="172">
        <f t="shared" si="7"/>
        <v>1442.4</v>
      </c>
      <c r="Q20" s="150"/>
      <c r="R20" s="255">
        <f t="shared" ref="R20:V20" si="8">R19*1.2</f>
        <v>1466.4</v>
      </c>
      <c r="S20" s="150"/>
      <c r="T20" s="171">
        <f t="shared" si="8"/>
        <v>1490.4</v>
      </c>
      <c r="U20" s="256">
        <f t="shared" si="8"/>
        <v>1514.4</v>
      </c>
      <c r="V20" s="172">
        <f t="shared" si="8"/>
        <v>1538.4</v>
      </c>
      <c r="W20" s="244"/>
      <c r="X20" s="257">
        <f>X19*1.2</f>
        <v>1562.4</v>
      </c>
    </row>
    <row r="21" s="1" customFormat="1" ht="21" customHeight="1" spans="1:24">
      <c r="A21" s="57" t="s">
        <v>1009</v>
      </c>
      <c r="B21" s="58"/>
      <c r="C21" s="27">
        <v>1200</v>
      </c>
      <c r="D21" s="28">
        <v>1250</v>
      </c>
      <c r="E21" s="28">
        <v>1300</v>
      </c>
      <c r="F21" s="28">
        <v>1350</v>
      </c>
      <c r="G21" s="28">
        <v>1430</v>
      </c>
      <c r="H21" s="28">
        <v>1510</v>
      </c>
      <c r="I21" s="28">
        <v>1690</v>
      </c>
      <c r="J21" s="28">
        <v>1800</v>
      </c>
      <c r="K21" s="141">
        <v>1910</v>
      </c>
      <c r="L21" s="142"/>
      <c r="M21" s="143">
        <v>2020</v>
      </c>
      <c r="N21" s="144"/>
      <c r="O21" s="145">
        <v>2120</v>
      </c>
      <c r="P21" s="146">
        <v>2420</v>
      </c>
      <c r="Q21" s="144"/>
      <c r="R21" s="238">
        <v>2620</v>
      </c>
      <c r="S21" s="144"/>
      <c r="T21" s="145">
        <v>2820</v>
      </c>
      <c r="U21" s="239">
        <v>3020</v>
      </c>
      <c r="V21" s="146">
        <v>3220</v>
      </c>
      <c r="W21" s="240"/>
      <c r="X21" s="241">
        <v>3420</v>
      </c>
    </row>
    <row r="22" s="1" customFormat="1" ht="21" customHeight="1" spans="1:24">
      <c r="A22" s="59" t="s">
        <v>288</v>
      </c>
      <c r="B22" s="60"/>
      <c r="C22" s="61">
        <v>0</v>
      </c>
      <c r="D22" s="62">
        <v>1</v>
      </c>
      <c r="E22" s="62">
        <v>2</v>
      </c>
      <c r="F22" s="63">
        <v>3</v>
      </c>
      <c r="G22" s="62">
        <v>4</v>
      </c>
      <c r="H22" s="64">
        <v>5</v>
      </c>
      <c r="I22" s="62">
        <v>6</v>
      </c>
      <c r="J22" s="174">
        <v>7</v>
      </c>
      <c r="K22" s="175">
        <v>8</v>
      </c>
      <c r="L22" s="176" t="s">
        <v>1010</v>
      </c>
      <c r="M22" s="177"/>
      <c r="N22" s="177"/>
      <c r="O22" s="177"/>
      <c r="P22" s="177"/>
      <c r="Q22" s="177"/>
      <c r="R22" s="177"/>
      <c r="S22" s="177"/>
      <c r="T22" s="177"/>
      <c r="U22" s="177"/>
      <c r="V22" s="177"/>
      <c r="W22" s="177"/>
      <c r="X22" s="258"/>
    </row>
    <row r="23" s="1" customFormat="1" ht="21" customHeight="1" spans="1:24">
      <c r="A23" s="25" t="s">
        <v>1005</v>
      </c>
      <c r="B23" s="25"/>
      <c r="C23" s="41">
        <v>30</v>
      </c>
      <c r="D23" s="42">
        <v>28</v>
      </c>
      <c r="E23" s="42">
        <v>26</v>
      </c>
      <c r="F23" s="43">
        <v>24</v>
      </c>
      <c r="G23" s="42">
        <v>22</v>
      </c>
      <c r="H23" s="44">
        <v>20</v>
      </c>
      <c r="I23" s="42">
        <v>18</v>
      </c>
      <c r="J23" s="163">
        <v>15</v>
      </c>
      <c r="K23" s="164">
        <v>12</v>
      </c>
      <c r="L23" s="176" t="s">
        <v>1011</v>
      </c>
      <c r="M23" s="177"/>
      <c r="N23" s="177"/>
      <c r="O23" s="177"/>
      <c r="P23" s="177"/>
      <c r="Q23" s="177"/>
      <c r="R23" s="177"/>
      <c r="S23" s="177"/>
      <c r="T23" s="177"/>
      <c r="U23" s="177"/>
      <c r="V23" s="177"/>
      <c r="W23" s="177"/>
      <c r="X23" s="258"/>
    </row>
    <row r="24" s="1" customFormat="1" ht="21" customHeight="1" spans="1:24">
      <c r="A24" s="65" t="s">
        <v>1007</v>
      </c>
      <c r="B24" s="65"/>
      <c r="C24" s="66">
        <v>50</v>
      </c>
      <c r="D24" s="67">
        <v>48</v>
      </c>
      <c r="E24" s="67">
        <v>45</v>
      </c>
      <c r="F24" s="68">
        <v>32</v>
      </c>
      <c r="G24" s="67">
        <v>38</v>
      </c>
      <c r="H24" s="69">
        <v>34</v>
      </c>
      <c r="I24" s="67">
        <v>30</v>
      </c>
      <c r="J24" s="178">
        <v>25</v>
      </c>
      <c r="K24" s="179">
        <v>20</v>
      </c>
      <c r="L24" s="176" t="s">
        <v>1012</v>
      </c>
      <c r="M24" s="177"/>
      <c r="N24" s="177"/>
      <c r="O24" s="177"/>
      <c r="P24" s="177"/>
      <c r="Q24" s="177"/>
      <c r="R24" s="177"/>
      <c r="S24" s="177"/>
      <c r="T24" s="177"/>
      <c r="U24" s="177"/>
      <c r="V24" s="177"/>
      <c r="W24" s="177"/>
      <c r="X24" s="258"/>
    </row>
    <row r="25" ht="21" customHeight="1" spans="1:24">
      <c r="A25" s="45"/>
      <c r="B25" s="46"/>
      <c r="C25" s="46"/>
      <c r="D25" s="46"/>
      <c r="E25" s="46"/>
      <c r="F25" s="46"/>
      <c r="G25" s="46"/>
      <c r="H25" s="46"/>
      <c r="I25" s="46"/>
      <c r="J25" s="46"/>
      <c r="K25" s="46"/>
      <c r="L25" s="46"/>
      <c r="M25" s="46"/>
      <c r="N25" s="46"/>
      <c r="O25" s="46"/>
      <c r="P25" s="46"/>
      <c r="Q25" s="46"/>
      <c r="R25" s="46"/>
      <c r="S25" s="46"/>
      <c r="T25" s="46"/>
      <c r="U25" s="46"/>
      <c r="V25" s="46"/>
      <c r="W25" s="46"/>
      <c r="X25" s="252"/>
    </row>
    <row r="26" ht="44" customHeight="1" spans="1:24">
      <c r="A26" s="47" t="str">
        <f>_xlfn.DISPIMG("ID_44FA7E27D66F45DEA622C46509C8D8E1",1)</f>
        <v>=DISPIMG("ID_44FA7E27D66F45DEA622C46509C8D8E1",1)</v>
      </c>
      <c r="B26" s="48" t="str">
        <f>_xlfn.DISPIMG("ID_C2E176F522E94D4A8B31920EFBE9D9AE",1)</f>
        <v>=DISPIMG("ID_C2E176F522E94D4A8B31920EFBE9D9AE",1)</v>
      </c>
      <c r="C26" s="48" t="str">
        <f>_xlfn.DISPIMG("ID_528976C46AD54C1181F75A0AA7C1A82E",1)</f>
        <v>=DISPIMG("ID_528976C46AD54C1181F75A0AA7C1A82E",1)</v>
      </c>
      <c r="D26" s="48" t="str">
        <f>_xlfn.DISPIMG("ID_D0C428C4A5A44D9CAE5A24F4D0D3EFA0",1)</f>
        <v>=DISPIMG("ID_D0C428C4A5A44D9CAE5A24F4D0D3EFA0",1)</v>
      </c>
      <c r="E26" s="48" t="str">
        <f>_xlfn.DISPIMG("ID_7AE9EDFA0FD34B43BACD686800EBC28F",1)</f>
        <v>=DISPIMG("ID_7AE9EDFA0FD34B43BACD686800EBC28F",1)</v>
      </c>
      <c r="F26" s="70"/>
      <c r="G26" s="71" t="s">
        <v>1013</v>
      </c>
      <c r="H26" s="72"/>
      <c r="I26" s="72"/>
      <c r="J26" s="72"/>
      <c r="K26" s="72"/>
      <c r="L26" s="72"/>
      <c r="M26" s="72"/>
      <c r="N26" s="72"/>
      <c r="O26" s="180"/>
      <c r="P26" s="181"/>
      <c r="Q26" s="259"/>
      <c r="R26" s="259"/>
      <c r="S26" s="259"/>
      <c r="T26" s="259"/>
      <c r="U26" s="259"/>
      <c r="V26" s="259"/>
      <c r="W26" s="259"/>
      <c r="X26" s="260"/>
    </row>
    <row r="27" ht="21" customHeight="1" spans="1:24">
      <c r="A27" s="19"/>
      <c r="B27" s="20"/>
      <c r="C27" s="20"/>
      <c r="D27" s="20"/>
      <c r="E27" s="20"/>
      <c r="F27" s="20"/>
      <c r="G27" s="20"/>
      <c r="H27" s="20"/>
      <c r="I27" s="20"/>
      <c r="J27" s="20"/>
      <c r="K27" s="20"/>
      <c r="L27" s="20"/>
      <c r="M27" s="20"/>
      <c r="N27" s="20"/>
      <c r="O27" s="20"/>
      <c r="P27" s="20"/>
      <c r="Q27" s="20"/>
      <c r="R27" s="20"/>
      <c r="S27" s="20"/>
      <c r="T27" s="20"/>
      <c r="U27" s="20"/>
      <c r="V27" s="20"/>
      <c r="W27" s="20"/>
      <c r="X27" s="235"/>
    </row>
    <row r="28" ht="21" customHeight="1" spans="1:24">
      <c r="A28" s="21" t="s">
        <v>250</v>
      </c>
      <c r="B28" s="22"/>
      <c r="C28" s="23">
        <v>0</v>
      </c>
      <c r="D28" s="24">
        <v>1</v>
      </c>
      <c r="E28" s="24">
        <v>2</v>
      </c>
      <c r="F28" s="24">
        <v>3</v>
      </c>
      <c r="G28" s="24">
        <v>4</v>
      </c>
      <c r="H28" s="24">
        <v>5</v>
      </c>
      <c r="I28" s="24">
        <v>6</v>
      </c>
      <c r="J28" s="24">
        <v>7</v>
      </c>
      <c r="K28" s="135">
        <v>8</v>
      </c>
      <c r="L28" s="136">
        <v>9</v>
      </c>
      <c r="M28" s="137"/>
      <c r="N28" s="138"/>
      <c r="O28" s="139">
        <v>10</v>
      </c>
      <c r="P28" s="140">
        <v>11</v>
      </c>
      <c r="Q28" s="236">
        <v>12</v>
      </c>
      <c r="R28" s="236"/>
      <c r="S28" s="236"/>
      <c r="T28" s="139">
        <v>13</v>
      </c>
      <c r="U28" s="237">
        <v>14</v>
      </c>
      <c r="V28" s="140">
        <v>15</v>
      </c>
      <c r="W28" s="137">
        <v>16</v>
      </c>
      <c r="X28" s="138"/>
    </row>
    <row r="29" ht="21" customHeight="1" spans="1:24">
      <c r="A29" s="73" t="s">
        <v>1014</v>
      </c>
      <c r="B29" s="74"/>
      <c r="C29" s="75">
        <v>500</v>
      </c>
      <c r="D29" s="76">
        <v>540</v>
      </c>
      <c r="E29" s="76">
        <v>580</v>
      </c>
      <c r="F29" s="76">
        <v>620</v>
      </c>
      <c r="G29" s="76">
        <v>680</v>
      </c>
      <c r="H29" s="76">
        <v>740</v>
      </c>
      <c r="I29" s="76">
        <v>800</v>
      </c>
      <c r="J29" s="76">
        <v>880</v>
      </c>
      <c r="K29" s="182">
        <v>960</v>
      </c>
      <c r="L29" s="183"/>
      <c r="M29" s="159">
        <v>1040</v>
      </c>
      <c r="N29" s="184"/>
      <c r="O29" s="161">
        <v>1140</v>
      </c>
      <c r="P29" s="162">
        <v>1240</v>
      </c>
      <c r="Q29" s="184"/>
      <c r="R29" s="247">
        <v>1340</v>
      </c>
      <c r="S29" s="184"/>
      <c r="T29" s="161">
        <v>1440</v>
      </c>
      <c r="U29" s="248">
        <v>1540</v>
      </c>
      <c r="V29" s="162">
        <v>1640</v>
      </c>
      <c r="W29" s="261"/>
      <c r="X29" s="250">
        <v>1740</v>
      </c>
    </row>
    <row r="30" ht="21" customHeight="1" spans="1:24">
      <c r="A30" s="77" t="s">
        <v>1015</v>
      </c>
      <c r="B30" s="78"/>
      <c r="C30" s="27">
        <v>800</v>
      </c>
      <c r="D30" s="28">
        <v>850</v>
      </c>
      <c r="E30" s="28">
        <v>900</v>
      </c>
      <c r="F30" s="28">
        <v>950</v>
      </c>
      <c r="G30" s="28">
        <v>1000</v>
      </c>
      <c r="H30" s="28">
        <v>1100</v>
      </c>
      <c r="I30" s="28">
        <v>1200</v>
      </c>
      <c r="J30" s="28">
        <v>1300</v>
      </c>
      <c r="K30" s="141">
        <v>1400</v>
      </c>
      <c r="L30" s="185"/>
      <c r="M30" s="186">
        <v>1550</v>
      </c>
      <c r="N30" s="187"/>
      <c r="O30" s="188">
        <v>1700</v>
      </c>
      <c r="P30" s="189">
        <v>1850</v>
      </c>
      <c r="Q30" s="187"/>
      <c r="R30" s="262">
        <v>2000</v>
      </c>
      <c r="S30" s="187"/>
      <c r="T30" s="188">
        <v>2200</v>
      </c>
      <c r="U30" s="263">
        <v>2400</v>
      </c>
      <c r="V30" s="189">
        <v>2600</v>
      </c>
      <c r="W30" s="264"/>
      <c r="X30" s="265">
        <v>2800</v>
      </c>
    </row>
    <row r="31" ht="21" customHeight="1" spans="1:24">
      <c r="A31" s="79" t="s">
        <v>1016</v>
      </c>
      <c r="B31" s="80"/>
      <c r="C31" s="81">
        <v>950</v>
      </c>
      <c r="D31" s="82">
        <v>1000</v>
      </c>
      <c r="E31" s="82">
        <v>1050</v>
      </c>
      <c r="F31" s="82">
        <v>1100</v>
      </c>
      <c r="G31" s="82">
        <v>1150</v>
      </c>
      <c r="H31" s="82">
        <v>1250</v>
      </c>
      <c r="I31" s="82">
        <v>1350</v>
      </c>
      <c r="J31" s="82">
        <v>1450</v>
      </c>
      <c r="K31" s="190">
        <v>1550</v>
      </c>
      <c r="L31" s="191"/>
      <c r="M31" s="192">
        <v>1700</v>
      </c>
      <c r="N31" s="193"/>
      <c r="O31" s="194">
        <v>1850</v>
      </c>
      <c r="P31" s="195">
        <v>2000</v>
      </c>
      <c r="Q31" s="193"/>
      <c r="R31" s="266">
        <v>2150</v>
      </c>
      <c r="S31" s="193"/>
      <c r="T31" s="194">
        <v>2350</v>
      </c>
      <c r="U31" s="267">
        <v>2550</v>
      </c>
      <c r="V31" s="195">
        <v>2750</v>
      </c>
      <c r="W31" s="268"/>
      <c r="X31" s="269">
        <v>2950</v>
      </c>
    </row>
    <row r="32" ht="21" customHeight="1" spans="1:24">
      <c r="A32" s="83" t="s">
        <v>1017</v>
      </c>
      <c r="B32" s="84"/>
      <c r="C32" s="84"/>
      <c r="D32" s="84"/>
      <c r="E32" s="84"/>
      <c r="F32" s="84"/>
      <c r="G32" s="84"/>
      <c r="H32" s="84"/>
      <c r="I32" s="84"/>
      <c r="J32" s="84"/>
      <c r="K32" s="84"/>
      <c r="L32" s="84"/>
      <c r="M32" s="84"/>
      <c r="N32" s="84"/>
      <c r="O32" s="84"/>
      <c r="P32" s="84"/>
      <c r="Q32" s="84"/>
      <c r="R32" s="84"/>
      <c r="S32" s="84"/>
      <c r="T32" s="84"/>
      <c r="U32" s="84"/>
      <c r="V32" s="84"/>
      <c r="W32" s="84"/>
      <c r="X32" s="270"/>
    </row>
    <row r="33" ht="21" customHeight="1" spans="1:24">
      <c r="A33" s="37" t="s">
        <v>1018</v>
      </c>
      <c r="B33" s="38"/>
      <c r="C33" s="75">
        <f t="shared" ref="C33:K33" si="9">INT(C29*1.2)</f>
        <v>600</v>
      </c>
      <c r="D33" s="76">
        <f t="shared" si="9"/>
        <v>648</v>
      </c>
      <c r="E33" s="76">
        <f t="shared" si="9"/>
        <v>696</v>
      </c>
      <c r="F33" s="76">
        <f t="shared" si="9"/>
        <v>744</v>
      </c>
      <c r="G33" s="76">
        <f t="shared" si="9"/>
        <v>816</v>
      </c>
      <c r="H33" s="76">
        <f t="shared" si="9"/>
        <v>888</v>
      </c>
      <c r="I33" s="76">
        <f t="shared" si="9"/>
        <v>960</v>
      </c>
      <c r="J33" s="76">
        <f t="shared" si="9"/>
        <v>1056</v>
      </c>
      <c r="K33" s="182">
        <f t="shared" si="9"/>
        <v>1152</v>
      </c>
      <c r="L33" s="196"/>
      <c r="M33" s="197">
        <f t="shared" ref="M33:P33" si="10">INT(M29*1.2)</f>
        <v>1248</v>
      </c>
      <c r="N33" s="198"/>
      <c r="O33" s="161">
        <f t="shared" si="10"/>
        <v>1368</v>
      </c>
      <c r="P33" s="162">
        <f t="shared" si="10"/>
        <v>1488</v>
      </c>
      <c r="Q33" s="198"/>
      <c r="R33" s="247">
        <f t="shared" ref="R33:V33" si="11">INT(R29*1.2)</f>
        <v>1608</v>
      </c>
      <c r="S33" s="198"/>
      <c r="T33" s="161">
        <f t="shared" si="11"/>
        <v>1728</v>
      </c>
      <c r="U33" s="248">
        <f t="shared" si="11"/>
        <v>1848</v>
      </c>
      <c r="V33" s="162">
        <f t="shared" si="11"/>
        <v>1968</v>
      </c>
      <c r="W33" s="271"/>
      <c r="X33" s="250">
        <f>INT(X29*1.2)</f>
        <v>2088</v>
      </c>
    </row>
    <row r="34" ht="21" customHeight="1" spans="1:24">
      <c r="A34" s="85" t="s">
        <v>1019</v>
      </c>
      <c r="B34" s="86"/>
      <c r="C34" s="87">
        <f t="shared" ref="C34:K34" si="12">INT(C30*1.3)</f>
        <v>1040</v>
      </c>
      <c r="D34" s="88">
        <f t="shared" si="12"/>
        <v>1105</v>
      </c>
      <c r="E34" s="88">
        <f t="shared" si="12"/>
        <v>1170</v>
      </c>
      <c r="F34" s="88">
        <f t="shared" si="12"/>
        <v>1235</v>
      </c>
      <c r="G34" s="88">
        <f t="shared" si="12"/>
        <v>1300</v>
      </c>
      <c r="H34" s="88">
        <f t="shared" si="12"/>
        <v>1430</v>
      </c>
      <c r="I34" s="88">
        <f t="shared" si="12"/>
        <v>1560</v>
      </c>
      <c r="J34" s="88">
        <f t="shared" si="12"/>
        <v>1690</v>
      </c>
      <c r="K34" s="199">
        <f t="shared" si="12"/>
        <v>1820</v>
      </c>
      <c r="L34" s="200"/>
      <c r="M34" s="201">
        <f t="shared" ref="M34:P34" si="13">INT(M30*1.3)</f>
        <v>2015</v>
      </c>
      <c r="N34" s="202"/>
      <c r="O34" s="203">
        <f t="shared" si="13"/>
        <v>2210</v>
      </c>
      <c r="P34" s="204">
        <f t="shared" si="13"/>
        <v>2405</v>
      </c>
      <c r="Q34" s="202"/>
      <c r="R34" s="272">
        <f t="shared" ref="R34:V34" si="14">INT(R30*1.3)</f>
        <v>2600</v>
      </c>
      <c r="S34" s="202"/>
      <c r="T34" s="203">
        <f t="shared" si="14"/>
        <v>2860</v>
      </c>
      <c r="U34" s="273">
        <f t="shared" si="14"/>
        <v>3120</v>
      </c>
      <c r="V34" s="204">
        <f t="shared" si="14"/>
        <v>3380</v>
      </c>
      <c r="W34" s="274"/>
      <c r="X34" s="275">
        <f>INT(X30*1.3)</f>
        <v>3640</v>
      </c>
    </row>
    <row r="35" ht="21" customHeight="1" spans="1:24">
      <c r="A35" s="79" t="s">
        <v>1020</v>
      </c>
      <c r="B35" s="80"/>
      <c r="C35" s="81">
        <f t="shared" ref="C35:K35" si="15">INT(C31*1.25)</f>
        <v>1187</v>
      </c>
      <c r="D35" s="82">
        <f t="shared" si="15"/>
        <v>1250</v>
      </c>
      <c r="E35" s="82">
        <f t="shared" si="15"/>
        <v>1312</v>
      </c>
      <c r="F35" s="82">
        <f t="shared" si="15"/>
        <v>1375</v>
      </c>
      <c r="G35" s="82">
        <f t="shared" si="15"/>
        <v>1437</v>
      </c>
      <c r="H35" s="82">
        <f t="shared" si="15"/>
        <v>1562</v>
      </c>
      <c r="I35" s="82">
        <f t="shared" si="15"/>
        <v>1687</v>
      </c>
      <c r="J35" s="82">
        <f t="shared" si="15"/>
        <v>1812</v>
      </c>
      <c r="K35" s="190">
        <f t="shared" si="15"/>
        <v>1937</v>
      </c>
      <c r="L35" s="191"/>
      <c r="M35" s="192">
        <f t="shared" ref="M35:P35" si="16">INT(M31*1.25)</f>
        <v>2125</v>
      </c>
      <c r="N35" s="193"/>
      <c r="O35" s="194">
        <f t="shared" si="16"/>
        <v>2312</v>
      </c>
      <c r="P35" s="195">
        <f t="shared" si="16"/>
        <v>2500</v>
      </c>
      <c r="Q35" s="193"/>
      <c r="R35" s="266">
        <f t="shared" ref="R35:V35" si="17">INT(R31*1.25)</f>
        <v>2687</v>
      </c>
      <c r="S35" s="193"/>
      <c r="T35" s="194">
        <f t="shared" si="17"/>
        <v>2937</v>
      </c>
      <c r="U35" s="267">
        <f t="shared" si="17"/>
        <v>3187</v>
      </c>
      <c r="V35" s="195">
        <f t="shared" si="17"/>
        <v>3437</v>
      </c>
      <c r="W35" s="268"/>
      <c r="X35" s="269">
        <f>INT(X31*1.25)</f>
        <v>3687</v>
      </c>
    </row>
    <row r="36" ht="21" customHeight="1" spans="1:24">
      <c r="A36" s="59" t="s">
        <v>288</v>
      </c>
      <c r="B36" s="60"/>
      <c r="C36" s="61">
        <v>0</v>
      </c>
      <c r="D36" s="62">
        <v>1</v>
      </c>
      <c r="E36" s="62">
        <v>2</v>
      </c>
      <c r="F36" s="63">
        <v>3</v>
      </c>
      <c r="G36" s="62">
        <v>4</v>
      </c>
      <c r="H36" s="64">
        <v>5</v>
      </c>
      <c r="I36" s="62">
        <v>6</v>
      </c>
      <c r="J36" s="174">
        <v>7</v>
      </c>
      <c r="K36" s="175">
        <v>8</v>
      </c>
      <c r="L36" s="86" t="s">
        <v>1021</v>
      </c>
      <c r="M36" s="205"/>
      <c r="N36" s="205"/>
      <c r="O36" s="205"/>
      <c r="P36" s="205"/>
      <c r="Q36" s="205"/>
      <c r="R36" s="205"/>
      <c r="S36" s="205"/>
      <c r="T36" s="205"/>
      <c r="U36" s="205"/>
      <c r="V36" s="205"/>
      <c r="W36" s="205"/>
      <c r="X36" s="276"/>
    </row>
    <row r="37" ht="21" customHeight="1" spans="1:24">
      <c r="A37" s="25" t="s">
        <v>1014</v>
      </c>
      <c r="B37" s="26"/>
      <c r="C37" s="89">
        <v>30</v>
      </c>
      <c r="D37" s="90">
        <v>28</v>
      </c>
      <c r="E37" s="90">
        <v>26</v>
      </c>
      <c r="F37" s="91">
        <v>24</v>
      </c>
      <c r="G37" s="90">
        <v>22</v>
      </c>
      <c r="H37" s="92">
        <v>20</v>
      </c>
      <c r="I37" s="90">
        <v>18</v>
      </c>
      <c r="J37" s="206">
        <v>15</v>
      </c>
      <c r="K37" s="207">
        <v>12</v>
      </c>
      <c r="L37" s="86" t="s">
        <v>1022</v>
      </c>
      <c r="M37" s="205"/>
      <c r="N37" s="205"/>
      <c r="O37" s="205"/>
      <c r="P37" s="205"/>
      <c r="Q37" s="205"/>
      <c r="R37" s="205"/>
      <c r="S37" s="205"/>
      <c r="T37" s="205"/>
      <c r="U37" s="205"/>
      <c r="V37" s="205"/>
      <c r="W37" s="205"/>
      <c r="X37" s="276"/>
    </row>
    <row r="38" ht="21" customHeight="1" spans="1:24">
      <c r="A38" s="65" t="s">
        <v>1015</v>
      </c>
      <c r="B38" s="65"/>
      <c r="C38" s="66">
        <v>30</v>
      </c>
      <c r="D38" s="67">
        <v>28</v>
      </c>
      <c r="E38" s="67">
        <v>26</v>
      </c>
      <c r="F38" s="93">
        <v>24</v>
      </c>
      <c r="G38" s="67">
        <v>22</v>
      </c>
      <c r="H38" s="69">
        <v>20</v>
      </c>
      <c r="I38" s="67">
        <v>18</v>
      </c>
      <c r="J38" s="178">
        <v>15</v>
      </c>
      <c r="K38" s="179">
        <v>12</v>
      </c>
      <c r="L38" s="86" t="s">
        <v>1023</v>
      </c>
      <c r="M38" s="205"/>
      <c r="N38" s="205"/>
      <c r="O38" s="205"/>
      <c r="P38" s="205"/>
      <c r="Q38" s="205"/>
      <c r="R38" s="205"/>
      <c r="S38" s="205"/>
      <c r="T38" s="205"/>
      <c r="U38" s="205"/>
      <c r="V38" s="205"/>
      <c r="W38" s="205"/>
      <c r="X38" s="276"/>
    </row>
    <row r="39" ht="21" customHeight="1" spans="1:24">
      <c r="A39" s="94" t="s">
        <v>1016</v>
      </c>
      <c r="B39" s="94"/>
      <c r="C39" s="95">
        <v>20</v>
      </c>
      <c r="D39" s="96">
        <v>19</v>
      </c>
      <c r="E39" s="96">
        <v>18</v>
      </c>
      <c r="F39" s="97">
        <v>17</v>
      </c>
      <c r="G39" s="96">
        <v>16</v>
      </c>
      <c r="H39" s="98">
        <v>15</v>
      </c>
      <c r="I39" s="96">
        <v>14</v>
      </c>
      <c r="J39" s="208">
        <v>13</v>
      </c>
      <c r="K39" s="209">
        <v>12</v>
      </c>
      <c r="L39" s="86" t="s">
        <v>1024</v>
      </c>
      <c r="M39" s="205"/>
      <c r="N39" s="205"/>
      <c r="O39" s="205"/>
      <c r="P39" s="205"/>
      <c r="Q39" s="205"/>
      <c r="R39" s="205"/>
      <c r="S39" s="277"/>
      <c r="T39" s="86" t="str">
        <f>_xlfn.DISPIMG("ID_F62D54DB21B647C3B85C5A38CF52B1BD",1)</f>
        <v>=DISPIMG("ID_F62D54DB21B647C3B85C5A38CF52B1BD",1)</v>
      </c>
      <c r="U39" s="205"/>
      <c r="V39" s="205"/>
      <c r="W39" s="205"/>
      <c r="X39" s="276"/>
    </row>
    <row r="40" ht="21" customHeight="1" spans="1:24">
      <c r="A40" s="99" t="s">
        <v>1025</v>
      </c>
      <c r="B40" s="100"/>
      <c r="C40" s="101" t="s">
        <v>1026</v>
      </c>
      <c r="D40" s="101"/>
      <c r="E40" s="101"/>
      <c r="F40" s="101"/>
      <c r="G40" s="101"/>
      <c r="H40" s="101"/>
      <c r="I40" s="101"/>
      <c r="J40" s="101"/>
      <c r="K40" s="101"/>
      <c r="L40" s="101"/>
      <c r="M40" s="101"/>
      <c r="N40" s="101"/>
      <c r="O40" s="101"/>
      <c r="P40" s="101"/>
      <c r="Q40" s="101"/>
      <c r="R40" s="101"/>
      <c r="S40" s="278"/>
      <c r="T40" s="279"/>
      <c r="U40" s="280"/>
      <c r="V40" s="280"/>
      <c r="W40" s="280"/>
      <c r="X40" s="281"/>
    </row>
    <row r="41" ht="21" customHeight="1" spans="1:24">
      <c r="A41" s="102"/>
      <c r="B41" s="103"/>
      <c r="C41" s="104"/>
      <c r="D41" s="104"/>
      <c r="E41" s="104"/>
      <c r="F41" s="104"/>
      <c r="G41" s="104"/>
      <c r="H41" s="104"/>
      <c r="I41" s="104"/>
      <c r="J41" s="104"/>
      <c r="K41" s="104"/>
      <c r="L41" s="104"/>
      <c r="M41" s="104"/>
      <c r="N41" s="104"/>
      <c r="O41" s="104"/>
      <c r="P41" s="104"/>
      <c r="Q41" s="104"/>
      <c r="R41" s="104"/>
      <c r="S41" s="282"/>
      <c r="T41" s="283"/>
      <c r="U41" s="284"/>
      <c r="V41" s="284"/>
      <c r="W41" s="284"/>
      <c r="X41" s="285"/>
    </row>
    <row r="42" ht="21" customHeight="1" spans="1:24">
      <c r="A42" s="105"/>
      <c r="B42" s="106"/>
      <c r="C42" s="106"/>
      <c r="D42" s="106"/>
      <c r="E42" s="106"/>
      <c r="F42" s="106"/>
      <c r="G42" s="106"/>
      <c r="H42" s="106"/>
      <c r="I42" s="106"/>
      <c r="J42" s="106"/>
      <c r="K42" s="106"/>
      <c r="L42" s="106"/>
      <c r="M42" s="106"/>
      <c r="N42" s="106"/>
      <c r="O42" s="106"/>
      <c r="P42" s="106"/>
      <c r="Q42" s="106"/>
      <c r="R42" s="106"/>
      <c r="S42" s="106"/>
      <c r="T42" s="106"/>
      <c r="U42" s="106"/>
      <c r="V42" s="106"/>
      <c r="W42" s="106"/>
      <c r="X42" s="286"/>
    </row>
    <row r="43" ht="44" customHeight="1" spans="1:24">
      <c r="A43" s="47"/>
      <c r="B43" s="15" t="str">
        <f>_xlfn.DISPIMG("ID_AFE5484BA6E64B81B70A6A0CEDA54AEE",1)</f>
        <v>=DISPIMG("ID_AFE5484BA6E64B81B70A6A0CEDA54AEE",1)</v>
      </c>
      <c r="C43" s="15" t="str">
        <f>_xlfn.DISPIMG("ID_795C41747E3F498599DA091EA9903D14",1)</f>
        <v>=DISPIMG("ID_795C41747E3F498599DA091EA9903D14",1)</v>
      </c>
      <c r="D43" s="15" t="str">
        <f>_xlfn.DISPIMG("ID_CE144769378B4133B739A0A38814F634",1)</f>
        <v>=DISPIMG("ID_CE144769378B4133B739A0A38814F634",1)</v>
      </c>
      <c r="E43" s="49"/>
      <c r="F43" s="50"/>
      <c r="G43" s="107" t="s">
        <v>1027</v>
      </c>
      <c r="H43" s="108"/>
      <c r="I43" s="108"/>
      <c r="J43" s="108"/>
      <c r="K43" s="108"/>
      <c r="L43" s="108"/>
      <c r="M43" s="108"/>
      <c r="N43" s="108"/>
      <c r="O43" s="210"/>
      <c r="P43" s="168" t="str">
        <f>_xlfn.DISPIMG("ID_1E26B9130FC04736B054A9ABC16FD50A",1)</f>
        <v>=DISPIMG("ID_1E26B9130FC04736B054A9ABC16FD50A",1)</v>
      </c>
      <c r="Q43" s="253"/>
      <c r="R43" s="253"/>
      <c r="S43" s="253"/>
      <c r="T43" s="253"/>
      <c r="U43" s="253"/>
      <c r="V43" s="253"/>
      <c r="W43" s="253"/>
      <c r="X43" s="254"/>
    </row>
    <row r="44" ht="21" customHeight="1" spans="1:24">
      <c r="A44" s="109" t="s">
        <v>1028</v>
      </c>
      <c r="B44" s="109"/>
      <c r="C44" s="109"/>
      <c r="D44" s="109"/>
      <c r="E44" s="109"/>
      <c r="F44" s="109"/>
      <c r="G44" s="109"/>
      <c r="H44" s="109"/>
      <c r="I44" s="109"/>
      <c r="J44" s="109"/>
      <c r="K44" s="109"/>
      <c r="L44" s="109"/>
      <c r="M44" s="109"/>
      <c r="N44" s="109"/>
      <c r="O44" s="109"/>
      <c r="P44" s="109"/>
      <c r="Q44" s="109"/>
      <c r="R44" s="109"/>
      <c r="S44" s="109"/>
      <c r="T44" s="109"/>
      <c r="U44" s="109"/>
      <c r="V44" s="109"/>
      <c r="W44" s="109"/>
      <c r="X44" s="109"/>
    </row>
    <row r="45" ht="21" customHeight="1" spans="1:24">
      <c r="A45" s="21" t="s">
        <v>250</v>
      </c>
      <c r="B45" s="22"/>
      <c r="C45" s="23">
        <v>0</v>
      </c>
      <c r="D45" s="24">
        <v>1</v>
      </c>
      <c r="E45" s="24">
        <v>2</v>
      </c>
      <c r="F45" s="24">
        <v>3</v>
      </c>
      <c r="G45" s="24">
        <v>4</v>
      </c>
      <c r="H45" s="24">
        <v>5</v>
      </c>
      <c r="I45" s="24">
        <v>6</v>
      </c>
      <c r="J45" s="24">
        <v>7</v>
      </c>
      <c r="K45" s="135">
        <v>8</v>
      </c>
      <c r="L45" s="136">
        <v>9</v>
      </c>
      <c r="M45" s="137"/>
      <c r="N45" s="138"/>
      <c r="O45" s="139">
        <v>10</v>
      </c>
      <c r="P45" s="140">
        <v>11</v>
      </c>
      <c r="Q45" s="236">
        <v>12</v>
      </c>
      <c r="R45" s="236"/>
      <c r="S45" s="236"/>
      <c r="T45" s="139">
        <v>13</v>
      </c>
      <c r="U45" s="237">
        <v>14</v>
      </c>
      <c r="V45" s="140">
        <v>15</v>
      </c>
      <c r="W45" s="137">
        <v>16</v>
      </c>
      <c r="X45" s="138"/>
    </row>
    <row r="46" ht="21" customHeight="1" spans="1:24">
      <c r="A46" s="73" t="s">
        <v>431</v>
      </c>
      <c r="B46" s="74"/>
      <c r="C46" s="110">
        <v>1200</v>
      </c>
      <c r="D46" s="111" t="s">
        <v>1029</v>
      </c>
      <c r="E46" s="112"/>
      <c r="F46" s="112"/>
      <c r="G46" s="112"/>
      <c r="H46" s="112"/>
      <c r="I46" s="112"/>
      <c r="J46" s="112"/>
      <c r="K46" s="112"/>
      <c r="L46" s="112"/>
      <c r="M46" s="112"/>
      <c r="N46" s="112"/>
      <c r="O46" s="112"/>
      <c r="P46" s="112"/>
      <c r="Q46" s="112"/>
      <c r="R46" s="112"/>
      <c r="S46" s="112"/>
      <c r="T46" s="112"/>
      <c r="U46" s="112"/>
      <c r="V46" s="112"/>
      <c r="W46" s="112"/>
      <c r="X46" s="287"/>
    </row>
    <row r="47" ht="21" customHeight="1" spans="1:24">
      <c r="A47" s="25" t="s">
        <v>430</v>
      </c>
      <c r="B47" s="26"/>
      <c r="C47" s="113">
        <v>1000</v>
      </c>
      <c r="D47" s="114" t="s">
        <v>1030</v>
      </c>
      <c r="E47" s="114"/>
      <c r="F47" s="114"/>
      <c r="G47" s="114"/>
      <c r="H47" s="114"/>
      <c r="I47" s="114"/>
      <c r="J47" s="114"/>
      <c r="K47" s="114"/>
      <c r="L47" s="114"/>
      <c r="M47" s="114"/>
      <c r="N47" s="114"/>
      <c r="O47" s="114"/>
      <c r="P47" s="114"/>
      <c r="Q47" s="114"/>
      <c r="R47" s="114"/>
      <c r="S47" s="114"/>
      <c r="T47" s="114"/>
      <c r="U47" s="114"/>
      <c r="V47" s="114"/>
      <c r="W47" s="114"/>
      <c r="X47" s="288"/>
    </row>
    <row r="48" ht="21" customHeight="1" spans="1:24">
      <c r="A48" s="115" t="s">
        <v>1031</v>
      </c>
      <c r="B48" s="38"/>
      <c r="C48" s="116">
        <v>200</v>
      </c>
      <c r="D48" s="117">
        <v>200</v>
      </c>
      <c r="E48" s="117">
        <v>200</v>
      </c>
      <c r="F48" s="117">
        <v>300</v>
      </c>
      <c r="G48" s="117">
        <v>300</v>
      </c>
      <c r="H48" s="117">
        <v>300</v>
      </c>
      <c r="I48" s="117">
        <v>400</v>
      </c>
      <c r="J48" s="117">
        <v>400</v>
      </c>
      <c r="K48" s="211">
        <v>400</v>
      </c>
      <c r="L48" s="212"/>
      <c r="M48" s="213">
        <v>500</v>
      </c>
      <c r="N48" s="214"/>
      <c r="O48" s="215">
        <v>500</v>
      </c>
      <c r="P48" s="216">
        <v>500</v>
      </c>
      <c r="Q48" s="214"/>
      <c r="R48" s="289">
        <v>600</v>
      </c>
      <c r="S48" s="214"/>
      <c r="T48" s="215">
        <v>650</v>
      </c>
      <c r="U48" s="290">
        <v>700</v>
      </c>
      <c r="V48" s="216">
        <v>800</v>
      </c>
      <c r="W48" s="291"/>
      <c r="X48" s="292">
        <v>900</v>
      </c>
    </row>
    <row r="49" ht="21" customHeight="1" spans="1:24">
      <c r="A49" s="118" t="s">
        <v>1032</v>
      </c>
      <c r="B49" s="119"/>
      <c r="C49" s="119"/>
      <c r="D49" s="119"/>
      <c r="E49" s="119"/>
      <c r="F49" s="119"/>
      <c r="G49" s="119"/>
      <c r="H49" s="119"/>
      <c r="I49" s="119"/>
      <c r="J49" s="119"/>
      <c r="K49" s="119"/>
      <c r="L49" s="119"/>
      <c r="M49" s="119"/>
      <c r="N49" s="119"/>
      <c r="O49" s="119"/>
      <c r="P49" s="119"/>
      <c r="Q49" s="119"/>
      <c r="R49" s="119"/>
      <c r="S49" s="119"/>
      <c r="T49" s="119"/>
      <c r="U49" s="119"/>
      <c r="V49" s="119"/>
      <c r="W49" s="119"/>
      <c r="X49" s="293"/>
    </row>
    <row r="50" ht="21" customHeight="1" spans="1:24">
      <c r="A50" s="120" t="s">
        <v>1033</v>
      </c>
      <c r="B50" s="121"/>
      <c r="C50" s="121"/>
      <c r="D50" s="121"/>
      <c r="E50" s="121"/>
      <c r="F50" s="121"/>
      <c r="G50" s="121"/>
      <c r="H50" s="121"/>
      <c r="I50" s="121"/>
      <c r="J50" s="121"/>
      <c r="K50" s="121"/>
      <c r="L50" s="121"/>
      <c r="M50" s="121"/>
      <c r="N50" s="121"/>
      <c r="O50" s="121"/>
      <c r="P50" s="121"/>
      <c r="Q50" s="121"/>
      <c r="R50" s="121"/>
      <c r="S50" s="121"/>
      <c r="T50" s="121"/>
      <c r="U50" s="121"/>
      <c r="V50" s="121"/>
      <c r="W50" s="121"/>
      <c r="X50" s="294"/>
    </row>
    <row r="51" ht="21" customHeight="1" spans="1:24">
      <c r="A51" s="21" t="s">
        <v>250</v>
      </c>
      <c r="B51" s="22"/>
      <c r="C51" s="23">
        <v>0</v>
      </c>
      <c r="D51" s="24">
        <v>1</v>
      </c>
      <c r="E51" s="24">
        <v>2</v>
      </c>
      <c r="F51" s="24">
        <v>3</v>
      </c>
      <c r="G51" s="24">
        <v>4</v>
      </c>
      <c r="H51" s="24">
        <v>5</v>
      </c>
      <c r="I51" s="24">
        <v>6</v>
      </c>
      <c r="J51" s="24">
        <v>7</v>
      </c>
      <c r="K51" s="135">
        <v>8</v>
      </c>
      <c r="L51" s="136">
        <v>9</v>
      </c>
      <c r="M51" s="137"/>
      <c r="N51" s="138"/>
      <c r="O51" s="139">
        <v>10</v>
      </c>
      <c r="P51" s="140">
        <v>11</v>
      </c>
      <c r="Q51" s="236">
        <v>12</v>
      </c>
      <c r="R51" s="236"/>
      <c r="S51" s="236"/>
      <c r="T51" s="139">
        <v>13</v>
      </c>
      <c r="U51" s="237">
        <v>14</v>
      </c>
      <c r="V51" s="140">
        <v>15</v>
      </c>
      <c r="W51" s="137">
        <v>16</v>
      </c>
      <c r="X51" s="138"/>
    </row>
    <row r="52" ht="21" customHeight="1" spans="1:24">
      <c r="A52" s="122" t="s">
        <v>433</v>
      </c>
      <c r="B52" s="123"/>
      <c r="C52" s="87">
        <v>200</v>
      </c>
      <c r="D52" s="88">
        <v>250</v>
      </c>
      <c r="E52" s="88">
        <v>300</v>
      </c>
      <c r="F52" s="88">
        <v>350</v>
      </c>
      <c r="G52" s="88">
        <v>400</v>
      </c>
      <c r="H52" s="88">
        <v>450</v>
      </c>
      <c r="I52" s="88">
        <v>500</v>
      </c>
      <c r="J52" s="88">
        <v>550</v>
      </c>
      <c r="K52" s="199">
        <v>600</v>
      </c>
      <c r="L52" s="217"/>
      <c r="M52" s="218">
        <v>650</v>
      </c>
      <c r="N52" s="219"/>
      <c r="O52" s="203">
        <v>700</v>
      </c>
      <c r="P52" s="204">
        <v>750</v>
      </c>
      <c r="Q52" s="219"/>
      <c r="R52" s="272">
        <v>800</v>
      </c>
      <c r="S52" s="219"/>
      <c r="T52" s="203">
        <v>900</v>
      </c>
      <c r="U52" s="273">
        <v>1000</v>
      </c>
      <c r="V52" s="204">
        <v>1200</v>
      </c>
      <c r="W52" s="295"/>
      <c r="X52" s="275">
        <v>1500</v>
      </c>
    </row>
    <row r="53" ht="21" customHeight="1" spans="1:24">
      <c r="A53" s="120" t="s">
        <v>1034</v>
      </c>
      <c r="B53" s="121"/>
      <c r="C53" s="121"/>
      <c r="D53" s="121"/>
      <c r="E53" s="121"/>
      <c r="F53" s="121"/>
      <c r="G53" s="121"/>
      <c r="H53" s="121"/>
      <c r="I53" s="121"/>
      <c r="J53" s="121"/>
      <c r="K53" s="121"/>
      <c r="L53" s="121"/>
      <c r="M53" s="121"/>
      <c r="N53" s="121"/>
      <c r="O53" s="121"/>
      <c r="P53" s="121"/>
      <c r="Q53" s="121"/>
      <c r="R53" s="121"/>
      <c r="S53" s="121"/>
      <c r="T53" s="121"/>
      <c r="U53" s="121"/>
      <c r="V53" s="121"/>
      <c r="W53" s="121"/>
      <c r="X53" s="294"/>
    </row>
    <row r="54" ht="21" customHeight="1" spans="1:24">
      <c r="A54" s="124"/>
      <c r="B54" s="125"/>
      <c r="C54" s="125"/>
      <c r="D54" s="125"/>
      <c r="E54" s="125"/>
      <c r="F54" s="125"/>
      <c r="G54" s="125"/>
      <c r="H54" s="125"/>
      <c r="I54" s="125"/>
      <c r="J54" s="125"/>
      <c r="K54" s="125"/>
      <c r="L54" s="125"/>
      <c r="M54" s="125"/>
      <c r="N54" s="125"/>
      <c r="O54" s="125"/>
      <c r="P54" s="125"/>
      <c r="Q54" s="125"/>
      <c r="R54" s="125"/>
      <c r="S54" s="125"/>
      <c r="T54" s="125"/>
      <c r="U54" s="125"/>
      <c r="V54" s="125"/>
      <c r="W54" s="125"/>
      <c r="X54" s="296"/>
    </row>
    <row r="55" ht="44" customHeight="1" spans="1:24">
      <c r="A55" s="14"/>
      <c r="B55" s="15" t="str">
        <f>_xlfn.DISPIMG("ID_8BD3346DD24A4ED3A8593408F17171C7",1)</f>
        <v>=DISPIMG("ID_8BD3346DD24A4ED3A8593408F17171C7",1)</v>
      </c>
      <c r="C55" s="15" t="str">
        <f>_xlfn.DISPIMG("ID_08FD1496187F4D329D790A69500B5542",1)</f>
        <v>=DISPIMG("ID_08FD1496187F4D329D790A69500B5542",1)</v>
      </c>
      <c r="D55" s="15" t="str">
        <f>_xlfn.DISPIMG("ID_665A0E41B7FD4CBA947A42C606BE620D",1)</f>
        <v>=DISPIMG("ID_665A0E41B7FD4CBA947A42C606BE620D",1)</v>
      </c>
      <c r="E55" s="15" t="str">
        <f>_xlfn.DISPIMG("ID_B63272372D9549B1B711D84A0EA38EF5",1)</f>
        <v>=DISPIMG("ID_B63272372D9549B1B711D84A0EA38EF5",1)</v>
      </c>
      <c r="F55" s="16"/>
      <c r="G55" s="126" t="s">
        <v>1035</v>
      </c>
      <c r="H55" s="127"/>
      <c r="I55" s="127"/>
      <c r="J55" s="127"/>
      <c r="K55" s="127"/>
      <c r="L55" s="127"/>
      <c r="M55" s="127"/>
      <c r="N55" s="127"/>
      <c r="O55" s="220"/>
      <c r="P55" s="134"/>
      <c r="Q55" s="233"/>
      <c r="R55" s="233"/>
      <c r="S55" s="233"/>
      <c r="T55" s="233"/>
      <c r="U55" s="233"/>
      <c r="V55" s="233"/>
      <c r="W55" s="233"/>
      <c r="X55" s="234"/>
    </row>
    <row r="56" ht="21" customHeight="1" spans="1:24">
      <c r="A56" s="45"/>
      <c r="B56" s="46"/>
      <c r="C56" s="46"/>
      <c r="D56" s="46"/>
      <c r="E56" s="46"/>
      <c r="F56" s="46"/>
      <c r="G56" s="46"/>
      <c r="H56" s="46"/>
      <c r="I56" s="46"/>
      <c r="J56" s="106"/>
      <c r="K56" s="106"/>
      <c r="L56" s="106"/>
      <c r="M56" s="106"/>
      <c r="N56" s="106"/>
      <c r="O56" s="106"/>
      <c r="P56" s="106"/>
      <c r="Q56" s="106"/>
      <c r="R56" s="106"/>
      <c r="S56" s="106"/>
      <c r="T56" s="106"/>
      <c r="U56" s="106"/>
      <c r="V56" s="106"/>
      <c r="W56" s="46"/>
      <c r="X56" s="252"/>
    </row>
    <row r="57" ht="21" customHeight="1" spans="1:24">
      <c r="A57" s="21" t="s">
        <v>1036</v>
      </c>
      <c r="B57" s="22"/>
      <c r="C57" s="23">
        <v>0</v>
      </c>
      <c r="D57" s="24">
        <v>1</v>
      </c>
      <c r="E57" s="24">
        <v>2</v>
      </c>
      <c r="F57" s="24">
        <v>3</v>
      </c>
      <c r="G57" s="24">
        <v>4</v>
      </c>
      <c r="H57" s="24">
        <v>5</v>
      </c>
      <c r="I57" s="24">
        <v>6</v>
      </c>
      <c r="J57" s="24">
        <v>7</v>
      </c>
      <c r="K57" s="135">
        <v>8</v>
      </c>
      <c r="L57" s="136">
        <v>9</v>
      </c>
      <c r="M57" s="137"/>
      <c r="N57" s="138"/>
      <c r="O57" s="139">
        <v>10</v>
      </c>
      <c r="P57" s="140">
        <v>11</v>
      </c>
      <c r="Q57" s="236">
        <v>12</v>
      </c>
      <c r="R57" s="236"/>
      <c r="S57" s="236"/>
      <c r="T57" s="139">
        <v>13</v>
      </c>
      <c r="U57" s="237">
        <v>14</v>
      </c>
      <c r="V57" s="140">
        <v>15</v>
      </c>
      <c r="W57" s="137">
        <v>16</v>
      </c>
      <c r="X57" s="138"/>
    </row>
    <row r="58" ht="21" customHeight="1" spans="1:24">
      <c r="A58" s="128" t="s">
        <v>1037</v>
      </c>
      <c r="B58" s="129"/>
      <c r="C58" s="110">
        <v>500</v>
      </c>
      <c r="D58" s="130">
        <v>540</v>
      </c>
      <c r="E58" s="130">
        <v>580</v>
      </c>
      <c r="F58" s="130">
        <v>620</v>
      </c>
      <c r="G58" s="130">
        <v>680</v>
      </c>
      <c r="H58" s="130">
        <v>740</v>
      </c>
      <c r="I58" s="130">
        <v>800</v>
      </c>
      <c r="J58" s="130">
        <v>880</v>
      </c>
      <c r="K58" s="221">
        <v>960</v>
      </c>
      <c r="L58" s="212"/>
      <c r="M58" s="222">
        <v>1040</v>
      </c>
      <c r="N58" s="214"/>
      <c r="O58" s="223">
        <v>1140</v>
      </c>
      <c r="P58" s="224">
        <v>1240</v>
      </c>
      <c r="Q58" s="214"/>
      <c r="R58" s="297">
        <v>1340</v>
      </c>
      <c r="S58" s="214"/>
      <c r="T58" s="223">
        <v>1440</v>
      </c>
      <c r="U58" s="298">
        <v>1540</v>
      </c>
      <c r="V58" s="224">
        <v>1640</v>
      </c>
      <c r="W58" s="291"/>
      <c r="X58" s="299">
        <v>1740</v>
      </c>
    </row>
    <row r="59" ht="21" customHeight="1" spans="1:24">
      <c r="A59" s="25" t="s">
        <v>1038</v>
      </c>
      <c r="B59" s="25"/>
      <c r="C59" s="41">
        <v>50</v>
      </c>
      <c r="D59" s="42">
        <v>48</v>
      </c>
      <c r="E59" s="42">
        <v>45</v>
      </c>
      <c r="F59" s="43">
        <v>42</v>
      </c>
      <c r="G59" s="42">
        <v>38</v>
      </c>
      <c r="H59" s="44">
        <v>34</v>
      </c>
      <c r="I59" s="42">
        <v>30</v>
      </c>
      <c r="J59" s="163">
        <v>25</v>
      </c>
      <c r="K59" s="164">
        <v>20</v>
      </c>
      <c r="L59" s="225" t="s">
        <v>1039</v>
      </c>
      <c r="M59" s="226"/>
      <c r="N59" s="226"/>
      <c r="O59" s="226"/>
      <c r="P59" s="226"/>
      <c r="Q59" s="226"/>
      <c r="R59" s="226"/>
      <c r="S59" s="226"/>
      <c r="T59" s="226"/>
      <c r="U59" s="226"/>
      <c r="V59" s="226"/>
      <c r="W59" s="226"/>
      <c r="X59" s="300"/>
    </row>
    <row r="60" ht="21" customHeight="1" spans="1:24">
      <c r="A60" s="128" t="s">
        <v>1040</v>
      </c>
      <c r="B60" s="129"/>
      <c r="C60" s="110">
        <v>50</v>
      </c>
      <c r="D60" s="130">
        <v>48</v>
      </c>
      <c r="E60" s="130">
        <v>46</v>
      </c>
      <c r="F60" s="130">
        <v>44</v>
      </c>
      <c r="G60" s="130">
        <v>42</v>
      </c>
      <c r="H60" s="130">
        <v>40</v>
      </c>
      <c r="I60" s="130">
        <v>38</v>
      </c>
      <c r="J60" s="130">
        <v>35</v>
      </c>
      <c r="K60" s="221">
        <v>32</v>
      </c>
      <c r="L60" s="212"/>
      <c r="M60" s="222">
        <v>29</v>
      </c>
      <c r="N60" s="214"/>
      <c r="O60" s="223">
        <v>26</v>
      </c>
      <c r="P60" s="224">
        <v>23</v>
      </c>
      <c r="Q60" s="214"/>
      <c r="R60" s="297">
        <v>20</v>
      </c>
      <c r="S60" s="214"/>
      <c r="T60" s="223">
        <v>17</v>
      </c>
      <c r="U60" s="298">
        <v>14</v>
      </c>
      <c r="V60" s="224">
        <v>11</v>
      </c>
      <c r="W60" s="291"/>
      <c r="X60" s="299">
        <v>8</v>
      </c>
    </row>
    <row r="61" ht="21" customHeight="1" spans="1:24">
      <c r="A61" s="25" t="s">
        <v>1041</v>
      </c>
      <c r="B61" s="25"/>
      <c r="C61" s="89">
        <v>85</v>
      </c>
      <c r="D61" s="90">
        <v>83</v>
      </c>
      <c r="E61" s="90">
        <v>81</v>
      </c>
      <c r="F61" s="91">
        <v>79</v>
      </c>
      <c r="G61" s="90">
        <v>77</v>
      </c>
      <c r="H61" s="92">
        <v>75</v>
      </c>
      <c r="I61" s="90">
        <v>73</v>
      </c>
      <c r="J61" s="206">
        <v>70</v>
      </c>
      <c r="K61" s="207">
        <v>50</v>
      </c>
      <c r="L61" s="227" t="s">
        <v>1042</v>
      </c>
      <c r="M61" s="228"/>
      <c r="N61" s="228"/>
      <c r="O61" s="228"/>
      <c r="P61" s="228"/>
      <c r="Q61" s="228"/>
      <c r="R61" s="228"/>
      <c r="S61" s="228"/>
      <c r="T61" s="228"/>
      <c r="U61" s="228"/>
      <c r="V61" s="228"/>
      <c r="W61" s="228"/>
      <c r="X61" s="301"/>
    </row>
    <row r="62" ht="21" spans="1:24">
      <c r="A62" s="73" t="s">
        <v>1043</v>
      </c>
      <c r="B62" s="74"/>
      <c r="C62" s="75">
        <v>50</v>
      </c>
      <c r="D62" s="76">
        <v>48</v>
      </c>
      <c r="E62" s="76">
        <v>46</v>
      </c>
      <c r="F62" s="76">
        <v>44</v>
      </c>
      <c r="G62" s="76">
        <v>42</v>
      </c>
      <c r="H62" s="76">
        <v>40</v>
      </c>
      <c r="I62" s="76">
        <v>38</v>
      </c>
      <c r="J62" s="76">
        <v>35</v>
      </c>
      <c r="K62" s="182">
        <v>32</v>
      </c>
      <c r="L62" s="196"/>
      <c r="M62" s="197">
        <v>29</v>
      </c>
      <c r="N62" s="198"/>
      <c r="O62" s="161">
        <v>26</v>
      </c>
      <c r="P62" s="162">
        <v>23</v>
      </c>
      <c r="Q62" s="198"/>
      <c r="R62" s="247">
        <v>20</v>
      </c>
      <c r="S62" s="198"/>
      <c r="T62" s="161">
        <v>17</v>
      </c>
      <c r="U62" s="248">
        <v>14</v>
      </c>
      <c r="V62" s="162">
        <v>11</v>
      </c>
      <c r="W62" s="271"/>
      <c r="X62" s="250">
        <v>7</v>
      </c>
    </row>
    <row r="65" ht="42" customHeight="1" spans="1:24">
      <c r="A65" s="302"/>
      <c r="B65" s="303"/>
      <c r="C65" s="303" t="str">
        <f>_xlfn.DISPIMG("ID_CCFB99B022EE43C09BDC09118356C71F",1)</f>
        <v>=DISPIMG("ID_CCFB99B022EE43C09BDC09118356C71F",1)</v>
      </c>
      <c r="D65" s="303" t="str">
        <f>_xlfn.DISPIMG("ID_C5E366902C884D1280223A0B8D94857A",1)</f>
        <v>=DISPIMG("ID_C5E366902C884D1280223A0B8D94857A",1)</v>
      </c>
      <c r="E65" s="303" t="str">
        <f>_xlfn.DISPIMG("ID_4B15EDF5826D49C396FE1A1ACBDEC4B4",1)</f>
        <v>=DISPIMG("ID_4B15EDF5826D49C396FE1A1ACBDEC4B4",1)</v>
      </c>
      <c r="F65" s="304"/>
      <c r="G65" s="305" t="s">
        <v>1044</v>
      </c>
      <c r="H65" s="305"/>
      <c r="I65" s="305"/>
      <c r="J65" s="305"/>
      <c r="K65" s="305"/>
      <c r="L65" s="305"/>
      <c r="M65" s="305"/>
      <c r="N65" s="305"/>
      <c r="O65" s="310"/>
      <c r="P65" s="311"/>
      <c r="Q65" s="316"/>
      <c r="R65" s="316"/>
      <c r="S65" s="316"/>
      <c r="T65" s="316"/>
      <c r="U65" s="316"/>
      <c r="V65" s="316"/>
      <c r="W65" s="316"/>
      <c r="X65" s="317"/>
    </row>
    <row r="66" ht="21" customHeight="1" spans="1:24">
      <c r="A66" s="77" t="s">
        <v>1045</v>
      </c>
      <c r="B66" s="78"/>
      <c r="C66" s="27">
        <v>500</v>
      </c>
      <c r="D66" s="28">
        <v>540</v>
      </c>
      <c r="E66" s="28">
        <v>580</v>
      </c>
      <c r="F66" s="28">
        <v>950</v>
      </c>
      <c r="G66" s="28">
        <v>1000</v>
      </c>
      <c r="H66" s="28">
        <v>1100</v>
      </c>
      <c r="I66" s="28">
        <v>1200</v>
      </c>
      <c r="J66" s="28">
        <v>1300</v>
      </c>
      <c r="K66" s="141">
        <v>1400</v>
      </c>
      <c r="L66" s="185"/>
      <c r="M66" s="186">
        <v>1550</v>
      </c>
      <c r="N66" s="187"/>
      <c r="O66" s="188">
        <v>1700</v>
      </c>
      <c r="P66" s="189">
        <v>1850</v>
      </c>
      <c r="Q66" s="187"/>
      <c r="R66" s="262">
        <v>2000</v>
      </c>
      <c r="S66" s="187"/>
      <c r="T66" s="188">
        <v>2200</v>
      </c>
      <c r="U66" s="263">
        <v>2400</v>
      </c>
      <c r="V66" s="189">
        <v>2600</v>
      </c>
      <c r="W66" s="264"/>
      <c r="X66" s="265">
        <v>2800</v>
      </c>
    </row>
    <row r="67" ht="21" customHeight="1" spans="1:24">
      <c r="A67" s="306" t="s">
        <v>1046</v>
      </c>
      <c r="B67" s="26"/>
      <c r="C67" s="113">
        <v>1040</v>
      </c>
      <c r="D67" s="307">
        <v>1105</v>
      </c>
      <c r="E67" s="307">
        <v>1170</v>
      </c>
      <c r="F67" s="307">
        <v>1235</v>
      </c>
      <c r="G67" s="307">
        <v>1300</v>
      </c>
      <c r="H67" s="307">
        <v>1430</v>
      </c>
      <c r="I67" s="307">
        <v>1560</v>
      </c>
      <c r="J67" s="307">
        <v>1690</v>
      </c>
      <c r="K67" s="312">
        <v>1820</v>
      </c>
      <c r="L67" s="313"/>
      <c r="M67" s="155">
        <v>2015</v>
      </c>
      <c r="N67" s="314"/>
      <c r="O67" s="145">
        <v>2210</v>
      </c>
      <c r="P67" s="146">
        <v>2405</v>
      </c>
      <c r="Q67" s="314"/>
      <c r="R67" s="238">
        <v>2600</v>
      </c>
      <c r="S67" s="314"/>
      <c r="T67" s="145">
        <v>2860</v>
      </c>
      <c r="U67" s="239">
        <v>3120</v>
      </c>
      <c r="V67" s="146">
        <v>3380</v>
      </c>
      <c r="W67" s="318"/>
      <c r="X67" s="241">
        <v>3640</v>
      </c>
    </row>
    <row r="68" ht="21" customHeight="1" spans="1:24">
      <c r="A68" s="65" t="s">
        <v>288</v>
      </c>
      <c r="B68" s="65"/>
      <c r="C68" s="66">
        <v>30</v>
      </c>
      <c r="D68" s="67">
        <v>28</v>
      </c>
      <c r="E68" s="67">
        <v>26</v>
      </c>
      <c r="F68" s="93">
        <v>24</v>
      </c>
      <c r="G68" s="67">
        <v>22</v>
      </c>
      <c r="H68" s="69">
        <v>20</v>
      </c>
      <c r="I68" s="67">
        <v>18</v>
      </c>
      <c r="J68" s="178">
        <v>15</v>
      </c>
      <c r="K68" s="179">
        <v>12</v>
      </c>
      <c r="L68" s="26" t="s">
        <v>1023</v>
      </c>
      <c r="M68" s="315"/>
      <c r="N68" s="315"/>
      <c r="O68" s="315"/>
      <c r="P68" s="315"/>
      <c r="Q68" s="315"/>
      <c r="R68" s="315"/>
      <c r="S68" s="315"/>
      <c r="T68" s="315"/>
      <c r="U68" s="315"/>
      <c r="V68" s="315"/>
      <c r="W68" s="315"/>
      <c r="X68" s="319"/>
    </row>
    <row r="69" ht="21" customHeight="1" spans="1:24">
      <c r="A69" s="308" t="s">
        <v>336</v>
      </c>
      <c r="B69" s="309"/>
      <c r="C69" s="309"/>
      <c r="D69" s="309"/>
      <c r="E69" s="309"/>
      <c r="F69" s="309"/>
      <c r="G69" s="309"/>
      <c r="H69" s="309"/>
      <c r="I69" s="309"/>
      <c r="J69" s="309"/>
      <c r="K69" s="309"/>
      <c r="L69" s="309"/>
      <c r="M69" s="309"/>
      <c r="N69" s="309"/>
      <c r="O69" s="309"/>
      <c r="P69" s="309"/>
      <c r="Q69" s="309"/>
      <c r="R69" s="309"/>
      <c r="S69" s="309"/>
      <c r="T69" s="309"/>
      <c r="U69" s="309"/>
      <c r="V69" s="309"/>
      <c r="W69" s="309"/>
      <c r="X69" s="320"/>
    </row>
  </sheetData>
  <sheetProtection formatCells="0" insertHyperlinks="0" autoFilter="0"/>
  <mergeCells count="112">
    <mergeCell ref="A1:C1"/>
    <mergeCell ref="D1:T1"/>
    <mergeCell ref="U1:X1"/>
    <mergeCell ref="B2:D2"/>
    <mergeCell ref="F2:H2"/>
    <mergeCell ref="J2:V2"/>
    <mergeCell ref="W2:X2"/>
    <mergeCell ref="A3:X3"/>
    <mergeCell ref="A4:X4"/>
    <mergeCell ref="G5:O5"/>
    <mergeCell ref="P5:X5"/>
    <mergeCell ref="A6:X6"/>
    <mergeCell ref="A7:B7"/>
    <mergeCell ref="L7:N7"/>
    <mergeCell ref="Q7:S7"/>
    <mergeCell ref="W7:X7"/>
    <mergeCell ref="A8:B8"/>
    <mergeCell ref="A9:B9"/>
    <mergeCell ref="A10:B10"/>
    <mergeCell ref="A11:B11"/>
    <mergeCell ref="A12:B12"/>
    <mergeCell ref="L12:X12"/>
    <mergeCell ref="A13:X13"/>
    <mergeCell ref="E14:F14"/>
    <mergeCell ref="G14:O14"/>
    <mergeCell ref="P14:X14"/>
    <mergeCell ref="A15:X15"/>
    <mergeCell ref="A16:B16"/>
    <mergeCell ref="L16:N16"/>
    <mergeCell ref="Q16:S16"/>
    <mergeCell ref="W16:X16"/>
    <mergeCell ref="A17:B17"/>
    <mergeCell ref="A18:B18"/>
    <mergeCell ref="A19:B19"/>
    <mergeCell ref="A20:B20"/>
    <mergeCell ref="A21:B21"/>
    <mergeCell ref="A22:B22"/>
    <mergeCell ref="L22:X22"/>
    <mergeCell ref="A23:B23"/>
    <mergeCell ref="L23:X23"/>
    <mergeCell ref="A24:B24"/>
    <mergeCell ref="L24:X24"/>
    <mergeCell ref="A25:X25"/>
    <mergeCell ref="G26:O26"/>
    <mergeCell ref="P26:X26"/>
    <mergeCell ref="A27:X27"/>
    <mergeCell ref="A28:B28"/>
    <mergeCell ref="L28:N28"/>
    <mergeCell ref="Q28:S28"/>
    <mergeCell ref="W28:X28"/>
    <mergeCell ref="A29:B29"/>
    <mergeCell ref="A30:B30"/>
    <mergeCell ref="A31:B31"/>
    <mergeCell ref="A32:X32"/>
    <mergeCell ref="A33:B33"/>
    <mergeCell ref="A34:B34"/>
    <mergeCell ref="A35:B35"/>
    <mergeCell ref="A36:B36"/>
    <mergeCell ref="L36:X36"/>
    <mergeCell ref="A37:B37"/>
    <mergeCell ref="L37:X37"/>
    <mergeCell ref="A38:B38"/>
    <mergeCell ref="L38:X38"/>
    <mergeCell ref="A39:B39"/>
    <mergeCell ref="L39:R39"/>
    <mergeCell ref="A42:X42"/>
    <mergeCell ref="E43:F43"/>
    <mergeCell ref="G43:O43"/>
    <mergeCell ref="P43:X43"/>
    <mergeCell ref="A44:X44"/>
    <mergeCell ref="A45:B45"/>
    <mergeCell ref="L45:N45"/>
    <mergeCell ref="Q45:S45"/>
    <mergeCell ref="W45:X45"/>
    <mergeCell ref="A46:B46"/>
    <mergeCell ref="D46:X46"/>
    <mergeCell ref="A47:B47"/>
    <mergeCell ref="D47:X47"/>
    <mergeCell ref="A48:B48"/>
    <mergeCell ref="A49:X49"/>
    <mergeCell ref="A50:X50"/>
    <mergeCell ref="A51:B51"/>
    <mergeCell ref="L51:N51"/>
    <mergeCell ref="Q51:S51"/>
    <mergeCell ref="W51:X51"/>
    <mergeCell ref="A52:B52"/>
    <mergeCell ref="A53:X53"/>
    <mergeCell ref="A54:X54"/>
    <mergeCell ref="G55:O55"/>
    <mergeCell ref="P55:X55"/>
    <mergeCell ref="A56:X56"/>
    <mergeCell ref="A57:B57"/>
    <mergeCell ref="L57:N57"/>
    <mergeCell ref="Q57:S57"/>
    <mergeCell ref="W57:X57"/>
    <mergeCell ref="A58:B58"/>
    <mergeCell ref="A59:B59"/>
    <mergeCell ref="L59:X59"/>
    <mergeCell ref="A60:B60"/>
    <mergeCell ref="A61:B61"/>
    <mergeCell ref="L61:X61"/>
    <mergeCell ref="A62:B62"/>
    <mergeCell ref="G65:O65"/>
    <mergeCell ref="P65:X65"/>
    <mergeCell ref="A66:B66"/>
    <mergeCell ref="A67:B67"/>
    <mergeCell ref="A68:B68"/>
    <mergeCell ref="L68:X68"/>
    <mergeCell ref="A69:X69"/>
    <mergeCell ref="T39:X41"/>
    <mergeCell ref="A40:B41"/>
    <mergeCell ref="C40:R41"/>
  </mergeCells>
  <hyperlinks>
    <hyperlink ref="D46:X46" location="'5.产能'!A1" display="耗能150/125/125|体力恒定1200|冷却25s|产火相关数据见⑤表\持续产火类\兼职产火" tooltip="点击跳转至表5"/>
  </hyperlinks>
  <pageMargins left="0.75" right="0.75" top="1" bottom="1" header="0.5" footer="0.5"/>
  <pageSetup paperSize="9" scale="55" orientation="portrait"/>
  <headerFooter/>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2"/>
  <sheetViews>
    <sheetView tabSelected="1" workbookViewId="0">
      <selection activeCell="G7" sqref="G7"/>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1</v>
      </c>
      <c r="B1" s="2"/>
      <c r="C1" s="2"/>
      <c r="D1" s="3" t="s">
        <v>32</v>
      </c>
      <c r="E1" s="2"/>
      <c r="F1" s="2"/>
      <c r="G1" s="2"/>
      <c r="H1" s="2"/>
      <c r="I1" s="2"/>
      <c r="J1" s="2"/>
      <c r="K1" s="2"/>
      <c r="L1" s="2"/>
      <c r="M1" s="2"/>
      <c r="N1" s="2"/>
      <c r="O1" s="2"/>
      <c r="P1" s="2"/>
      <c r="Q1" s="2"/>
      <c r="R1" s="2"/>
      <c r="S1" s="2"/>
      <c r="T1" s="2"/>
      <c r="U1" s="2">
        <v>1</v>
      </c>
      <c r="V1" s="2"/>
      <c r="W1" s="2"/>
      <c r="X1" s="2"/>
    </row>
    <row r="2" ht="21" customHeight="1" spans="1:24">
      <c r="A2" s="5"/>
      <c r="B2" s="6" t="s">
        <v>1</v>
      </c>
      <c r="C2" s="7"/>
      <c r="D2" s="8"/>
      <c r="E2" s="9"/>
      <c r="F2" s="6" t="s">
        <v>33</v>
      </c>
      <c r="G2" s="7"/>
      <c r="H2" s="8"/>
      <c r="I2" s="9"/>
      <c r="J2" s="131" t="s">
        <v>34</v>
      </c>
      <c r="K2" s="132"/>
      <c r="L2" s="132"/>
      <c r="M2" s="132"/>
      <c r="N2" s="132"/>
      <c r="O2" s="132"/>
      <c r="P2" s="132"/>
      <c r="Q2" s="132"/>
      <c r="R2" s="132"/>
      <c r="S2" s="132"/>
      <c r="T2" s="132"/>
      <c r="U2" s="132"/>
      <c r="V2" s="229"/>
      <c r="W2" s="230"/>
      <c r="X2" s="230"/>
    </row>
    <row r="3" ht="21" customHeight="1" spans="1:24">
      <c r="A3" s="12" t="s">
        <v>35</v>
      </c>
      <c r="B3" s="13"/>
      <c r="C3" s="13"/>
      <c r="D3" s="13"/>
      <c r="E3" s="13"/>
      <c r="F3" s="13"/>
      <c r="G3" s="13"/>
      <c r="H3" s="13"/>
      <c r="I3" s="13"/>
      <c r="J3" s="13"/>
      <c r="K3" s="13"/>
      <c r="L3" s="13"/>
      <c r="M3" s="13"/>
      <c r="N3" s="13"/>
      <c r="O3" s="13"/>
      <c r="P3" s="13"/>
      <c r="Q3" s="13"/>
      <c r="R3" s="13"/>
      <c r="S3" s="13"/>
      <c r="T3" s="13"/>
      <c r="U3" s="13"/>
      <c r="V3" s="13"/>
      <c r="W3" s="13"/>
      <c r="X3" s="232"/>
    </row>
    <row r="4" ht="44" customHeight="1" spans="1:24">
      <c r="A4" s="14"/>
      <c r="B4" s="15" t="str">
        <f>_xlfn.DISPIMG("ID_F38C9F7576AE4D7B9C4C380CA75F1FB8",1)</f>
        <v>=DISPIMG("ID_F38C9F7576AE4D7B9C4C380CA75F1FB8",1)</v>
      </c>
      <c r="C4" s="15" t="str">
        <f>_xlfn.DISPIMG("ID_ECEBC1ECC8EF45248023A69DC602DC34",1)</f>
        <v>=DISPIMG("ID_ECEBC1ECC8EF45248023A69DC602DC34",1)</v>
      </c>
      <c r="D4" s="15" t="str">
        <f>_xlfn.DISPIMG("ID_DC4321FBBFCF404483F0BF5DB63DF94D",1)</f>
        <v>=DISPIMG("ID_DC4321FBBFCF404483F0BF5DB63DF94D",1)</v>
      </c>
      <c r="E4" s="15" t="str">
        <f>_xlfn.DISPIMG("ID_FCCE4506200C4BFE91C887672DE201DD",1)</f>
        <v>=DISPIMG("ID_FCCE4506200C4BFE91C887672DE201DD",1)</v>
      </c>
      <c r="F4" s="16" t="str">
        <f>_xlfn.DISPIMG("ID_3FF65BFBEE814AC795B30DD750351ECA",1)</f>
        <v>=DISPIMG("ID_3FF65BFBEE814AC795B30DD750351ECA",1)</v>
      </c>
      <c r="G4" s="71" t="s">
        <v>36</v>
      </c>
      <c r="H4" s="72"/>
      <c r="I4" s="72"/>
      <c r="J4" s="72"/>
      <c r="K4" s="72"/>
      <c r="L4" s="72"/>
      <c r="M4" s="72"/>
      <c r="N4" s="72"/>
      <c r="O4" s="180"/>
      <c r="P4" s="14" t="str">
        <f>_xlfn.DISPIMG("ID_298A4D4AB89D465A806CFB389BC976D6",1)</f>
        <v>=DISPIMG("ID_298A4D4AB89D465A806CFB389BC976D6",1)</v>
      </c>
      <c r="Q4" s="15"/>
      <c r="R4" s="15" t="str">
        <f>_xlfn.DISPIMG("ID_2729F43C6D1642BDACA68CFFDAA31DAF",1)</f>
        <v>=DISPIMG("ID_2729F43C6D1642BDACA68CFFDAA31DAF",1)</v>
      </c>
      <c r="S4" s="15"/>
      <c r="T4" s="15" t="str">
        <f>_xlfn.DISPIMG("ID_DF9E33285F7B4D4C9F88694C1F01D144",1)</f>
        <v>=DISPIMG("ID_DF9E33285F7B4D4C9F88694C1F01D144",1)</v>
      </c>
      <c r="U4" s="15" t="str">
        <f>_xlfn.DISPIMG("ID_FD343B43B6BC43F8A6E533E405460787",1)</f>
        <v>=DISPIMG("ID_FD343B43B6BC43F8A6E533E405460787",1)</v>
      </c>
      <c r="V4" s="15" t="str">
        <f>_xlfn.DISPIMG("ID_9643839A5C3B4E328C22F53D81ACF80D",1)</f>
        <v>=DISPIMG("ID_9643839A5C3B4E328C22F53D81ACF80D",1)</v>
      </c>
      <c r="W4" s="15"/>
      <c r="X4" s="16"/>
    </row>
    <row r="5" ht="21" customHeight="1" spans="1:24">
      <c r="A5" s="714"/>
      <c r="B5" s="715"/>
      <c r="C5" s="715"/>
      <c r="D5" s="715"/>
      <c r="E5" s="715"/>
      <c r="F5" s="715"/>
      <c r="G5" s="715"/>
      <c r="H5" s="715"/>
      <c r="I5" s="715"/>
      <c r="J5" s="715"/>
      <c r="K5" s="715"/>
      <c r="L5" s="715"/>
      <c r="M5" s="715"/>
      <c r="N5" s="715"/>
      <c r="O5" s="715"/>
      <c r="P5" s="715"/>
      <c r="Q5" s="715"/>
      <c r="R5" s="715"/>
      <c r="S5" s="715"/>
      <c r="T5" s="715"/>
      <c r="U5" s="715"/>
      <c r="V5" s="715"/>
      <c r="W5" s="715"/>
      <c r="X5" s="749"/>
    </row>
    <row r="6" ht="21" customHeight="1" spans="1:24">
      <c r="A6" s="21" t="s">
        <v>8</v>
      </c>
      <c r="B6" s="22"/>
      <c r="C6" s="23">
        <v>0</v>
      </c>
      <c r="D6" s="24">
        <v>1</v>
      </c>
      <c r="E6" s="24">
        <v>2</v>
      </c>
      <c r="F6" s="24">
        <v>3</v>
      </c>
      <c r="G6" s="24">
        <v>4</v>
      </c>
      <c r="H6" s="24">
        <v>5</v>
      </c>
      <c r="I6" s="24">
        <v>6</v>
      </c>
      <c r="J6" s="24">
        <v>7</v>
      </c>
      <c r="K6" s="135">
        <v>8</v>
      </c>
      <c r="L6" s="136">
        <v>9</v>
      </c>
      <c r="M6" s="137"/>
      <c r="N6" s="137"/>
      <c r="O6" s="139">
        <v>10</v>
      </c>
      <c r="P6" s="140">
        <v>11</v>
      </c>
      <c r="Q6" s="236">
        <v>12</v>
      </c>
      <c r="R6" s="236"/>
      <c r="S6" s="236"/>
      <c r="T6" s="139">
        <v>13</v>
      </c>
      <c r="U6" s="237">
        <v>14</v>
      </c>
      <c r="V6" s="140">
        <v>15</v>
      </c>
      <c r="W6" s="137">
        <v>16</v>
      </c>
      <c r="X6" s="138"/>
    </row>
    <row r="7" ht="21" customHeight="1" spans="1:24">
      <c r="A7" s="128" t="s">
        <v>37</v>
      </c>
      <c r="B7" s="129"/>
      <c r="C7" s="116">
        <v>14</v>
      </c>
      <c r="D7" s="117">
        <v>16</v>
      </c>
      <c r="E7" s="117">
        <v>18</v>
      </c>
      <c r="F7" s="117">
        <v>20</v>
      </c>
      <c r="G7" s="117">
        <v>22</v>
      </c>
      <c r="H7" s="117">
        <v>24</v>
      </c>
      <c r="I7" s="117">
        <v>28</v>
      </c>
      <c r="J7" s="117">
        <v>34</v>
      </c>
      <c r="K7" s="211">
        <v>42</v>
      </c>
      <c r="L7" s="196"/>
      <c r="M7" s="222">
        <v>58</v>
      </c>
      <c r="N7" s="198"/>
      <c r="O7" s="223">
        <v>74</v>
      </c>
      <c r="P7" s="224">
        <v>89</v>
      </c>
      <c r="Q7" s="198"/>
      <c r="R7" s="297">
        <v>108</v>
      </c>
      <c r="S7" s="198"/>
      <c r="T7" s="223">
        <v>128</v>
      </c>
      <c r="U7" s="298">
        <v>148</v>
      </c>
      <c r="V7" s="224">
        <v>168</v>
      </c>
      <c r="W7" s="271"/>
      <c r="X7" s="299">
        <v>188</v>
      </c>
    </row>
    <row r="8" ht="21" customHeight="1" spans="1:24">
      <c r="A8" s="26" t="s">
        <v>38</v>
      </c>
      <c r="B8" s="315"/>
      <c r="C8" s="113">
        <v>17</v>
      </c>
      <c r="D8" s="307">
        <v>20</v>
      </c>
      <c r="E8" s="307">
        <v>23</v>
      </c>
      <c r="F8" s="307">
        <v>26</v>
      </c>
      <c r="G8" s="307">
        <v>29</v>
      </c>
      <c r="H8" s="307">
        <v>32</v>
      </c>
      <c r="I8" s="307">
        <v>35</v>
      </c>
      <c r="J8" s="307">
        <v>41</v>
      </c>
      <c r="K8" s="312">
        <v>51</v>
      </c>
      <c r="L8" s="364"/>
      <c r="M8" s="143">
        <v>63</v>
      </c>
      <c r="N8" s="144"/>
      <c r="O8" s="145">
        <v>87</v>
      </c>
      <c r="P8" s="146">
        <v>111</v>
      </c>
      <c r="Q8" s="144"/>
      <c r="R8" s="238">
        <v>135</v>
      </c>
      <c r="S8" s="144"/>
      <c r="T8" s="145">
        <v>158</v>
      </c>
      <c r="U8" s="239">
        <v>185</v>
      </c>
      <c r="V8" s="146">
        <v>210</v>
      </c>
      <c r="W8" s="240"/>
      <c r="X8" s="241">
        <v>235</v>
      </c>
    </row>
    <row r="9" ht="21" customHeight="1" spans="1:24">
      <c r="A9" s="59" t="s">
        <v>18</v>
      </c>
      <c r="B9" s="60"/>
      <c r="C9" s="61">
        <v>0</v>
      </c>
      <c r="D9" s="62">
        <v>1</v>
      </c>
      <c r="E9" s="62">
        <v>2</v>
      </c>
      <c r="F9" s="63">
        <v>3</v>
      </c>
      <c r="G9" s="62">
        <v>4</v>
      </c>
      <c r="H9" s="64">
        <v>5</v>
      </c>
      <c r="I9" s="62">
        <v>6</v>
      </c>
      <c r="J9" s="174">
        <v>7</v>
      </c>
      <c r="K9" s="175">
        <v>8</v>
      </c>
      <c r="L9" s="122" t="s">
        <v>39</v>
      </c>
      <c r="M9" s="122"/>
      <c r="N9" s="122"/>
      <c r="O9" s="122"/>
      <c r="P9" s="122"/>
      <c r="Q9" s="122"/>
      <c r="R9" s="122"/>
      <c r="S9" s="122"/>
      <c r="T9" s="122"/>
      <c r="U9" s="122"/>
      <c r="V9" s="122"/>
      <c r="W9" s="122"/>
      <c r="X9" s="122"/>
    </row>
    <row r="10" ht="21" customHeight="1" spans="1:24">
      <c r="A10" s="122" t="s">
        <v>37</v>
      </c>
      <c r="B10" s="122"/>
      <c r="C10" s="41">
        <v>1.4</v>
      </c>
      <c r="D10" s="42">
        <v>1.35</v>
      </c>
      <c r="E10" s="42">
        <v>1.3</v>
      </c>
      <c r="F10" s="43">
        <v>1.25</v>
      </c>
      <c r="G10" s="42">
        <v>1.2</v>
      </c>
      <c r="H10" s="44">
        <v>1.15</v>
      </c>
      <c r="I10" s="42">
        <v>1.1</v>
      </c>
      <c r="J10" s="163">
        <v>1.05</v>
      </c>
      <c r="K10" s="164">
        <v>1</v>
      </c>
      <c r="L10" s="122" t="s">
        <v>40</v>
      </c>
      <c r="M10" s="122"/>
      <c r="N10" s="122"/>
      <c r="O10" s="122"/>
      <c r="P10" s="122"/>
      <c r="Q10" s="122"/>
      <c r="R10" s="122"/>
      <c r="S10" s="122"/>
      <c r="T10" s="122"/>
      <c r="U10" s="122"/>
      <c r="V10" s="122"/>
      <c r="W10" s="122"/>
      <c r="X10" s="122"/>
    </row>
    <row r="11" ht="21" customHeight="1" spans="1:24">
      <c r="A11" s="65" t="s">
        <v>38</v>
      </c>
      <c r="B11" s="65"/>
      <c r="C11" s="66">
        <v>1.4</v>
      </c>
      <c r="D11" s="67">
        <v>1.35</v>
      </c>
      <c r="E11" s="67">
        <v>1.3</v>
      </c>
      <c r="F11" s="93">
        <v>1.25</v>
      </c>
      <c r="G11" s="67">
        <v>1.2</v>
      </c>
      <c r="H11" s="69">
        <v>1.15</v>
      </c>
      <c r="I11" s="67">
        <v>1.1</v>
      </c>
      <c r="J11" s="178">
        <v>1.05</v>
      </c>
      <c r="K11" s="378">
        <v>1</v>
      </c>
      <c r="L11" s="496" t="s">
        <v>41</v>
      </c>
      <c r="M11" s="496"/>
      <c r="N11" s="496"/>
      <c r="O11" s="496"/>
      <c r="P11" s="496"/>
      <c r="Q11" s="496"/>
      <c r="R11" s="496"/>
      <c r="S11" s="496"/>
      <c r="T11" s="496"/>
      <c r="U11" s="496"/>
      <c r="V11" s="496"/>
      <c r="W11" s="496"/>
      <c r="X11" s="496"/>
    </row>
    <row r="12" ht="21" customHeight="1" spans="1:24">
      <c r="A12" s="622" t="s">
        <v>42</v>
      </c>
      <c r="B12" s="622"/>
      <c r="C12" s="622"/>
      <c r="D12" s="622"/>
      <c r="E12" s="622"/>
      <c r="F12" s="622"/>
      <c r="G12" s="622"/>
      <c r="H12" s="622"/>
      <c r="I12" s="622"/>
      <c r="J12" s="622"/>
      <c r="K12" s="622"/>
      <c r="L12" s="622"/>
      <c r="M12" s="622"/>
      <c r="N12" s="622"/>
      <c r="O12" s="622"/>
      <c r="P12" s="622"/>
      <c r="Q12" s="622"/>
      <c r="R12" s="622"/>
      <c r="S12" s="622"/>
      <c r="T12" s="622"/>
      <c r="U12" s="622"/>
      <c r="V12" s="622"/>
      <c r="W12" s="622"/>
      <c r="X12" s="622"/>
    </row>
    <row r="13" ht="21" customHeight="1" spans="1:24">
      <c r="A13" s="1467" t="s">
        <v>43</v>
      </c>
      <c r="B13" s="123"/>
      <c r="C13" s="87">
        <f t="shared" ref="C13:K13" si="0">INT(INT(C7*1.25)*1.15)+35</f>
        <v>54</v>
      </c>
      <c r="D13" s="88">
        <f t="shared" si="0"/>
        <v>58</v>
      </c>
      <c r="E13" s="88">
        <f t="shared" si="0"/>
        <v>60</v>
      </c>
      <c r="F13" s="88">
        <f t="shared" si="0"/>
        <v>63</v>
      </c>
      <c r="G13" s="88">
        <f t="shared" si="0"/>
        <v>66</v>
      </c>
      <c r="H13" s="88">
        <f t="shared" si="0"/>
        <v>69</v>
      </c>
      <c r="I13" s="88">
        <f t="shared" si="0"/>
        <v>75</v>
      </c>
      <c r="J13" s="88">
        <f t="shared" si="0"/>
        <v>83</v>
      </c>
      <c r="K13" s="199">
        <f t="shared" si="0"/>
        <v>94</v>
      </c>
      <c r="L13" s="380"/>
      <c r="M13" s="218">
        <f t="shared" ref="M13:P13" si="1">INT(INT(M7*1.25)*1.15)+35</f>
        <v>117</v>
      </c>
      <c r="N13" s="367"/>
      <c r="O13" s="203">
        <f t="shared" si="1"/>
        <v>140</v>
      </c>
      <c r="P13" s="204">
        <f t="shared" si="1"/>
        <v>162</v>
      </c>
      <c r="Q13" s="367"/>
      <c r="R13" s="272">
        <f t="shared" ref="R13:V13" si="2">INT(INT(R7*1.25)*1.15)+35</f>
        <v>190</v>
      </c>
      <c r="S13" s="367"/>
      <c r="T13" s="203">
        <f t="shared" si="2"/>
        <v>219</v>
      </c>
      <c r="U13" s="273">
        <f t="shared" si="2"/>
        <v>247</v>
      </c>
      <c r="V13" s="204">
        <f t="shared" si="2"/>
        <v>276</v>
      </c>
      <c r="W13" s="403"/>
      <c r="X13" s="275">
        <f>INT(INT(X7*1.25)*1.15)+35</f>
        <v>305</v>
      </c>
    </row>
    <row r="14" ht="21" customHeight="1" spans="1:24">
      <c r="A14" s="1504" t="s">
        <v>44</v>
      </c>
      <c r="B14" s="482"/>
      <c r="C14" s="75">
        <f t="shared" ref="C14:K14" si="3">INT(INT(C8*1.2)*1.15)+35</f>
        <v>58</v>
      </c>
      <c r="D14" s="76">
        <f t="shared" si="3"/>
        <v>62</v>
      </c>
      <c r="E14" s="76">
        <f t="shared" si="3"/>
        <v>66</v>
      </c>
      <c r="F14" s="76">
        <f t="shared" si="3"/>
        <v>70</v>
      </c>
      <c r="G14" s="76">
        <f t="shared" si="3"/>
        <v>74</v>
      </c>
      <c r="H14" s="76">
        <f t="shared" si="3"/>
        <v>78</v>
      </c>
      <c r="I14" s="76">
        <f t="shared" si="3"/>
        <v>83</v>
      </c>
      <c r="J14" s="76">
        <f t="shared" si="3"/>
        <v>91</v>
      </c>
      <c r="K14" s="182">
        <f t="shared" si="3"/>
        <v>105</v>
      </c>
      <c r="L14" s="158"/>
      <c r="M14" s="159">
        <f t="shared" ref="M14:P14" si="4">INT(INT(M8*1.2)*1.15)+35</f>
        <v>121</v>
      </c>
      <c r="N14" s="160"/>
      <c r="O14" s="161">
        <f t="shared" si="4"/>
        <v>154</v>
      </c>
      <c r="P14" s="162">
        <f t="shared" si="4"/>
        <v>187</v>
      </c>
      <c r="Q14" s="160"/>
      <c r="R14" s="247">
        <f t="shared" ref="R14:V14" si="5">INT(INT(R8*1.2)*1.15)+35</f>
        <v>221</v>
      </c>
      <c r="S14" s="160"/>
      <c r="T14" s="161">
        <f t="shared" si="5"/>
        <v>252</v>
      </c>
      <c r="U14" s="248">
        <f t="shared" si="5"/>
        <v>290</v>
      </c>
      <c r="V14" s="162">
        <f t="shared" si="5"/>
        <v>324</v>
      </c>
      <c r="W14" s="249"/>
      <c r="X14" s="250">
        <f>INT(INT(X8*1.2)*1.15)+35</f>
        <v>359</v>
      </c>
    </row>
    <row r="15" ht="21" customHeight="1" spans="1:24">
      <c r="A15" s="59" t="s">
        <v>18</v>
      </c>
      <c r="B15" s="60"/>
      <c r="C15" s="61">
        <v>0</v>
      </c>
      <c r="D15" s="62">
        <v>1</v>
      </c>
      <c r="E15" s="62">
        <v>2</v>
      </c>
      <c r="F15" s="63">
        <v>3</v>
      </c>
      <c r="G15" s="62">
        <v>4</v>
      </c>
      <c r="H15" s="64">
        <v>5</v>
      </c>
      <c r="I15" s="62">
        <v>6</v>
      </c>
      <c r="J15" s="174">
        <v>7</v>
      </c>
      <c r="K15" s="175">
        <v>8</v>
      </c>
      <c r="L15" s="122" t="s">
        <v>45</v>
      </c>
      <c r="M15" s="122"/>
      <c r="N15" s="122"/>
      <c r="O15" s="122"/>
      <c r="P15" s="122"/>
      <c r="Q15" s="122"/>
      <c r="R15" s="122"/>
      <c r="S15" s="122"/>
      <c r="T15" s="122"/>
      <c r="U15" s="122"/>
      <c r="V15" s="122"/>
      <c r="W15" s="122"/>
      <c r="X15" s="122"/>
    </row>
    <row r="16" ht="21" customHeight="1" spans="1:24">
      <c r="A16" s="1467" t="s">
        <v>43</v>
      </c>
      <c r="B16" s="122"/>
      <c r="C16" s="41">
        <v>1.35</v>
      </c>
      <c r="D16" s="42">
        <v>1.3</v>
      </c>
      <c r="E16" s="42">
        <v>1.25</v>
      </c>
      <c r="F16" s="43">
        <v>1.2</v>
      </c>
      <c r="G16" s="42">
        <v>1.15</v>
      </c>
      <c r="H16" s="44">
        <v>1.1</v>
      </c>
      <c r="I16" s="42">
        <v>1.05</v>
      </c>
      <c r="J16" s="163">
        <v>1</v>
      </c>
      <c r="K16" s="164">
        <v>0.95</v>
      </c>
      <c r="L16" s="496" t="s">
        <v>46</v>
      </c>
      <c r="M16" s="496"/>
      <c r="N16" s="496"/>
      <c r="O16" s="496"/>
      <c r="P16" s="496"/>
      <c r="Q16" s="496"/>
      <c r="R16" s="496"/>
      <c r="S16" s="496"/>
      <c r="T16" s="496"/>
      <c r="U16" s="496"/>
      <c r="V16" s="496"/>
      <c r="W16" s="496"/>
      <c r="X16" s="496"/>
    </row>
    <row r="17" ht="21" customHeight="1" spans="1:24">
      <c r="A17" s="1505" t="s">
        <v>44</v>
      </c>
      <c r="B17" s="995"/>
      <c r="C17" s="996">
        <v>1.25</v>
      </c>
      <c r="D17" s="997">
        <v>1.2</v>
      </c>
      <c r="E17" s="997">
        <v>1.15</v>
      </c>
      <c r="F17" s="998">
        <v>1.1</v>
      </c>
      <c r="G17" s="997">
        <v>1.05</v>
      </c>
      <c r="H17" s="999">
        <v>1</v>
      </c>
      <c r="I17" s="997">
        <v>0.95</v>
      </c>
      <c r="J17" s="1011">
        <v>0.9</v>
      </c>
      <c r="K17" s="1516">
        <v>0.85</v>
      </c>
      <c r="L17" s="496" t="s">
        <v>47</v>
      </c>
      <c r="M17" s="496"/>
      <c r="N17" s="496"/>
      <c r="O17" s="496"/>
      <c r="P17" s="496"/>
      <c r="Q17" s="496"/>
      <c r="R17" s="496"/>
      <c r="S17" s="496"/>
      <c r="T17" s="496"/>
      <c r="U17" s="496"/>
      <c r="V17" s="496"/>
      <c r="W17" s="496"/>
      <c r="X17" s="496"/>
    </row>
    <row r="18" ht="21" customHeight="1" spans="1:24">
      <c r="A18" s="1506" t="s">
        <v>26</v>
      </c>
      <c r="B18" s="1507" t="s">
        <v>48</v>
      </c>
      <c r="C18" s="1507"/>
      <c r="D18" s="1507"/>
      <c r="E18" s="1507"/>
      <c r="F18" s="1507"/>
      <c r="G18" s="1507"/>
      <c r="H18" s="1507"/>
      <c r="I18" s="1507"/>
      <c r="J18" s="1507"/>
      <c r="K18" s="1517"/>
      <c r="L18" s="1429" t="s">
        <v>49</v>
      </c>
      <c r="M18" s="1432"/>
      <c r="N18" s="1432"/>
      <c r="O18" s="1432"/>
      <c r="P18" s="1432"/>
      <c r="Q18" s="1432"/>
      <c r="R18" s="1432"/>
      <c r="S18" s="1432"/>
      <c r="T18" s="1432"/>
      <c r="U18" s="1432"/>
      <c r="V18" s="1432"/>
      <c r="W18" s="1432"/>
      <c r="X18" s="1528"/>
    </row>
    <row r="19" ht="21" customHeight="1" spans="1:24">
      <c r="A19" s="565" t="s">
        <v>50</v>
      </c>
      <c r="B19" s="771" t="s">
        <v>51</v>
      </c>
      <c r="C19" s="772">
        <v>0</v>
      </c>
      <c r="D19" s="773">
        <v>1</v>
      </c>
      <c r="E19" s="773">
        <v>2</v>
      </c>
      <c r="F19" s="774">
        <v>3</v>
      </c>
      <c r="G19" s="773">
        <v>4</v>
      </c>
      <c r="H19" s="775">
        <v>5</v>
      </c>
      <c r="I19" s="773">
        <v>6</v>
      </c>
      <c r="J19" s="819">
        <v>7</v>
      </c>
      <c r="K19" s="820">
        <v>8</v>
      </c>
      <c r="L19" s="1518"/>
      <c r="M19" s="1519"/>
      <c r="N19" s="1519"/>
      <c r="O19" s="1519"/>
      <c r="P19" s="1519"/>
      <c r="Q19" s="1519"/>
      <c r="R19" s="1519"/>
      <c r="S19" s="1519"/>
      <c r="T19" s="1519"/>
      <c r="U19" s="1519"/>
      <c r="V19" s="1519"/>
      <c r="W19" s="1519"/>
      <c r="X19" s="1529"/>
    </row>
    <row r="20" ht="21" customHeight="1" spans="1:24">
      <c r="A20" s="565"/>
      <c r="B20" s="776">
        <v>0</v>
      </c>
      <c r="C20" s="777">
        <v>0</v>
      </c>
      <c r="D20" s="778">
        <v>1</v>
      </c>
      <c r="E20" s="778">
        <v>2</v>
      </c>
      <c r="F20" s="779">
        <v>3</v>
      </c>
      <c r="G20" s="778">
        <v>6</v>
      </c>
      <c r="H20" s="780">
        <v>8</v>
      </c>
      <c r="I20" s="778">
        <v>12</v>
      </c>
      <c r="J20" s="823">
        <v>15</v>
      </c>
      <c r="K20" s="824">
        <v>24</v>
      </c>
      <c r="L20" s="1429" t="s">
        <v>52</v>
      </c>
      <c r="M20" s="1432"/>
      <c r="N20" s="1432"/>
      <c r="O20" s="1432"/>
      <c r="P20" s="1432"/>
      <c r="Q20" s="1432"/>
      <c r="R20" s="1432"/>
      <c r="S20" s="1432"/>
      <c r="T20" s="1432"/>
      <c r="U20" s="1432"/>
      <c r="V20" s="1432"/>
      <c r="W20" s="1432"/>
      <c r="X20" s="1528"/>
    </row>
    <row r="21" ht="21" customHeight="1" spans="1:24">
      <c r="A21" s="565"/>
      <c r="B21" s="781">
        <v>1</v>
      </c>
      <c r="C21" s="782">
        <v>0</v>
      </c>
      <c r="D21" s="783">
        <v>1</v>
      </c>
      <c r="E21" s="783">
        <v>2</v>
      </c>
      <c r="F21" s="784">
        <v>4</v>
      </c>
      <c r="G21" s="783">
        <v>6</v>
      </c>
      <c r="H21" s="785">
        <v>9</v>
      </c>
      <c r="I21" s="783">
        <v>12</v>
      </c>
      <c r="J21" s="825">
        <v>16</v>
      </c>
      <c r="K21" s="826">
        <v>25</v>
      </c>
      <c r="L21" s="1433"/>
      <c r="M21" s="1434"/>
      <c r="N21" s="1434"/>
      <c r="O21" s="1434"/>
      <c r="P21" s="1434"/>
      <c r="Q21" s="1434"/>
      <c r="R21" s="1434"/>
      <c r="S21" s="1434"/>
      <c r="T21" s="1434"/>
      <c r="U21" s="1434"/>
      <c r="V21" s="1434"/>
      <c r="W21" s="1434"/>
      <c r="X21" s="1530"/>
    </row>
    <row r="22" ht="21" customHeight="1" spans="1:24">
      <c r="A22" s="565"/>
      <c r="B22" s="781">
        <v>2</v>
      </c>
      <c r="C22" s="782">
        <v>1</v>
      </c>
      <c r="D22" s="783">
        <v>2</v>
      </c>
      <c r="E22" s="783">
        <v>3</v>
      </c>
      <c r="F22" s="784">
        <v>4</v>
      </c>
      <c r="G22" s="783">
        <v>7</v>
      </c>
      <c r="H22" s="785">
        <v>9</v>
      </c>
      <c r="I22" s="783">
        <v>13</v>
      </c>
      <c r="J22" s="825">
        <v>16</v>
      </c>
      <c r="K22" s="826">
        <v>25</v>
      </c>
      <c r="L22" s="1520" t="str">
        <f>_xlfn.DISPIMG("ID_66AEEA8D385B48DFAC83F5E8CED5172A",1)</f>
        <v>=DISPIMG("ID_66AEEA8D385B48DFAC83F5E8CED5172A",1)</v>
      </c>
      <c r="M22" s="1521"/>
      <c r="N22" s="1521"/>
      <c r="O22" s="1521"/>
      <c r="P22" s="1521"/>
      <c r="Q22" s="1521"/>
      <c r="R22" s="1521"/>
      <c r="S22" s="1521" t="str">
        <f>_xlfn.DISPIMG("ID_7D143F4F90E3431BA6D7E18B96A278E7",1)</f>
        <v>=DISPIMG("ID_7D143F4F90E3431BA6D7E18B96A278E7",1)</v>
      </c>
      <c r="T22" s="1521"/>
      <c r="U22" s="1521"/>
      <c r="V22" s="1521"/>
      <c r="W22" s="1521"/>
      <c r="X22" s="1531"/>
    </row>
    <row r="23" ht="21" customHeight="1" spans="1:24">
      <c r="A23" s="565"/>
      <c r="B23" s="781">
        <v>3</v>
      </c>
      <c r="C23" s="782">
        <v>1</v>
      </c>
      <c r="D23" s="783">
        <v>2</v>
      </c>
      <c r="E23" s="783">
        <v>4</v>
      </c>
      <c r="F23" s="784">
        <v>5</v>
      </c>
      <c r="G23" s="783">
        <v>7</v>
      </c>
      <c r="H23" s="785">
        <v>10</v>
      </c>
      <c r="I23" s="783">
        <v>13</v>
      </c>
      <c r="J23" s="825">
        <v>17</v>
      </c>
      <c r="K23" s="826">
        <v>26</v>
      </c>
      <c r="L23" s="1520"/>
      <c r="M23" s="1521"/>
      <c r="N23" s="1521"/>
      <c r="O23" s="1521"/>
      <c r="P23" s="1521"/>
      <c r="Q23" s="1521"/>
      <c r="R23" s="1521"/>
      <c r="S23" s="1521"/>
      <c r="T23" s="1521"/>
      <c r="U23" s="1521"/>
      <c r="V23" s="1521"/>
      <c r="W23" s="1521"/>
      <c r="X23" s="1531"/>
    </row>
    <row r="24" ht="21" customHeight="1" spans="1:24">
      <c r="A24" s="565"/>
      <c r="B24" s="786">
        <v>4</v>
      </c>
      <c r="C24" s="787">
        <v>2</v>
      </c>
      <c r="D24" s="788">
        <v>3</v>
      </c>
      <c r="E24" s="788">
        <v>5</v>
      </c>
      <c r="F24" s="789">
        <v>6</v>
      </c>
      <c r="G24" s="788">
        <v>8</v>
      </c>
      <c r="H24" s="790">
        <v>11</v>
      </c>
      <c r="I24" s="788">
        <v>14</v>
      </c>
      <c r="J24" s="827">
        <v>18</v>
      </c>
      <c r="K24" s="828">
        <v>27</v>
      </c>
      <c r="L24" s="1520"/>
      <c r="M24" s="1521"/>
      <c r="N24" s="1521"/>
      <c r="O24" s="1521"/>
      <c r="P24" s="1521"/>
      <c r="Q24" s="1521"/>
      <c r="R24" s="1521"/>
      <c r="S24" s="1521"/>
      <c r="T24" s="1521"/>
      <c r="U24" s="1521"/>
      <c r="V24" s="1521"/>
      <c r="W24" s="1521"/>
      <c r="X24" s="1531"/>
    </row>
    <row r="25" ht="21" customHeight="1" spans="1:24">
      <c r="A25" s="565"/>
      <c r="B25" s="786">
        <v>5</v>
      </c>
      <c r="C25" s="787">
        <v>3</v>
      </c>
      <c r="D25" s="788">
        <v>4</v>
      </c>
      <c r="E25" s="788">
        <v>6</v>
      </c>
      <c r="F25" s="789">
        <v>7</v>
      </c>
      <c r="G25" s="788">
        <v>9</v>
      </c>
      <c r="H25" s="790">
        <v>12</v>
      </c>
      <c r="I25" s="788">
        <v>15</v>
      </c>
      <c r="J25" s="827">
        <v>19</v>
      </c>
      <c r="K25" s="828">
        <v>28</v>
      </c>
      <c r="L25" s="1520"/>
      <c r="M25" s="1521"/>
      <c r="N25" s="1521"/>
      <c r="O25" s="1521"/>
      <c r="P25" s="1521"/>
      <c r="Q25" s="1521"/>
      <c r="R25" s="1521"/>
      <c r="S25" s="1521"/>
      <c r="T25" s="1521"/>
      <c r="U25" s="1521"/>
      <c r="V25" s="1521"/>
      <c r="W25" s="1521"/>
      <c r="X25" s="1531"/>
    </row>
    <row r="26" ht="21" customHeight="1" spans="1:24">
      <c r="A26" s="565"/>
      <c r="B26" s="791">
        <v>6</v>
      </c>
      <c r="C26" s="792">
        <v>5</v>
      </c>
      <c r="D26" s="793">
        <v>6</v>
      </c>
      <c r="E26" s="793">
        <v>7</v>
      </c>
      <c r="F26" s="794">
        <v>8</v>
      </c>
      <c r="G26" s="793">
        <v>11</v>
      </c>
      <c r="H26" s="795">
        <v>13</v>
      </c>
      <c r="I26" s="793">
        <v>17</v>
      </c>
      <c r="J26" s="829">
        <v>21</v>
      </c>
      <c r="K26" s="830">
        <v>29</v>
      </c>
      <c r="L26" s="1520"/>
      <c r="M26" s="1521"/>
      <c r="N26" s="1521"/>
      <c r="O26" s="1521"/>
      <c r="P26" s="1521"/>
      <c r="Q26" s="1521"/>
      <c r="R26" s="1521"/>
      <c r="S26" s="1521"/>
      <c r="T26" s="1521"/>
      <c r="U26" s="1521"/>
      <c r="V26" s="1521"/>
      <c r="W26" s="1521"/>
      <c r="X26" s="1531"/>
    </row>
    <row r="27" ht="21" customHeight="1" spans="1:24">
      <c r="A27" s="565"/>
      <c r="B27" s="791">
        <v>7</v>
      </c>
      <c r="C27" s="792">
        <v>6</v>
      </c>
      <c r="D27" s="793">
        <v>8</v>
      </c>
      <c r="E27" s="793">
        <v>9</v>
      </c>
      <c r="F27" s="794">
        <v>10</v>
      </c>
      <c r="G27" s="793">
        <v>12</v>
      </c>
      <c r="H27" s="795">
        <v>15</v>
      </c>
      <c r="I27" s="793">
        <v>19</v>
      </c>
      <c r="J27" s="829">
        <v>22</v>
      </c>
      <c r="K27" s="830">
        <v>31</v>
      </c>
      <c r="L27" s="1520"/>
      <c r="M27" s="1521"/>
      <c r="N27" s="1521"/>
      <c r="O27" s="1521"/>
      <c r="P27" s="1521"/>
      <c r="Q27" s="1521"/>
      <c r="R27" s="1521"/>
      <c r="S27" s="1521"/>
      <c r="T27" s="1521"/>
      <c r="U27" s="1521"/>
      <c r="V27" s="1521"/>
      <c r="W27" s="1521"/>
      <c r="X27" s="1531"/>
    </row>
    <row r="28" ht="21" customHeight="1" spans="1:24">
      <c r="A28" s="565"/>
      <c r="B28" s="796">
        <v>8</v>
      </c>
      <c r="C28" s="787">
        <v>10</v>
      </c>
      <c r="D28" s="788">
        <v>11</v>
      </c>
      <c r="E28" s="788">
        <v>12</v>
      </c>
      <c r="F28" s="789">
        <v>14</v>
      </c>
      <c r="G28" s="788">
        <v>16</v>
      </c>
      <c r="H28" s="790">
        <v>19</v>
      </c>
      <c r="I28" s="788">
        <v>22</v>
      </c>
      <c r="J28" s="827">
        <v>26</v>
      </c>
      <c r="K28" s="828">
        <v>35</v>
      </c>
      <c r="L28" s="1055"/>
      <c r="M28" s="1056"/>
      <c r="N28" s="1056"/>
      <c r="O28" s="1056"/>
      <c r="P28" s="1056"/>
      <c r="Q28" s="1056"/>
      <c r="R28" s="1056"/>
      <c r="S28" s="1056"/>
      <c r="T28" s="1056"/>
      <c r="U28" s="1056"/>
      <c r="V28" s="1056"/>
      <c r="W28" s="1056"/>
      <c r="X28" s="1069"/>
    </row>
    <row r="29" ht="21" customHeight="1" spans="1:24">
      <c r="A29" s="45" t="s">
        <v>53</v>
      </c>
      <c r="B29" s="46"/>
      <c r="C29" s="46"/>
      <c r="D29" s="46"/>
      <c r="E29" s="46"/>
      <c r="F29" s="46"/>
      <c r="G29" s="46"/>
      <c r="H29" s="46"/>
      <c r="I29" s="46"/>
      <c r="J29" s="46"/>
      <c r="K29" s="46"/>
      <c r="L29" s="106"/>
      <c r="M29" s="106"/>
      <c r="N29" s="106"/>
      <c r="O29" s="106"/>
      <c r="P29" s="106"/>
      <c r="Q29" s="106"/>
      <c r="R29" s="106"/>
      <c r="S29" s="106"/>
      <c r="T29" s="106"/>
      <c r="U29" s="106"/>
      <c r="V29" s="106"/>
      <c r="W29" s="106"/>
      <c r="X29" s="286"/>
    </row>
    <row r="30" ht="44" customHeight="1" spans="1:24">
      <c r="A30" s="14" t="str">
        <f>_xlfn.DISPIMG("ID_432222C828624D8C826BDB150D67138F",1)</f>
        <v>=DISPIMG("ID_432222C828624D8C826BDB150D67138F",1)</v>
      </c>
      <c r="B30" s="15" t="str">
        <f>_xlfn.DISPIMG("ID_59C4427123B5417CAF23A602E78AF4EB",1)</f>
        <v>=DISPIMG("ID_59C4427123B5417CAF23A602E78AF4EB",1)</v>
      </c>
      <c r="C30" s="15" t="str">
        <f>_xlfn.DISPIMG("ID_A476A4B61D1C4F4E9F8C4508F37B57FE",1)</f>
        <v>=DISPIMG("ID_A476A4B61D1C4F4E9F8C4508F37B57FE",1)</v>
      </c>
      <c r="D30" s="15" t="str">
        <f>_xlfn.DISPIMG("ID_469DAD0C26594FE4B4A3A42307F5E530",1)</f>
        <v>=DISPIMG("ID_469DAD0C26594FE4B4A3A42307F5E530",1)</v>
      </c>
      <c r="E30" s="15" t="str">
        <f>_xlfn.DISPIMG("ID_2EC6ED110CE344B59C1213CE739FC483",1)</f>
        <v>=DISPIMG("ID_2EC6ED110CE344B59C1213CE739FC483",1)</v>
      </c>
      <c r="F30" s="16" t="str">
        <f>_xlfn.DISPIMG("ID_ACA05050663342D298BECE1DA7DEBF9F",1)</f>
        <v>=DISPIMG("ID_ACA05050663342D298BECE1DA7DEBF9F",1)</v>
      </c>
      <c r="G30" s="1508" t="s">
        <v>54</v>
      </c>
      <c r="H30" s="1509"/>
      <c r="I30" s="1509"/>
      <c r="J30" s="1509"/>
      <c r="K30" s="1509"/>
      <c r="L30" s="1509"/>
      <c r="M30" s="1509"/>
      <c r="N30" s="1509"/>
      <c r="O30" s="1522"/>
      <c r="P30" s="353"/>
      <c r="Q30" s="354"/>
      <c r="R30" s="354"/>
      <c r="S30" s="354"/>
      <c r="T30" s="354"/>
      <c r="U30" s="354"/>
      <c r="V30" s="354"/>
      <c r="W30" s="354"/>
      <c r="X30" s="355"/>
    </row>
    <row r="31" ht="21" customHeight="1" spans="1:24">
      <c r="A31" s="1168"/>
      <c r="B31" s="1169"/>
      <c r="C31" s="1169"/>
      <c r="D31" s="1169"/>
      <c r="E31" s="1169"/>
      <c r="F31" s="1169"/>
      <c r="G31" s="1169"/>
      <c r="H31" s="1169"/>
      <c r="I31" s="1169"/>
      <c r="J31" s="1169"/>
      <c r="K31" s="1169"/>
      <c r="L31" s="1169"/>
      <c r="M31" s="1169"/>
      <c r="N31" s="1169"/>
      <c r="O31" s="1169"/>
      <c r="P31" s="1169"/>
      <c r="Q31" s="1169"/>
      <c r="R31" s="1169"/>
      <c r="S31" s="1169"/>
      <c r="T31" s="1169"/>
      <c r="U31" s="1169"/>
      <c r="V31" s="1169"/>
      <c r="W31" s="1169"/>
      <c r="X31" s="1304"/>
    </row>
    <row r="32" ht="21" customHeight="1" spans="1:24">
      <c r="A32" s="21" t="s">
        <v>8</v>
      </c>
      <c r="B32" s="22"/>
      <c r="C32" s="23">
        <v>0</v>
      </c>
      <c r="D32" s="24">
        <v>1</v>
      </c>
      <c r="E32" s="24">
        <v>2</v>
      </c>
      <c r="F32" s="24">
        <v>3</v>
      </c>
      <c r="G32" s="24">
        <v>4</v>
      </c>
      <c r="H32" s="24">
        <v>5</v>
      </c>
      <c r="I32" s="24">
        <v>6</v>
      </c>
      <c r="J32" s="24">
        <v>7</v>
      </c>
      <c r="K32" s="135">
        <v>8</v>
      </c>
      <c r="L32" s="136">
        <v>9</v>
      </c>
      <c r="M32" s="137"/>
      <c r="N32" s="137"/>
      <c r="O32" s="139">
        <v>10</v>
      </c>
      <c r="P32" s="140">
        <v>11</v>
      </c>
      <c r="Q32" s="236">
        <v>12</v>
      </c>
      <c r="R32" s="236"/>
      <c r="S32" s="236"/>
      <c r="T32" s="139">
        <v>13</v>
      </c>
      <c r="U32" s="237">
        <v>14</v>
      </c>
      <c r="V32" s="140">
        <v>15</v>
      </c>
      <c r="W32" s="137">
        <v>16</v>
      </c>
      <c r="X32" s="138"/>
    </row>
    <row r="33" ht="21" customHeight="1" spans="1:24">
      <c r="A33" s="122" t="s">
        <v>55</v>
      </c>
      <c r="B33" s="122"/>
      <c r="C33" s="87">
        <v>10</v>
      </c>
      <c r="D33" s="88">
        <v>12</v>
      </c>
      <c r="E33" s="88">
        <v>14</v>
      </c>
      <c r="F33" s="88">
        <v>16</v>
      </c>
      <c r="G33" s="88">
        <v>18</v>
      </c>
      <c r="H33" s="88">
        <v>20</v>
      </c>
      <c r="I33" s="88">
        <v>22</v>
      </c>
      <c r="J33" s="88">
        <v>26</v>
      </c>
      <c r="K33" s="199">
        <v>32</v>
      </c>
      <c r="L33" s="217"/>
      <c r="M33" s="218">
        <v>40</v>
      </c>
      <c r="N33" s="219"/>
      <c r="O33" s="203">
        <v>55</v>
      </c>
      <c r="P33" s="204">
        <v>70</v>
      </c>
      <c r="Q33" s="219"/>
      <c r="R33" s="272">
        <v>85</v>
      </c>
      <c r="S33" s="219"/>
      <c r="T33" s="203">
        <v>100</v>
      </c>
      <c r="U33" s="273">
        <v>115</v>
      </c>
      <c r="V33" s="204">
        <v>130</v>
      </c>
      <c r="W33" s="295"/>
      <c r="X33" s="275">
        <v>145</v>
      </c>
    </row>
    <row r="34" ht="21" customHeight="1" spans="1:24">
      <c r="A34" s="73" t="s">
        <v>56</v>
      </c>
      <c r="B34" s="73"/>
      <c r="C34" s="75">
        <v>15</v>
      </c>
      <c r="D34" s="76">
        <v>18</v>
      </c>
      <c r="E34" s="76">
        <v>21</v>
      </c>
      <c r="F34" s="76">
        <v>24</v>
      </c>
      <c r="G34" s="76">
        <v>27</v>
      </c>
      <c r="H34" s="76">
        <v>30</v>
      </c>
      <c r="I34" s="76">
        <v>33</v>
      </c>
      <c r="J34" s="76">
        <v>39</v>
      </c>
      <c r="K34" s="182">
        <v>48</v>
      </c>
      <c r="L34" s="212"/>
      <c r="M34" s="197">
        <v>60</v>
      </c>
      <c r="N34" s="214"/>
      <c r="O34" s="161">
        <v>83</v>
      </c>
      <c r="P34" s="162">
        <v>105</v>
      </c>
      <c r="Q34" s="214"/>
      <c r="R34" s="247">
        <v>128</v>
      </c>
      <c r="S34" s="214"/>
      <c r="T34" s="161">
        <v>150</v>
      </c>
      <c r="U34" s="248">
        <v>172</v>
      </c>
      <c r="V34" s="162">
        <v>192</v>
      </c>
      <c r="W34" s="291"/>
      <c r="X34" s="250">
        <v>224</v>
      </c>
    </row>
    <row r="35" ht="21" customHeight="1" spans="1:24">
      <c r="A35" s="496" t="s">
        <v>57</v>
      </c>
      <c r="B35" s="496"/>
      <c r="C35" s="336">
        <v>13</v>
      </c>
      <c r="D35" s="337">
        <v>16</v>
      </c>
      <c r="E35" s="337">
        <v>18</v>
      </c>
      <c r="F35" s="337">
        <v>21</v>
      </c>
      <c r="G35" s="337">
        <v>23</v>
      </c>
      <c r="H35" s="337">
        <v>26</v>
      </c>
      <c r="I35" s="337">
        <v>29</v>
      </c>
      <c r="J35" s="337">
        <v>34</v>
      </c>
      <c r="K35" s="379">
        <v>42</v>
      </c>
      <c r="L35" s="398"/>
      <c r="M35" s="727">
        <v>52</v>
      </c>
      <c r="N35" s="400"/>
      <c r="O35" s="382">
        <v>72</v>
      </c>
      <c r="P35" s="383">
        <v>91</v>
      </c>
      <c r="Q35" s="400"/>
      <c r="R35" s="416">
        <v>111</v>
      </c>
      <c r="S35" s="400"/>
      <c r="T35" s="382">
        <v>130</v>
      </c>
      <c r="U35" s="417">
        <v>150</v>
      </c>
      <c r="V35" s="383">
        <v>169</v>
      </c>
      <c r="W35" s="431"/>
      <c r="X35" s="418">
        <v>194</v>
      </c>
    </row>
    <row r="36" ht="21" customHeight="1" spans="1:24">
      <c r="A36" s="1510" t="s">
        <v>58</v>
      </c>
      <c r="B36" s="55"/>
      <c r="C36" s="53">
        <f t="shared" ref="C36:K36" si="6">INT(C35*1.05)</f>
        <v>13</v>
      </c>
      <c r="D36" s="54">
        <f t="shared" si="6"/>
        <v>16</v>
      </c>
      <c r="E36" s="54">
        <f t="shared" si="6"/>
        <v>18</v>
      </c>
      <c r="F36" s="54">
        <f t="shared" si="6"/>
        <v>22</v>
      </c>
      <c r="G36" s="54">
        <f t="shared" si="6"/>
        <v>24</v>
      </c>
      <c r="H36" s="54">
        <f t="shared" si="6"/>
        <v>27</v>
      </c>
      <c r="I36" s="54">
        <f t="shared" si="6"/>
        <v>30</v>
      </c>
      <c r="J36" s="54">
        <f t="shared" si="6"/>
        <v>35</v>
      </c>
      <c r="K36" s="169">
        <f t="shared" si="6"/>
        <v>44</v>
      </c>
      <c r="L36" s="1523"/>
      <c r="M36" s="1524">
        <f t="shared" ref="M36:P36" si="7">INT(M35*1.05)</f>
        <v>54</v>
      </c>
      <c r="N36" s="1525"/>
      <c r="O36" s="171">
        <f t="shared" si="7"/>
        <v>75</v>
      </c>
      <c r="P36" s="172">
        <f t="shared" si="7"/>
        <v>95</v>
      </c>
      <c r="Q36" s="1525"/>
      <c r="R36" s="255">
        <f t="shared" ref="R36:V36" si="8">INT(R35*1.05)</f>
        <v>116</v>
      </c>
      <c r="S36" s="1525"/>
      <c r="T36" s="171">
        <f t="shared" si="8"/>
        <v>136</v>
      </c>
      <c r="U36" s="256">
        <f t="shared" si="8"/>
        <v>157</v>
      </c>
      <c r="V36" s="172">
        <f t="shared" si="8"/>
        <v>177</v>
      </c>
      <c r="W36" s="1532"/>
      <c r="X36" s="257">
        <f>INT(X35*1.05)</f>
        <v>203</v>
      </c>
    </row>
    <row r="37" ht="21" customHeight="1" spans="1:24">
      <c r="A37" s="122" t="s">
        <v>59</v>
      </c>
      <c r="B37" s="122"/>
      <c r="C37" s="87">
        <v>13</v>
      </c>
      <c r="D37" s="88">
        <v>15</v>
      </c>
      <c r="E37" s="88">
        <v>18</v>
      </c>
      <c r="F37" s="88">
        <v>20</v>
      </c>
      <c r="G37" s="88">
        <v>23</v>
      </c>
      <c r="H37" s="88">
        <v>25</v>
      </c>
      <c r="I37" s="88">
        <v>28</v>
      </c>
      <c r="J37" s="88">
        <v>33</v>
      </c>
      <c r="K37" s="199">
        <v>40</v>
      </c>
      <c r="L37" s="217"/>
      <c r="M37" s="218">
        <v>50</v>
      </c>
      <c r="N37" s="219"/>
      <c r="O37" s="203">
        <v>70</v>
      </c>
      <c r="P37" s="204">
        <v>90</v>
      </c>
      <c r="Q37" s="219"/>
      <c r="R37" s="272">
        <v>110</v>
      </c>
      <c r="S37" s="219"/>
      <c r="T37" s="203">
        <v>130</v>
      </c>
      <c r="U37" s="273">
        <v>150</v>
      </c>
      <c r="V37" s="204">
        <v>170</v>
      </c>
      <c r="W37" s="295"/>
      <c r="X37" s="275">
        <v>200</v>
      </c>
    </row>
    <row r="38" ht="21" customHeight="1" spans="1:24">
      <c r="A38" s="73" t="s">
        <v>60</v>
      </c>
      <c r="B38" s="73"/>
      <c r="C38" s="75">
        <v>13</v>
      </c>
      <c r="D38" s="76">
        <v>15</v>
      </c>
      <c r="E38" s="76">
        <v>18</v>
      </c>
      <c r="F38" s="76">
        <v>20</v>
      </c>
      <c r="G38" s="76">
        <v>23</v>
      </c>
      <c r="H38" s="76">
        <v>26</v>
      </c>
      <c r="I38" s="76">
        <v>28</v>
      </c>
      <c r="J38" s="76">
        <v>33</v>
      </c>
      <c r="K38" s="182">
        <v>41</v>
      </c>
      <c r="L38" s="212"/>
      <c r="M38" s="197">
        <v>52</v>
      </c>
      <c r="N38" s="214"/>
      <c r="O38" s="161">
        <v>71</v>
      </c>
      <c r="P38" s="162">
        <v>91</v>
      </c>
      <c r="Q38" s="214"/>
      <c r="R38" s="247">
        <v>110</v>
      </c>
      <c r="S38" s="214"/>
      <c r="T38" s="161">
        <v>130</v>
      </c>
      <c r="U38" s="248">
        <v>149</v>
      </c>
      <c r="V38" s="162">
        <v>169</v>
      </c>
      <c r="W38" s="291"/>
      <c r="X38" s="250">
        <v>194</v>
      </c>
    </row>
    <row r="39" ht="21" customHeight="1" spans="1:24">
      <c r="A39" s="496" t="s">
        <v>61</v>
      </c>
      <c r="B39" s="496"/>
      <c r="C39" s="336">
        <v>11</v>
      </c>
      <c r="D39" s="337">
        <v>13</v>
      </c>
      <c r="E39" s="337">
        <v>15</v>
      </c>
      <c r="F39" s="337">
        <v>17</v>
      </c>
      <c r="G39" s="337">
        <v>19</v>
      </c>
      <c r="H39" s="337">
        <v>21</v>
      </c>
      <c r="I39" s="337">
        <v>25</v>
      </c>
      <c r="J39" s="337">
        <v>29</v>
      </c>
      <c r="K39" s="379">
        <v>33</v>
      </c>
      <c r="L39" s="398"/>
      <c r="M39" s="727">
        <v>43</v>
      </c>
      <c r="N39" s="400"/>
      <c r="O39" s="382">
        <v>53</v>
      </c>
      <c r="P39" s="383">
        <v>68</v>
      </c>
      <c r="Q39" s="400"/>
      <c r="R39" s="416">
        <v>83</v>
      </c>
      <c r="S39" s="400"/>
      <c r="T39" s="382">
        <v>103</v>
      </c>
      <c r="U39" s="417">
        <v>123</v>
      </c>
      <c r="V39" s="383">
        <v>143</v>
      </c>
      <c r="W39" s="431"/>
      <c r="X39" s="418">
        <v>163</v>
      </c>
    </row>
    <row r="40" ht="21" customHeight="1" spans="1:24">
      <c r="A40" s="59" t="s">
        <v>18</v>
      </c>
      <c r="B40" s="60"/>
      <c r="C40" s="61">
        <v>0</v>
      </c>
      <c r="D40" s="62">
        <v>1</v>
      </c>
      <c r="E40" s="62">
        <v>2</v>
      </c>
      <c r="F40" s="63">
        <v>3</v>
      </c>
      <c r="G40" s="62">
        <v>4</v>
      </c>
      <c r="H40" s="64">
        <v>5</v>
      </c>
      <c r="I40" s="62">
        <v>6</v>
      </c>
      <c r="J40" s="174">
        <v>7</v>
      </c>
      <c r="K40" s="175">
        <v>8</v>
      </c>
      <c r="L40" s="176" t="s">
        <v>62</v>
      </c>
      <c r="M40" s="177"/>
      <c r="N40" s="177"/>
      <c r="O40" s="177"/>
      <c r="P40" s="177"/>
      <c r="Q40" s="177"/>
      <c r="R40" s="177"/>
      <c r="S40" s="177"/>
      <c r="T40" s="177"/>
      <c r="U40" s="177"/>
      <c r="V40" s="177"/>
      <c r="W40" s="177"/>
      <c r="X40" s="258"/>
    </row>
    <row r="41" ht="21" customHeight="1" spans="1:24">
      <c r="A41" s="65" t="s">
        <v>55</v>
      </c>
      <c r="B41" s="65"/>
      <c r="C41" s="66">
        <v>1.3</v>
      </c>
      <c r="D41" s="67">
        <v>1.25</v>
      </c>
      <c r="E41" s="67">
        <v>1.2</v>
      </c>
      <c r="F41" s="93">
        <v>1.15</v>
      </c>
      <c r="G41" s="67">
        <v>1.1</v>
      </c>
      <c r="H41" s="69">
        <v>1.05</v>
      </c>
      <c r="I41" s="67">
        <v>1</v>
      </c>
      <c r="J41" s="178">
        <v>0.9</v>
      </c>
      <c r="K41" s="378">
        <v>0.8</v>
      </c>
      <c r="L41" s="176" t="s">
        <v>63</v>
      </c>
      <c r="M41" s="177"/>
      <c r="N41" s="177"/>
      <c r="O41" s="177"/>
      <c r="P41" s="177"/>
      <c r="Q41" s="177"/>
      <c r="R41" s="177"/>
      <c r="S41" s="177"/>
      <c r="T41" s="177"/>
      <c r="U41" s="177"/>
      <c r="V41" s="177"/>
      <c r="W41" s="177"/>
      <c r="X41" s="258"/>
    </row>
    <row r="42" ht="21" customHeight="1" spans="1:24">
      <c r="A42" s="122" t="s">
        <v>56</v>
      </c>
      <c r="B42" s="122"/>
      <c r="C42" s="41">
        <v>1.4</v>
      </c>
      <c r="D42" s="42">
        <v>1.35</v>
      </c>
      <c r="E42" s="42">
        <v>1.3</v>
      </c>
      <c r="F42" s="43">
        <v>1.25</v>
      </c>
      <c r="G42" s="42">
        <v>1.2</v>
      </c>
      <c r="H42" s="44">
        <v>1.15</v>
      </c>
      <c r="I42" s="42">
        <v>1.1</v>
      </c>
      <c r="J42" s="163">
        <v>1.05</v>
      </c>
      <c r="K42" s="575">
        <v>0.95</v>
      </c>
      <c r="L42" s="176" t="s">
        <v>64</v>
      </c>
      <c r="M42" s="177"/>
      <c r="N42" s="177"/>
      <c r="O42" s="177"/>
      <c r="P42" s="177"/>
      <c r="Q42" s="177"/>
      <c r="R42" s="177"/>
      <c r="S42" s="177"/>
      <c r="T42" s="177"/>
      <c r="U42" s="177"/>
      <c r="V42" s="177"/>
      <c r="W42" s="177"/>
      <c r="X42" s="258"/>
    </row>
    <row r="43" ht="21" customHeight="1" spans="1:24">
      <c r="A43" s="617" t="s">
        <v>57</v>
      </c>
      <c r="B43" s="617"/>
      <c r="C43" s="66">
        <v>1.4</v>
      </c>
      <c r="D43" s="67">
        <v>1.35</v>
      </c>
      <c r="E43" s="67">
        <v>1.3</v>
      </c>
      <c r="F43" s="93">
        <v>1.25</v>
      </c>
      <c r="G43" s="67">
        <v>1.2</v>
      </c>
      <c r="H43" s="69">
        <v>1.15</v>
      </c>
      <c r="I43" s="67">
        <v>1.1</v>
      </c>
      <c r="J43" s="178">
        <v>1.05</v>
      </c>
      <c r="K43" s="378">
        <v>0.95</v>
      </c>
      <c r="L43" s="176" t="s">
        <v>65</v>
      </c>
      <c r="M43" s="177"/>
      <c r="N43" s="177"/>
      <c r="O43" s="177"/>
      <c r="P43" s="177"/>
      <c r="Q43" s="177"/>
      <c r="R43" s="177"/>
      <c r="S43" s="177"/>
      <c r="T43" s="177"/>
      <c r="U43" s="177"/>
      <c r="V43" s="177"/>
      <c r="W43" s="177"/>
      <c r="X43" s="258"/>
    </row>
    <row r="44" ht="21" customHeight="1" spans="1:24">
      <c r="A44" s="122" t="s">
        <v>59</v>
      </c>
      <c r="B44" s="122"/>
      <c r="C44" s="41">
        <v>1.15</v>
      </c>
      <c r="D44" s="42">
        <v>1.1</v>
      </c>
      <c r="E44" s="42">
        <v>1.05</v>
      </c>
      <c r="F44" s="43">
        <v>1</v>
      </c>
      <c r="G44" s="42">
        <v>0.950000000000001</v>
      </c>
      <c r="H44" s="44">
        <v>0.900000000000001</v>
      </c>
      <c r="I44" s="42">
        <v>0.850000000000001</v>
      </c>
      <c r="J44" s="163">
        <v>0.800000000000001</v>
      </c>
      <c r="K44" s="164">
        <v>0.7</v>
      </c>
      <c r="L44" s="176" t="s">
        <v>66</v>
      </c>
      <c r="M44" s="177"/>
      <c r="N44" s="177"/>
      <c r="O44" s="177"/>
      <c r="P44" s="177"/>
      <c r="Q44" s="177"/>
      <c r="R44" s="177"/>
      <c r="S44" s="177"/>
      <c r="T44" s="177"/>
      <c r="U44" s="177"/>
      <c r="V44" s="177"/>
      <c r="W44" s="177"/>
      <c r="X44" s="258"/>
    </row>
    <row r="45" ht="21" customHeight="1" spans="1:24">
      <c r="A45" s="65" t="s">
        <v>60</v>
      </c>
      <c r="B45" s="65"/>
      <c r="C45" s="66">
        <v>1.2</v>
      </c>
      <c r="D45" s="67">
        <v>1.15</v>
      </c>
      <c r="E45" s="67">
        <v>1.1</v>
      </c>
      <c r="F45" s="93">
        <v>1.05</v>
      </c>
      <c r="G45" s="67">
        <v>1</v>
      </c>
      <c r="H45" s="69">
        <v>0.95</v>
      </c>
      <c r="I45" s="67">
        <v>0.9</v>
      </c>
      <c r="J45" s="178">
        <v>0.85</v>
      </c>
      <c r="K45" s="378">
        <v>0.8</v>
      </c>
      <c r="L45" s="176" t="s">
        <v>67</v>
      </c>
      <c r="M45" s="177"/>
      <c r="N45" s="177"/>
      <c r="O45" s="177"/>
      <c r="P45" s="177"/>
      <c r="Q45" s="177"/>
      <c r="R45" s="177"/>
      <c r="S45" s="177"/>
      <c r="T45" s="177"/>
      <c r="U45" s="177"/>
      <c r="V45" s="177"/>
      <c r="W45" s="177"/>
      <c r="X45" s="258"/>
    </row>
    <row r="46" ht="21" customHeight="1" spans="1:24">
      <c r="A46" s="122" t="s">
        <v>61</v>
      </c>
      <c r="B46" s="122"/>
      <c r="C46" s="41">
        <v>1.5</v>
      </c>
      <c r="D46" s="42">
        <v>1.45</v>
      </c>
      <c r="E46" s="42">
        <v>1.4</v>
      </c>
      <c r="F46" s="43">
        <v>1.35</v>
      </c>
      <c r="G46" s="42">
        <v>1.3</v>
      </c>
      <c r="H46" s="44">
        <v>1.25</v>
      </c>
      <c r="I46" s="42">
        <v>1.2</v>
      </c>
      <c r="J46" s="163">
        <v>1.15</v>
      </c>
      <c r="K46" s="164">
        <v>1.05</v>
      </c>
      <c r="L46" s="176" t="s">
        <v>68</v>
      </c>
      <c r="M46" s="177"/>
      <c r="N46" s="177"/>
      <c r="O46" s="177"/>
      <c r="P46" s="177"/>
      <c r="Q46" s="177"/>
      <c r="R46" s="177"/>
      <c r="S46" s="177"/>
      <c r="T46" s="177"/>
      <c r="U46" s="177"/>
      <c r="V46" s="177"/>
      <c r="W46" s="177"/>
      <c r="X46" s="258"/>
    </row>
    <row r="47" ht="21" customHeight="1" spans="1:24">
      <c r="A47" s="622" t="s">
        <v>69</v>
      </c>
      <c r="B47" s="622"/>
      <c r="C47" s="622"/>
      <c r="D47" s="622"/>
      <c r="E47" s="622"/>
      <c r="F47" s="622"/>
      <c r="G47" s="622"/>
      <c r="H47" s="622"/>
      <c r="I47" s="622"/>
      <c r="J47" s="622"/>
      <c r="K47" s="622"/>
      <c r="L47" s="622"/>
      <c r="M47" s="622"/>
      <c r="N47" s="622"/>
      <c r="O47" s="622"/>
      <c r="P47" s="622"/>
      <c r="Q47" s="622"/>
      <c r="R47" s="622"/>
      <c r="S47" s="622"/>
      <c r="T47" s="622"/>
      <c r="U47" s="622"/>
      <c r="V47" s="622"/>
      <c r="W47" s="622"/>
      <c r="X47" s="622"/>
    </row>
    <row r="48" ht="21" customHeight="1" spans="1:24">
      <c r="A48" s="1511" t="s">
        <v>70</v>
      </c>
      <c r="B48" s="122"/>
      <c r="C48" s="87">
        <f t="shared" ref="C48:K48" si="9">INT(INT(C33*1.1)*1.15)</f>
        <v>12</v>
      </c>
      <c r="D48" s="88">
        <f t="shared" si="9"/>
        <v>14</v>
      </c>
      <c r="E48" s="88">
        <f t="shared" si="9"/>
        <v>17</v>
      </c>
      <c r="F48" s="88">
        <f t="shared" si="9"/>
        <v>19</v>
      </c>
      <c r="G48" s="88">
        <f t="shared" si="9"/>
        <v>21</v>
      </c>
      <c r="H48" s="88">
        <f t="shared" si="9"/>
        <v>25</v>
      </c>
      <c r="I48" s="88">
        <f t="shared" si="9"/>
        <v>27</v>
      </c>
      <c r="J48" s="88">
        <f t="shared" si="9"/>
        <v>32</v>
      </c>
      <c r="K48" s="199">
        <f t="shared" si="9"/>
        <v>40</v>
      </c>
      <c r="L48" s="217"/>
      <c r="M48" s="218">
        <f t="shared" ref="M48:P48" si="10">INT(INT(M33*1.1)*1.15)</f>
        <v>50</v>
      </c>
      <c r="N48" s="219"/>
      <c r="O48" s="203">
        <f t="shared" si="10"/>
        <v>69</v>
      </c>
      <c r="P48" s="204">
        <f t="shared" si="10"/>
        <v>88</v>
      </c>
      <c r="Q48" s="219"/>
      <c r="R48" s="272">
        <f t="shared" ref="R48:V48" si="11">INT(INT(R33*1.1)*1.15)</f>
        <v>106</v>
      </c>
      <c r="S48" s="219"/>
      <c r="T48" s="203">
        <f t="shared" si="11"/>
        <v>126</v>
      </c>
      <c r="U48" s="273">
        <f t="shared" si="11"/>
        <v>144</v>
      </c>
      <c r="V48" s="204">
        <f t="shared" si="11"/>
        <v>164</v>
      </c>
      <c r="W48" s="295"/>
      <c r="X48" s="275">
        <f>INT(INT(X33*1.1)*1.15)</f>
        <v>182</v>
      </c>
    </row>
    <row r="49" ht="21" customHeight="1" spans="1:24">
      <c r="A49" s="1512" t="s">
        <v>71</v>
      </c>
      <c r="B49" s="73"/>
      <c r="C49" s="75">
        <f t="shared" ref="C49:K49" si="12">INT(INT(C34*1.1)*1.15)</f>
        <v>18</v>
      </c>
      <c r="D49" s="76">
        <f t="shared" si="12"/>
        <v>21</v>
      </c>
      <c r="E49" s="76">
        <f t="shared" si="12"/>
        <v>26</v>
      </c>
      <c r="F49" s="76">
        <f t="shared" si="12"/>
        <v>29</v>
      </c>
      <c r="G49" s="76">
        <f t="shared" si="12"/>
        <v>33</v>
      </c>
      <c r="H49" s="76">
        <f t="shared" si="12"/>
        <v>37</v>
      </c>
      <c r="I49" s="76">
        <f t="shared" si="12"/>
        <v>41</v>
      </c>
      <c r="J49" s="76">
        <f t="shared" si="12"/>
        <v>48</v>
      </c>
      <c r="K49" s="182">
        <f t="shared" si="12"/>
        <v>59</v>
      </c>
      <c r="L49" s="212"/>
      <c r="M49" s="197">
        <f t="shared" ref="M49:P49" si="13">INT(INT(M34*1.1)*1.15)</f>
        <v>75</v>
      </c>
      <c r="N49" s="214"/>
      <c r="O49" s="161">
        <f t="shared" si="13"/>
        <v>104</v>
      </c>
      <c r="P49" s="162">
        <f t="shared" si="13"/>
        <v>132</v>
      </c>
      <c r="Q49" s="214"/>
      <c r="R49" s="247">
        <f t="shared" ref="R49:V49" si="14">INT(INT(R34*1.1)*1.15)</f>
        <v>161</v>
      </c>
      <c r="S49" s="214"/>
      <c r="T49" s="161">
        <f t="shared" si="14"/>
        <v>189</v>
      </c>
      <c r="U49" s="248">
        <f t="shared" si="14"/>
        <v>217</v>
      </c>
      <c r="V49" s="162">
        <f t="shared" si="14"/>
        <v>242</v>
      </c>
      <c r="W49" s="291"/>
      <c r="X49" s="250">
        <f>INT(INT(X34*1.1)*1.15)</f>
        <v>282</v>
      </c>
    </row>
    <row r="50" ht="21" customHeight="1" spans="1:24">
      <c r="A50" s="1511" t="s">
        <v>72</v>
      </c>
      <c r="B50" s="122"/>
      <c r="C50" s="87">
        <f t="shared" ref="C50:K50" si="15">INT(INT(C38*1.15)*1.1)</f>
        <v>15</v>
      </c>
      <c r="D50" s="88">
        <f t="shared" si="15"/>
        <v>18</v>
      </c>
      <c r="E50" s="88">
        <f t="shared" si="15"/>
        <v>22</v>
      </c>
      <c r="F50" s="88">
        <f t="shared" si="15"/>
        <v>25</v>
      </c>
      <c r="G50" s="88">
        <f t="shared" si="15"/>
        <v>28</v>
      </c>
      <c r="H50" s="88">
        <f t="shared" si="15"/>
        <v>31</v>
      </c>
      <c r="I50" s="88">
        <f t="shared" si="15"/>
        <v>35</v>
      </c>
      <c r="J50" s="88">
        <f t="shared" si="15"/>
        <v>40</v>
      </c>
      <c r="K50" s="199">
        <f t="shared" si="15"/>
        <v>51</v>
      </c>
      <c r="L50" s="398"/>
      <c r="M50" s="201">
        <f t="shared" ref="M50:P50" si="16">INT(INT(M38*1.15)*1.1)</f>
        <v>64</v>
      </c>
      <c r="N50" s="400"/>
      <c r="O50" s="203">
        <f t="shared" si="16"/>
        <v>89</v>
      </c>
      <c r="P50" s="204">
        <f t="shared" si="16"/>
        <v>114</v>
      </c>
      <c r="Q50" s="400"/>
      <c r="R50" s="272">
        <f t="shared" ref="R50:V50" si="17">INT(INT(R38*1.15)*1.1)</f>
        <v>138</v>
      </c>
      <c r="S50" s="400"/>
      <c r="T50" s="203">
        <f t="shared" si="17"/>
        <v>163</v>
      </c>
      <c r="U50" s="273">
        <f t="shared" si="17"/>
        <v>188</v>
      </c>
      <c r="V50" s="204">
        <f t="shared" si="17"/>
        <v>213</v>
      </c>
      <c r="W50" s="431"/>
      <c r="X50" s="275">
        <f>INT(INT(X38*1.15)*1.1)</f>
        <v>245</v>
      </c>
    </row>
    <row r="51" ht="21" customHeight="1" spans="1:24">
      <c r="A51" s="59" t="s">
        <v>18</v>
      </c>
      <c r="B51" s="60"/>
      <c r="C51" s="61">
        <v>0</v>
      </c>
      <c r="D51" s="62">
        <v>1</v>
      </c>
      <c r="E51" s="62">
        <v>2</v>
      </c>
      <c r="F51" s="63">
        <v>3</v>
      </c>
      <c r="G51" s="62">
        <v>4</v>
      </c>
      <c r="H51" s="64">
        <v>5</v>
      </c>
      <c r="I51" s="62">
        <v>6</v>
      </c>
      <c r="J51" s="174">
        <v>7</v>
      </c>
      <c r="K51" s="175">
        <v>8</v>
      </c>
      <c r="L51" s="523" t="s">
        <v>73</v>
      </c>
      <c r="M51" s="574"/>
      <c r="N51" s="574"/>
      <c r="O51" s="574"/>
      <c r="P51" s="574"/>
      <c r="Q51" s="574"/>
      <c r="R51" s="574"/>
      <c r="S51" s="574"/>
      <c r="T51" s="574"/>
      <c r="U51" s="574"/>
      <c r="V51" s="574"/>
      <c r="W51" s="574"/>
      <c r="X51" s="584"/>
    </row>
    <row r="52" ht="21" customHeight="1" spans="1:24">
      <c r="A52" s="1467" t="s">
        <v>74</v>
      </c>
      <c r="B52" s="1513"/>
      <c r="C52" s="1514">
        <v>1.25</v>
      </c>
      <c r="D52" s="1515">
        <v>1.2</v>
      </c>
      <c r="E52" s="1515">
        <v>1.15</v>
      </c>
      <c r="F52" s="1514">
        <v>1.1</v>
      </c>
      <c r="G52" s="1515">
        <v>1.05</v>
      </c>
      <c r="H52" s="1514">
        <v>1</v>
      </c>
      <c r="I52" s="1515">
        <v>0.95</v>
      </c>
      <c r="J52" s="1514">
        <v>0.9</v>
      </c>
      <c r="K52" s="1514">
        <v>0.8</v>
      </c>
      <c r="L52" s="734" t="s">
        <v>75</v>
      </c>
      <c r="M52" s="177"/>
      <c r="N52" s="177"/>
      <c r="O52" s="177"/>
      <c r="P52" s="177"/>
      <c r="Q52" s="177"/>
      <c r="R52" s="177"/>
      <c r="S52" s="177"/>
      <c r="T52" s="177"/>
      <c r="U52" s="177"/>
      <c r="V52" s="177"/>
      <c r="W52" s="177"/>
      <c r="X52" s="258"/>
    </row>
    <row r="53" ht="21" customHeight="1" spans="1:24">
      <c r="A53" s="1487" t="s">
        <v>71</v>
      </c>
      <c r="B53" s="65"/>
      <c r="C53" s="66">
        <v>1.25</v>
      </c>
      <c r="D53" s="67">
        <v>1.2</v>
      </c>
      <c r="E53" s="67">
        <v>1.15</v>
      </c>
      <c r="F53" s="93">
        <v>1.1</v>
      </c>
      <c r="G53" s="67">
        <v>1.05</v>
      </c>
      <c r="H53" s="69">
        <v>1</v>
      </c>
      <c r="I53" s="67">
        <v>0.95</v>
      </c>
      <c r="J53" s="178">
        <v>0.9</v>
      </c>
      <c r="K53" s="179">
        <v>0.9</v>
      </c>
      <c r="L53" s="176" t="s">
        <v>76</v>
      </c>
      <c r="M53" s="177"/>
      <c r="N53" s="177"/>
      <c r="O53" s="177"/>
      <c r="P53" s="177"/>
      <c r="Q53" s="177"/>
      <c r="R53" s="177"/>
      <c r="S53" s="177"/>
      <c r="T53" s="177"/>
      <c r="U53" s="177"/>
      <c r="V53" s="177"/>
      <c r="W53" s="177"/>
      <c r="X53" s="258"/>
    </row>
    <row r="54" ht="19.5" spans="1:24">
      <c r="A54" s="45"/>
      <c r="B54" s="46"/>
      <c r="C54" s="46"/>
      <c r="D54" s="46"/>
      <c r="E54" s="46"/>
      <c r="F54" s="46"/>
      <c r="G54" s="46"/>
      <c r="H54" s="46"/>
      <c r="I54" s="46"/>
      <c r="J54" s="46"/>
      <c r="K54" s="46"/>
      <c r="L54" s="46"/>
      <c r="M54" s="46"/>
      <c r="N54" s="46"/>
      <c r="O54" s="46"/>
      <c r="P54" s="46"/>
      <c r="Q54" s="46"/>
      <c r="R54" s="46"/>
      <c r="S54" s="46"/>
      <c r="T54" s="46"/>
      <c r="U54" s="46"/>
      <c r="V54" s="46"/>
      <c r="W54" s="46"/>
      <c r="X54" s="252"/>
    </row>
    <row r="55" ht="44" customHeight="1" spans="1:24">
      <c r="A55" s="14" t="str">
        <f>_xlfn.DISPIMG("ID_774586B56AC64C20A7EC34F0478857E0",1)</f>
        <v>=DISPIMG("ID_774586B56AC64C20A7EC34F0478857E0",1)</v>
      </c>
      <c r="B55" s="15" t="str">
        <f>_xlfn.DISPIMG("ID_9E88D600792F45B4AB1F2AE284E786D2",1)</f>
        <v>=DISPIMG("ID_9E88D600792F45B4AB1F2AE284E786D2",1)</v>
      </c>
      <c r="C55" s="15" t="str">
        <f>_xlfn.DISPIMG("ID_38DEC5088D8841C9BDF655174922C45F",1)</f>
        <v>=DISPIMG("ID_38DEC5088D8841C9BDF655174922C45F",1)</v>
      </c>
      <c r="D55" s="15" t="str">
        <f>_xlfn.DISPIMG("ID_5DA7D2802E2C4322879B8EF98BA63717",1)</f>
        <v>=DISPIMG("ID_5DA7D2802E2C4322879B8EF98BA63717",1)</v>
      </c>
      <c r="E55" s="15" t="str">
        <f>_xlfn.DISPIMG("ID_7454E28D7DE54F809FDDD52FA79324CE",1)</f>
        <v>=DISPIMG("ID_7454E28D7DE54F809FDDD52FA79324CE",1)</v>
      </c>
      <c r="F55" s="16"/>
      <c r="G55" s="936" t="s">
        <v>77</v>
      </c>
      <c r="H55" s="937"/>
      <c r="I55" s="937"/>
      <c r="J55" s="937"/>
      <c r="K55" s="937"/>
      <c r="L55" s="937"/>
      <c r="M55" s="937"/>
      <c r="N55" s="937"/>
      <c r="O55" s="960"/>
      <c r="P55" s="353"/>
      <c r="Q55" s="354"/>
      <c r="R55" s="354"/>
      <c r="S55" s="354"/>
      <c r="T55" s="354"/>
      <c r="U55" s="354"/>
      <c r="V55" s="354"/>
      <c r="W55" s="354"/>
      <c r="X55" s="355"/>
    </row>
    <row r="56" ht="19.5" spans="1:24">
      <c r="A56" s="714"/>
      <c r="B56" s="715"/>
      <c r="C56" s="715"/>
      <c r="D56" s="715"/>
      <c r="E56" s="715"/>
      <c r="F56" s="715"/>
      <c r="G56" s="715"/>
      <c r="H56" s="715"/>
      <c r="I56" s="715"/>
      <c r="J56" s="715"/>
      <c r="K56" s="715"/>
      <c r="L56" s="715"/>
      <c r="M56" s="715"/>
      <c r="N56" s="715"/>
      <c r="O56" s="715"/>
      <c r="P56" s="715"/>
      <c r="Q56" s="715"/>
      <c r="R56" s="715"/>
      <c r="S56" s="715"/>
      <c r="T56" s="715"/>
      <c r="U56" s="715"/>
      <c r="V56" s="715"/>
      <c r="W56" s="715"/>
      <c r="X56" s="749"/>
    </row>
    <row r="57" ht="21" customHeight="1" spans="1:24">
      <c r="A57" s="21" t="s">
        <v>8</v>
      </c>
      <c r="B57" s="22"/>
      <c r="C57" s="23">
        <v>0</v>
      </c>
      <c r="D57" s="24">
        <v>1</v>
      </c>
      <c r="E57" s="24">
        <v>2</v>
      </c>
      <c r="F57" s="24">
        <v>3</v>
      </c>
      <c r="G57" s="24">
        <v>4</v>
      </c>
      <c r="H57" s="24">
        <v>5</v>
      </c>
      <c r="I57" s="24">
        <v>6</v>
      </c>
      <c r="J57" s="24">
        <v>7</v>
      </c>
      <c r="K57" s="135">
        <v>8</v>
      </c>
      <c r="L57" s="136">
        <v>9</v>
      </c>
      <c r="M57" s="137"/>
      <c r="N57" s="137"/>
      <c r="O57" s="139">
        <v>10</v>
      </c>
      <c r="P57" s="140">
        <v>11</v>
      </c>
      <c r="Q57" s="236">
        <v>12</v>
      </c>
      <c r="R57" s="236"/>
      <c r="S57" s="236"/>
      <c r="T57" s="139">
        <v>13</v>
      </c>
      <c r="U57" s="237">
        <v>14</v>
      </c>
      <c r="V57" s="140">
        <v>15</v>
      </c>
      <c r="W57" s="137">
        <v>16</v>
      </c>
      <c r="X57" s="138"/>
    </row>
    <row r="58" ht="21" customHeight="1" spans="1:24">
      <c r="A58" s="122" t="s">
        <v>78</v>
      </c>
      <c r="B58" s="122"/>
      <c r="C58" s="87">
        <v>10</v>
      </c>
      <c r="D58" s="88">
        <v>12</v>
      </c>
      <c r="E58" s="88">
        <v>14</v>
      </c>
      <c r="F58" s="88">
        <v>16</v>
      </c>
      <c r="G58" s="88">
        <v>18</v>
      </c>
      <c r="H58" s="88">
        <v>20</v>
      </c>
      <c r="I58" s="88">
        <v>22</v>
      </c>
      <c r="J58" s="88">
        <v>26</v>
      </c>
      <c r="K58" s="199">
        <v>32</v>
      </c>
      <c r="L58" s="217"/>
      <c r="M58" s="218">
        <v>40</v>
      </c>
      <c r="N58" s="219"/>
      <c r="O58" s="203">
        <v>55</v>
      </c>
      <c r="P58" s="204">
        <v>70</v>
      </c>
      <c r="Q58" s="219"/>
      <c r="R58" s="272">
        <v>85</v>
      </c>
      <c r="S58" s="219"/>
      <c r="T58" s="203">
        <v>100</v>
      </c>
      <c r="U58" s="273">
        <v>115</v>
      </c>
      <c r="V58" s="204">
        <v>130</v>
      </c>
      <c r="W58" s="295"/>
      <c r="X58" s="275">
        <v>145</v>
      </c>
    </row>
    <row r="59" ht="21" customHeight="1" spans="1:24">
      <c r="A59" s="73" t="s">
        <v>79</v>
      </c>
      <c r="B59" s="73"/>
      <c r="C59" s="75">
        <v>12</v>
      </c>
      <c r="D59" s="76">
        <v>14</v>
      </c>
      <c r="E59" s="76">
        <v>16</v>
      </c>
      <c r="F59" s="76">
        <v>18</v>
      </c>
      <c r="G59" s="76">
        <v>20</v>
      </c>
      <c r="H59" s="76">
        <v>22</v>
      </c>
      <c r="I59" s="76">
        <v>26</v>
      </c>
      <c r="J59" s="76">
        <v>32</v>
      </c>
      <c r="K59" s="182">
        <v>40</v>
      </c>
      <c r="L59" s="212"/>
      <c r="M59" s="197">
        <v>55</v>
      </c>
      <c r="N59" s="214"/>
      <c r="O59" s="161">
        <v>70</v>
      </c>
      <c r="P59" s="162">
        <v>85</v>
      </c>
      <c r="Q59" s="214"/>
      <c r="R59" s="247">
        <v>100</v>
      </c>
      <c r="S59" s="214"/>
      <c r="T59" s="161">
        <v>120</v>
      </c>
      <c r="U59" s="248">
        <v>140</v>
      </c>
      <c r="V59" s="162">
        <v>160</v>
      </c>
      <c r="W59" s="291"/>
      <c r="X59" s="250">
        <v>185</v>
      </c>
    </row>
    <row r="60" ht="21" customHeight="1" spans="1:24">
      <c r="A60" s="496" t="s">
        <v>80</v>
      </c>
      <c r="B60" s="496"/>
      <c r="C60" s="336">
        <v>11</v>
      </c>
      <c r="D60" s="337">
        <v>13</v>
      </c>
      <c r="E60" s="337">
        <v>15</v>
      </c>
      <c r="F60" s="337">
        <v>18</v>
      </c>
      <c r="G60" s="337">
        <v>20</v>
      </c>
      <c r="H60" s="337">
        <v>22</v>
      </c>
      <c r="I60" s="337">
        <v>24</v>
      </c>
      <c r="J60" s="337">
        <v>29</v>
      </c>
      <c r="K60" s="379">
        <v>35</v>
      </c>
      <c r="L60" s="398"/>
      <c r="M60" s="727">
        <v>44</v>
      </c>
      <c r="N60" s="400"/>
      <c r="O60" s="382">
        <v>61</v>
      </c>
      <c r="P60" s="383">
        <v>77</v>
      </c>
      <c r="Q60" s="400"/>
      <c r="R60" s="416">
        <v>94</v>
      </c>
      <c r="S60" s="400"/>
      <c r="T60" s="382">
        <v>110</v>
      </c>
      <c r="U60" s="417">
        <v>127</v>
      </c>
      <c r="V60" s="383">
        <v>143</v>
      </c>
      <c r="W60" s="431"/>
      <c r="X60" s="418">
        <v>163</v>
      </c>
    </row>
    <row r="61" ht="21" customHeight="1" spans="1:24">
      <c r="A61" s="1510" t="s">
        <v>81</v>
      </c>
      <c r="B61" s="55"/>
      <c r="C61" s="53">
        <f t="shared" ref="C61:K61" si="18">INT(C60*1.05)</f>
        <v>11</v>
      </c>
      <c r="D61" s="54">
        <f t="shared" si="18"/>
        <v>13</v>
      </c>
      <c r="E61" s="54">
        <f t="shared" si="18"/>
        <v>15</v>
      </c>
      <c r="F61" s="54">
        <f t="shared" si="18"/>
        <v>18</v>
      </c>
      <c r="G61" s="54">
        <f t="shared" si="18"/>
        <v>21</v>
      </c>
      <c r="H61" s="54">
        <f t="shared" si="18"/>
        <v>23</v>
      </c>
      <c r="I61" s="54">
        <f t="shared" si="18"/>
        <v>25</v>
      </c>
      <c r="J61" s="54">
        <f t="shared" si="18"/>
        <v>30</v>
      </c>
      <c r="K61" s="169">
        <f t="shared" si="18"/>
        <v>36</v>
      </c>
      <c r="L61" s="1526"/>
      <c r="M61" s="1524">
        <f t="shared" ref="M61:P61" si="19">INT(M60*1.05)</f>
        <v>46</v>
      </c>
      <c r="N61" s="1527"/>
      <c r="O61" s="171">
        <f t="shared" si="19"/>
        <v>64</v>
      </c>
      <c r="P61" s="172">
        <f t="shared" si="19"/>
        <v>80</v>
      </c>
      <c r="Q61" s="1527"/>
      <c r="R61" s="255">
        <f t="shared" ref="R61:V61" si="20">INT(R60*1.05)</f>
        <v>98</v>
      </c>
      <c r="S61" s="1527"/>
      <c r="T61" s="171">
        <f t="shared" si="20"/>
        <v>115</v>
      </c>
      <c r="U61" s="256">
        <f t="shared" si="20"/>
        <v>133</v>
      </c>
      <c r="V61" s="172">
        <f t="shared" si="20"/>
        <v>150</v>
      </c>
      <c r="W61" s="1533"/>
      <c r="X61" s="257">
        <f>INT(X60*1.05)</f>
        <v>171</v>
      </c>
    </row>
    <row r="62" ht="21" customHeight="1" spans="1:24">
      <c r="A62" s="122" t="s">
        <v>82</v>
      </c>
      <c r="B62" s="122"/>
      <c r="C62" s="87">
        <v>11</v>
      </c>
      <c r="D62" s="88">
        <v>13</v>
      </c>
      <c r="E62" s="88">
        <v>15</v>
      </c>
      <c r="F62" s="88">
        <v>17</v>
      </c>
      <c r="G62" s="88">
        <v>19</v>
      </c>
      <c r="H62" s="88">
        <v>21</v>
      </c>
      <c r="I62" s="88">
        <v>23</v>
      </c>
      <c r="J62" s="88">
        <v>27</v>
      </c>
      <c r="K62" s="199">
        <v>35</v>
      </c>
      <c r="L62" s="217"/>
      <c r="M62" s="218">
        <v>45</v>
      </c>
      <c r="N62" s="219"/>
      <c r="O62" s="203">
        <v>60</v>
      </c>
      <c r="P62" s="204">
        <v>75</v>
      </c>
      <c r="Q62" s="219"/>
      <c r="R62" s="272">
        <v>90</v>
      </c>
      <c r="S62" s="219"/>
      <c r="T62" s="203">
        <v>110</v>
      </c>
      <c r="U62" s="273">
        <v>130</v>
      </c>
      <c r="V62" s="204">
        <v>150</v>
      </c>
      <c r="W62" s="295"/>
      <c r="X62" s="275">
        <v>175</v>
      </c>
    </row>
    <row r="63" ht="21" customHeight="1" spans="1:24">
      <c r="A63" s="73" t="s">
        <v>83</v>
      </c>
      <c r="B63" s="73"/>
      <c r="C63" s="75">
        <v>16</v>
      </c>
      <c r="D63" s="76">
        <v>19</v>
      </c>
      <c r="E63" s="76">
        <v>22</v>
      </c>
      <c r="F63" s="76">
        <v>25</v>
      </c>
      <c r="G63" s="76">
        <v>28</v>
      </c>
      <c r="H63" s="76">
        <v>31</v>
      </c>
      <c r="I63" s="76">
        <v>35</v>
      </c>
      <c r="J63" s="76">
        <v>40</v>
      </c>
      <c r="K63" s="182">
        <v>50</v>
      </c>
      <c r="L63" s="183"/>
      <c r="M63" s="159">
        <v>60</v>
      </c>
      <c r="N63" s="184"/>
      <c r="O63" s="161">
        <v>85</v>
      </c>
      <c r="P63" s="162">
        <v>110</v>
      </c>
      <c r="Q63" s="184"/>
      <c r="R63" s="247">
        <v>140</v>
      </c>
      <c r="S63" s="184"/>
      <c r="T63" s="161">
        <v>170</v>
      </c>
      <c r="U63" s="248">
        <v>200</v>
      </c>
      <c r="V63" s="162">
        <v>230</v>
      </c>
      <c r="W63" s="261"/>
      <c r="X63" s="250">
        <v>260</v>
      </c>
    </row>
    <row r="64" ht="21" spans="1:24">
      <c r="A64" s="59" t="s">
        <v>18</v>
      </c>
      <c r="B64" s="60"/>
      <c r="C64" s="61">
        <v>0</v>
      </c>
      <c r="D64" s="62">
        <v>1</v>
      </c>
      <c r="E64" s="62">
        <v>2</v>
      </c>
      <c r="F64" s="63">
        <v>3</v>
      </c>
      <c r="G64" s="62">
        <v>4</v>
      </c>
      <c r="H64" s="64">
        <v>5</v>
      </c>
      <c r="I64" s="62">
        <v>6</v>
      </c>
      <c r="J64" s="174">
        <v>7</v>
      </c>
      <c r="K64" s="175">
        <v>8</v>
      </c>
      <c r="L64" s="176" t="s">
        <v>84</v>
      </c>
      <c r="M64" s="177"/>
      <c r="N64" s="177"/>
      <c r="O64" s="177"/>
      <c r="P64" s="177"/>
      <c r="Q64" s="177"/>
      <c r="R64" s="177"/>
      <c r="S64" s="177"/>
      <c r="T64" s="177"/>
      <c r="U64" s="177"/>
      <c r="V64" s="177"/>
      <c r="W64" s="177"/>
      <c r="X64" s="258"/>
    </row>
    <row r="65" ht="21" spans="1:24">
      <c r="A65" s="122" t="s">
        <v>78</v>
      </c>
      <c r="B65" s="122"/>
      <c r="C65" s="41">
        <v>1.3</v>
      </c>
      <c r="D65" s="42">
        <v>1.25</v>
      </c>
      <c r="E65" s="42">
        <v>1.2</v>
      </c>
      <c r="F65" s="43">
        <v>1.15</v>
      </c>
      <c r="G65" s="42">
        <v>1.1</v>
      </c>
      <c r="H65" s="44">
        <v>1.05</v>
      </c>
      <c r="I65" s="42">
        <v>1</v>
      </c>
      <c r="J65" s="163">
        <v>0.95</v>
      </c>
      <c r="K65" s="164">
        <v>0.9</v>
      </c>
      <c r="L65" s="176" t="s">
        <v>85</v>
      </c>
      <c r="M65" s="177"/>
      <c r="N65" s="177"/>
      <c r="O65" s="177"/>
      <c r="P65" s="177"/>
      <c r="Q65" s="177"/>
      <c r="R65" s="177"/>
      <c r="S65" s="177"/>
      <c r="T65" s="177"/>
      <c r="U65" s="177"/>
      <c r="V65" s="177"/>
      <c r="W65" s="177"/>
      <c r="X65" s="258"/>
    </row>
    <row r="66" ht="21" spans="1:24">
      <c r="A66" s="65" t="s">
        <v>79</v>
      </c>
      <c r="B66" s="65"/>
      <c r="C66" s="66">
        <v>1.4</v>
      </c>
      <c r="D66" s="67">
        <v>1.35</v>
      </c>
      <c r="E66" s="67">
        <v>1.3</v>
      </c>
      <c r="F66" s="93">
        <v>1.25</v>
      </c>
      <c r="G66" s="67">
        <v>1.2</v>
      </c>
      <c r="H66" s="69">
        <v>1.15</v>
      </c>
      <c r="I66" s="67">
        <v>1.1</v>
      </c>
      <c r="J66" s="178">
        <v>1.05</v>
      </c>
      <c r="K66" s="179">
        <v>0.95</v>
      </c>
      <c r="L66" s="176" t="s">
        <v>86</v>
      </c>
      <c r="M66" s="177"/>
      <c r="N66" s="177"/>
      <c r="O66" s="177"/>
      <c r="P66" s="177"/>
      <c r="Q66" s="177"/>
      <c r="R66" s="177"/>
      <c r="S66" s="177"/>
      <c r="T66" s="177"/>
      <c r="U66" s="177"/>
      <c r="V66" s="177"/>
      <c r="W66" s="177"/>
      <c r="X66" s="258"/>
    </row>
    <row r="67" ht="21" spans="1:24">
      <c r="A67" s="496" t="s">
        <v>80</v>
      </c>
      <c r="B67" s="496"/>
      <c r="C67" s="41">
        <v>1.4</v>
      </c>
      <c r="D67" s="42">
        <v>1.35</v>
      </c>
      <c r="E67" s="42">
        <v>1.3</v>
      </c>
      <c r="F67" s="43">
        <v>1.25</v>
      </c>
      <c r="G67" s="42">
        <v>1.2</v>
      </c>
      <c r="H67" s="44">
        <v>1.15</v>
      </c>
      <c r="I67" s="42">
        <v>1.1</v>
      </c>
      <c r="J67" s="163">
        <v>1.05</v>
      </c>
      <c r="K67" s="164">
        <v>0.95</v>
      </c>
      <c r="L67" s="176" t="s">
        <v>87</v>
      </c>
      <c r="M67" s="177"/>
      <c r="N67" s="177"/>
      <c r="O67" s="177"/>
      <c r="P67" s="177"/>
      <c r="Q67" s="177"/>
      <c r="R67" s="177"/>
      <c r="S67" s="177"/>
      <c r="T67" s="177"/>
      <c r="U67" s="177"/>
      <c r="V67" s="177"/>
      <c r="W67" s="177"/>
      <c r="X67" s="258"/>
    </row>
    <row r="68" ht="21" spans="1:24">
      <c r="A68" s="65" t="s">
        <v>82</v>
      </c>
      <c r="B68" s="65"/>
      <c r="C68" s="66">
        <v>1.25</v>
      </c>
      <c r="D68" s="67">
        <v>1.2</v>
      </c>
      <c r="E68" s="67">
        <v>1.15</v>
      </c>
      <c r="F68" s="93">
        <v>1.1</v>
      </c>
      <c r="G68" s="67">
        <v>1.05</v>
      </c>
      <c r="H68" s="69">
        <v>1</v>
      </c>
      <c r="I68" s="67">
        <v>0.95</v>
      </c>
      <c r="J68" s="178">
        <v>0.9</v>
      </c>
      <c r="K68" s="378">
        <v>0.8</v>
      </c>
      <c r="L68" s="176" t="s">
        <v>88</v>
      </c>
      <c r="M68" s="177"/>
      <c r="N68" s="177"/>
      <c r="O68" s="177"/>
      <c r="P68" s="177"/>
      <c r="Q68" s="177"/>
      <c r="R68" s="177"/>
      <c r="S68" s="177"/>
      <c r="T68" s="177"/>
      <c r="U68" s="177"/>
      <c r="V68" s="177"/>
      <c r="W68" s="177"/>
      <c r="X68" s="258"/>
    </row>
    <row r="69" ht="21" spans="1:24">
      <c r="A69" s="122" t="s">
        <v>83</v>
      </c>
      <c r="B69" s="122"/>
      <c r="C69" s="41">
        <v>1.8</v>
      </c>
      <c r="D69" s="42">
        <v>1.75</v>
      </c>
      <c r="E69" s="42">
        <v>1.7</v>
      </c>
      <c r="F69" s="43">
        <v>1.65</v>
      </c>
      <c r="G69" s="42">
        <v>1.6</v>
      </c>
      <c r="H69" s="44">
        <v>1.55</v>
      </c>
      <c r="I69" s="42">
        <v>1.5</v>
      </c>
      <c r="J69" s="163">
        <v>1.4</v>
      </c>
      <c r="K69" s="164">
        <v>1.3</v>
      </c>
      <c r="L69" s="176" t="s">
        <v>89</v>
      </c>
      <c r="M69" s="177"/>
      <c r="N69" s="177"/>
      <c r="O69" s="177"/>
      <c r="P69" s="177"/>
      <c r="Q69" s="177"/>
      <c r="R69" s="177"/>
      <c r="S69" s="177"/>
      <c r="T69" s="177"/>
      <c r="U69" s="177"/>
      <c r="V69" s="177"/>
      <c r="W69" s="177"/>
      <c r="X69" s="258"/>
    </row>
    <row r="70" ht="21" customHeight="1" spans="1:24">
      <c r="A70" s="622" t="s">
        <v>69</v>
      </c>
      <c r="B70" s="622"/>
      <c r="C70" s="622"/>
      <c r="D70" s="622"/>
      <c r="E70" s="622"/>
      <c r="F70" s="622"/>
      <c r="G70" s="622"/>
      <c r="H70" s="622"/>
      <c r="I70" s="622"/>
      <c r="J70" s="622"/>
      <c r="K70" s="622"/>
      <c r="L70" s="622"/>
      <c r="M70" s="622"/>
      <c r="N70" s="622"/>
      <c r="O70" s="622"/>
      <c r="P70" s="622"/>
      <c r="Q70" s="622"/>
      <c r="R70" s="622"/>
      <c r="S70" s="622"/>
      <c r="T70" s="622"/>
      <c r="U70" s="622"/>
      <c r="V70" s="622"/>
      <c r="W70" s="622"/>
      <c r="X70" s="622"/>
    </row>
    <row r="71" ht="21" customHeight="1" spans="1:24">
      <c r="A71" s="1511" t="s">
        <v>90</v>
      </c>
      <c r="B71" s="122"/>
      <c r="C71" s="87">
        <f t="shared" ref="C71:K71" si="21">INT(INT(C58*1.1)*1.15)</f>
        <v>12</v>
      </c>
      <c r="D71" s="88">
        <f t="shared" si="21"/>
        <v>14</v>
      </c>
      <c r="E71" s="88">
        <f t="shared" si="21"/>
        <v>17</v>
      </c>
      <c r="F71" s="88">
        <f t="shared" si="21"/>
        <v>19</v>
      </c>
      <c r="G71" s="88">
        <f t="shared" si="21"/>
        <v>21</v>
      </c>
      <c r="H71" s="88">
        <f t="shared" si="21"/>
        <v>25</v>
      </c>
      <c r="I71" s="88">
        <f t="shared" si="21"/>
        <v>27</v>
      </c>
      <c r="J71" s="88">
        <f t="shared" si="21"/>
        <v>32</v>
      </c>
      <c r="K71" s="199">
        <f t="shared" si="21"/>
        <v>40</v>
      </c>
      <c r="L71" s="217"/>
      <c r="M71" s="218">
        <f t="shared" ref="M71:P71" si="22">INT(INT(M58*1.1)*1.15)</f>
        <v>50</v>
      </c>
      <c r="N71" s="219"/>
      <c r="O71" s="203">
        <f t="shared" si="22"/>
        <v>69</v>
      </c>
      <c r="P71" s="204">
        <f t="shared" si="22"/>
        <v>88</v>
      </c>
      <c r="Q71" s="219"/>
      <c r="R71" s="272">
        <f t="shared" ref="R71:V71" si="23">INT(INT(R58*1.1)*1.15)</f>
        <v>106</v>
      </c>
      <c r="S71" s="219"/>
      <c r="T71" s="203">
        <f t="shared" si="23"/>
        <v>126</v>
      </c>
      <c r="U71" s="273">
        <f t="shared" si="23"/>
        <v>144</v>
      </c>
      <c r="V71" s="204">
        <f t="shared" si="23"/>
        <v>164</v>
      </c>
      <c r="W71" s="295"/>
      <c r="X71" s="275">
        <f>INT(INT(X58*1.1)*1.15)</f>
        <v>182</v>
      </c>
    </row>
    <row r="72" ht="21" customHeight="1" spans="1:24">
      <c r="A72" s="1468" t="s">
        <v>91</v>
      </c>
      <c r="B72" s="863"/>
      <c r="C72" s="1534">
        <f t="shared" ref="C72:K72" si="24">INT(INT(C59*1.1)*1.15)</f>
        <v>14</v>
      </c>
      <c r="D72" s="1535">
        <f t="shared" si="24"/>
        <v>17</v>
      </c>
      <c r="E72" s="1535">
        <f t="shared" si="24"/>
        <v>19</v>
      </c>
      <c r="F72" s="1535">
        <f t="shared" si="24"/>
        <v>21</v>
      </c>
      <c r="G72" s="1535">
        <f t="shared" si="24"/>
        <v>25</v>
      </c>
      <c r="H72" s="1535">
        <f t="shared" si="24"/>
        <v>27</v>
      </c>
      <c r="I72" s="1535">
        <f t="shared" si="24"/>
        <v>32</v>
      </c>
      <c r="J72" s="1535">
        <f t="shared" si="24"/>
        <v>40</v>
      </c>
      <c r="K72" s="1553">
        <f t="shared" si="24"/>
        <v>50</v>
      </c>
      <c r="L72" s="1554"/>
      <c r="M72" s="891">
        <f t="shared" ref="M72:P72" si="25">INT(INT(M59*1.1)*1.15)</f>
        <v>69</v>
      </c>
      <c r="N72" s="1555"/>
      <c r="O72" s="815">
        <f t="shared" si="25"/>
        <v>88</v>
      </c>
      <c r="P72" s="816">
        <f t="shared" si="25"/>
        <v>106</v>
      </c>
      <c r="Q72" s="1555"/>
      <c r="R72" s="841">
        <f t="shared" ref="R72:V72" si="26">INT(INT(R59*1.1)*1.15)</f>
        <v>126</v>
      </c>
      <c r="S72" s="1555"/>
      <c r="T72" s="815">
        <f t="shared" si="26"/>
        <v>151</v>
      </c>
      <c r="U72" s="842">
        <f t="shared" si="26"/>
        <v>177</v>
      </c>
      <c r="V72" s="816">
        <f t="shared" si="26"/>
        <v>202</v>
      </c>
      <c r="W72" s="1577"/>
      <c r="X72" s="844">
        <f>INT(INT(X59*1.1)*1.15)</f>
        <v>233</v>
      </c>
    </row>
    <row r="73" ht="21" customHeight="1" spans="1:24">
      <c r="A73" s="59" t="s">
        <v>18</v>
      </c>
      <c r="B73" s="60"/>
      <c r="C73" s="61">
        <v>0</v>
      </c>
      <c r="D73" s="62">
        <v>1</v>
      </c>
      <c r="E73" s="62">
        <v>2</v>
      </c>
      <c r="F73" s="63">
        <v>3</v>
      </c>
      <c r="G73" s="62">
        <v>4</v>
      </c>
      <c r="H73" s="64">
        <v>5</v>
      </c>
      <c r="I73" s="62">
        <v>6</v>
      </c>
      <c r="J73" s="174">
        <v>7</v>
      </c>
      <c r="K73" s="175">
        <v>8</v>
      </c>
      <c r="L73" s="523" t="s">
        <v>92</v>
      </c>
      <c r="M73" s="177"/>
      <c r="N73" s="177"/>
      <c r="O73" s="177"/>
      <c r="P73" s="177"/>
      <c r="Q73" s="177"/>
      <c r="R73" s="177"/>
      <c r="S73" s="177"/>
      <c r="T73" s="177"/>
      <c r="U73" s="177"/>
      <c r="V73" s="177"/>
      <c r="W73" s="177"/>
      <c r="X73" s="258"/>
    </row>
    <row r="74" ht="21" customHeight="1" spans="1:24">
      <c r="A74" s="1511" t="s">
        <v>91</v>
      </c>
      <c r="B74" s="122"/>
      <c r="C74" s="41">
        <v>1.35</v>
      </c>
      <c r="D74" s="42">
        <v>1.3</v>
      </c>
      <c r="E74" s="42">
        <v>1.25</v>
      </c>
      <c r="F74" s="43">
        <v>1.2</v>
      </c>
      <c r="G74" s="42">
        <v>1.15</v>
      </c>
      <c r="H74" s="44">
        <v>1.1</v>
      </c>
      <c r="I74" s="42">
        <v>1.05</v>
      </c>
      <c r="J74" s="163">
        <v>1</v>
      </c>
      <c r="K74" s="575">
        <v>0.95</v>
      </c>
      <c r="L74" s="176" t="s">
        <v>93</v>
      </c>
      <c r="M74" s="177"/>
      <c r="N74" s="177"/>
      <c r="O74" s="177"/>
      <c r="P74" s="177"/>
      <c r="Q74" s="177"/>
      <c r="R74" s="177"/>
      <c r="S74" s="177"/>
      <c r="T74" s="177"/>
      <c r="U74" s="177"/>
      <c r="V74" s="177"/>
      <c r="W74" s="177"/>
      <c r="X74" s="258"/>
    </row>
    <row r="75" ht="19.5" spans="1:24">
      <c r="A75" s="45"/>
      <c r="B75" s="46"/>
      <c r="C75" s="46"/>
      <c r="D75" s="46"/>
      <c r="E75" s="46"/>
      <c r="F75" s="46"/>
      <c r="G75" s="46"/>
      <c r="H75" s="46"/>
      <c r="I75" s="46"/>
      <c r="J75" s="46"/>
      <c r="K75" s="46"/>
      <c r="L75" s="46"/>
      <c r="M75" s="46"/>
      <c r="N75" s="46"/>
      <c r="O75" s="46"/>
      <c r="P75" s="46"/>
      <c r="Q75" s="46"/>
      <c r="R75" s="46"/>
      <c r="S75" s="46"/>
      <c r="T75" s="46"/>
      <c r="U75" s="46"/>
      <c r="V75" s="46"/>
      <c r="W75" s="46"/>
      <c r="X75" s="252"/>
    </row>
    <row r="76" ht="44" customHeight="1" spans="1:24">
      <c r="A76" s="14"/>
      <c r="B76" s="15" t="str">
        <f>_xlfn.DISPIMG("ID_BB598A7660BC498AAABAA10D2F98D72D",1)</f>
        <v>=DISPIMG("ID_BB598A7660BC498AAABAA10D2F98D72D",1)</v>
      </c>
      <c r="C76" s="15" t="str">
        <f>_xlfn.DISPIMG("ID_6F08156CC1F841DA952F407EE30CA3F7",1)</f>
        <v>=DISPIMG("ID_6F08156CC1F841DA952F407EE30CA3F7",1)</v>
      </c>
      <c r="D76" s="15" t="str">
        <f>_xlfn.DISPIMG("ID_AF3257EBEA1E45D2B672A65B42C4A608",1)</f>
        <v>=DISPIMG("ID_AF3257EBEA1E45D2B672A65B42C4A608",1)</v>
      </c>
      <c r="E76" s="15"/>
      <c r="F76" s="16"/>
      <c r="G76" s="1536" t="s">
        <v>94</v>
      </c>
      <c r="H76" s="1537"/>
      <c r="I76" s="1537"/>
      <c r="J76" s="1537"/>
      <c r="K76" s="1537"/>
      <c r="L76" s="1537"/>
      <c r="M76" s="1537"/>
      <c r="N76" s="1537"/>
      <c r="O76" s="1556"/>
      <c r="P76" s="353"/>
      <c r="Q76" s="354"/>
      <c r="R76" s="354"/>
      <c r="S76" s="354"/>
      <c r="T76" s="354"/>
      <c r="U76" s="354"/>
      <c r="V76" s="354"/>
      <c r="W76" s="354"/>
      <c r="X76" s="355"/>
    </row>
    <row r="77" ht="19.5" spans="1:24">
      <c r="A77" s="714"/>
      <c r="B77" s="715"/>
      <c r="C77" s="715"/>
      <c r="D77" s="715"/>
      <c r="E77" s="715"/>
      <c r="F77" s="715"/>
      <c r="G77" s="715"/>
      <c r="H77" s="715"/>
      <c r="I77" s="715"/>
      <c r="J77" s="715"/>
      <c r="K77" s="715"/>
      <c r="L77" s="715"/>
      <c r="M77" s="715"/>
      <c r="N77" s="715"/>
      <c r="O77" s="715"/>
      <c r="P77" s="715"/>
      <c r="Q77" s="715"/>
      <c r="R77" s="715"/>
      <c r="S77" s="715"/>
      <c r="T77" s="715"/>
      <c r="U77" s="715"/>
      <c r="V77" s="715"/>
      <c r="W77" s="715"/>
      <c r="X77" s="749"/>
    </row>
    <row r="78" ht="21" customHeight="1" spans="1:24">
      <c r="A78" s="21" t="s">
        <v>8</v>
      </c>
      <c r="B78" s="22"/>
      <c r="C78" s="23">
        <v>0</v>
      </c>
      <c r="D78" s="24">
        <v>1</v>
      </c>
      <c r="E78" s="24">
        <v>2</v>
      </c>
      <c r="F78" s="24">
        <v>3</v>
      </c>
      <c r="G78" s="24">
        <v>4</v>
      </c>
      <c r="H78" s="24">
        <v>5</v>
      </c>
      <c r="I78" s="24">
        <v>6</v>
      </c>
      <c r="J78" s="24">
        <v>7</v>
      </c>
      <c r="K78" s="135">
        <v>8</v>
      </c>
      <c r="L78" s="136">
        <v>9</v>
      </c>
      <c r="M78" s="137"/>
      <c r="N78" s="137"/>
      <c r="O78" s="139">
        <v>10</v>
      </c>
      <c r="P78" s="140">
        <v>11</v>
      </c>
      <c r="Q78" s="236">
        <v>12</v>
      </c>
      <c r="R78" s="236"/>
      <c r="S78" s="236"/>
      <c r="T78" s="139">
        <v>13</v>
      </c>
      <c r="U78" s="237">
        <v>14</v>
      </c>
      <c r="V78" s="140">
        <v>15</v>
      </c>
      <c r="W78" s="137">
        <v>16</v>
      </c>
      <c r="X78" s="138"/>
    </row>
    <row r="79" ht="21" customHeight="1" spans="1:24">
      <c r="A79" s="122" t="s">
        <v>95</v>
      </c>
      <c r="B79" s="122"/>
      <c r="C79" s="87">
        <v>16</v>
      </c>
      <c r="D79" s="88">
        <v>19</v>
      </c>
      <c r="E79" s="88">
        <v>22</v>
      </c>
      <c r="F79" s="88">
        <v>25</v>
      </c>
      <c r="G79" s="88">
        <v>28</v>
      </c>
      <c r="H79" s="88">
        <v>31</v>
      </c>
      <c r="I79" s="88">
        <v>34</v>
      </c>
      <c r="J79" s="88">
        <v>40</v>
      </c>
      <c r="K79" s="199">
        <v>49</v>
      </c>
      <c r="L79" s="217"/>
      <c r="M79" s="218">
        <v>61</v>
      </c>
      <c r="N79" s="219"/>
      <c r="O79" s="203">
        <v>84</v>
      </c>
      <c r="P79" s="204">
        <v>107</v>
      </c>
      <c r="Q79" s="219"/>
      <c r="R79" s="272">
        <v>132</v>
      </c>
      <c r="S79" s="219"/>
      <c r="T79" s="203">
        <v>154</v>
      </c>
      <c r="U79" s="273">
        <v>179</v>
      </c>
      <c r="V79" s="204">
        <v>204</v>
      </c>
      <c r="W79" s="295"/>
      <c r="X79" s="275">
        <v>234</v>
      </c>
    </row>
    <row r="80" ht="21" customHeight="1" spans="1:24">
      <c r="A80" s="73" t="s">
        <v>96</v>
      </c>
      <c r="B80" s="73"/>
      <c r="C80" s="75">
        <v>16</v>
      </c>
      <c r="D80" s="76">
        <v>19</v>
      </c>
      <c r="E80" s="76">
        <v>22</v>
      </c>
      <c r="F80" s="76">
        <v>25</v>
      </c>
      <c r="G80" s="76">
        <v>28</v>
      </c>
      <c r="H80" s="76">
        <v>31</v>
      </c>
      <c r="I80" s="76">
        <v>34</v>
      </c>
      <c r="J80" s="76">
        <v>40</v>
      </c>
      <c r="K80" s="182">
        <v>49</v>
      </c>
      <c r="L80" s="212"/>
      <c r="M80" s="197">
        <v>61</v>
      </c>
      <c r="N80" s="214"/>
      <c r="O80" s="161">
        <v>84</v>
      </c>
      <c r="P80" s="162">
        <v>107</v>
      </c>
      <c r="Q80" s="214"/>
      <c r="R80" s="247">
        <v>132</v>
      </c>
      <c r="S80" s="214"/>
      <c r="T80" s="161">
        <v>154</v>
      </c>
      <c r="U80" s="248">
        <v>179</v>
      </c>
      <c r="V80" s="162">
        <v>204</v>
      </c>
      <c r="W80" s="291"/>
      <c r="X80" s="250">
        <v>234</v>
      </c>
    </row>
    <row r="81" ht="21" customHeight="1" spans="1:24">
      <c r="A81" s="496" t="s">
        <v>97</v>
      </c>
      <c r="B81" s="496"/>
      <c r="C81" s="336">
        <v>11</v>
      </c>
      <c r="D81" s="337">
        <v>13</v>
      </c>
      <c r="E81" s="337">
        <v>15</v>
      </c>
      <c r="F81" s="337">
        <v>17</v>
      </c>
      <c r="G81" s="337">
        <v>19</v>
      </c>
      <c r="H81" s="337">
        <v>21</v>
      </c>
      <c r="I81" s="337">
        <v>23</v>
      </c>
      <c r="J81" s="337">
        <v>28</v>
      </c>
      <c r="K81" s="379">
        <v>34</v>
      </c>
      <c r="L81" s="398"/>
      <c r="M81" s="727">
        <v>45</v>
      </c>
      <c r="N81" s="400"/>
      <c r="O81" s="382">
        <v>60</v>
      </c>
      <c r="P81" s="383">
        <v>75</v>
      </c>
      <c r="Q81" s="400"/>
      <c r="R81" s="416">
        <v>92</v>
      </c>
      <c r="S81" s="400"/>
      <c r="T81" s="382">
        <v>110</v>
      </c>
      <c r="U81" s="417">
        <v>130</v>
      </c>
      <c r="V81" s="383">
        <v>150</v>
      </c>
      <c r="W81" s="431"/>
      <c r="X81" s="418">
        <v>180</v>
      </c>
    </row>
    <row r="82" ht="21" customHeight="1" spans="1:24">
      <c r="A82" s="59" t="s">
        <v>18</v>
      </c>
      <c r="B82" s="60"/>
      <c r="C82" s="61">
        <v>0</v>
      </c>
      <c r="D82" s="62">
        <v>1</v>
      </c>
      <c r="E82" s="62">
        <v>2</v>
      </c>
      <c r="F82" s="63">
        <v>3</v>
      </c>
      <c r="G82" s="62">
        <v>4</v>
      </c>
      <c r="H82" s="64">
        <v>5</v>
      </c>
      <c r="I82" s="62">
        <v>6</v>
      </c>
      <c r="J82" s="174">
        <v>7</v>
      </c>
      <c r="K82" s="175">
        <v>8</v>
      </c>
      <c r="L82" s="176" t="s">
        <v>98</v>
      </c>
      <c r="M82" s="177"/>
      <c r="N82" s="177"/>
      <c r="O82" s="177"/>
      <c r="P82" s="177"/>
      <c r="Q82" s="177"/>
      <c r="R82" s="177"/>
      <c r="S82" s="177"/>
      <c r="T82" s="177"/>
      <c r="U82" s="177"/>
      <c r="V82" s="177"/>
      <c r="W82" s="177"/>
      <c r="X82" s="258"/>
    </row>
    <row r="83" ht="21" customHeight="1" spans="1:24">
      <c r="A83" s="65" t="s">
        <v>95</v>
      </c>
      <c r="B83" s="65"/>
      <c r="C83" s="66">
        <v>1.3</v>
      </c>
      <c r="D83" s="67">
        <v>1.25</v>
      </c>
      <c r="E83" s="67">
        <v>1.2</v>
      </c>
      <c r="F83" s="93">
        <v>1.15</v>
      </c>
      <c r="G83" s="67">
        <v>1.1</v>
      </c>
      <c r="H83" s="69">
        <v>1.05</v>
      </c>
      <c r="I83" s="67">
        <v>1</v>
      </c>
      <c r="J83" s="178">
        <v>0.95</v>
      </c>
      <c r="K83" s="378">
        <v>0.9</v>
      </c>
      <c r="L83" s="176" t="s">
        <v>99</v>
      </c>
      <c r="M83" s="177"/>
      <c r="N83" s="177"/>
      <c r="O83" s="177"/>
      <c r="P83" s="177"/>
      <c r="Q83" s="177"/>
      <c r="R83" s="177"/>
      <c r="S83" s="177"/>
      <c r="T83" s="177"/>
      <c r="U83" s="177"/>
      <c r="V83" s="177"/>
      <c r="W83" s="177"/>
      <c r="X83" s="258"/>
    </row>
    <row r="84" ht="21" customHeight="1" spans="1:24">
      <c r="A84" s="122" t="s">
        <v>96</v>
      </c>
      <c r="B84" s="122"/>
      <c r="C84" s="41">
        <v>1.3</v>
      </c>
      <c r="D84" s="42">
        <v>1.25</v>
      </c>
      <c r="E84" s="42">
        <v>1.2</v>
      </c>
      <c r="F84" s="43">
        <v>1.15</v>
      </c>
      <c r="G84" s="42">
        <v>1.1</v>
      </c>
      <c r="H84" s="44">
        <v>1.05</v>
      </c>
      <c r="I84" s="42">
        <v>1</v>
      </c>
      <c r="J84" s="163">
        <v>0.95</v>
      </c>
      <c r="K84" s="575">
        <v>0.9</v>
      </c>
      <c r="L84" s="176" t="s">
        <v>100</v>
      </c>
      <c r="M84" s="177"/>
      <c r="N84" s="177"/>
      <c r="O84" s="177"/>
      <c r="P84" s="177"/>
      <c r="Q84" s="177"/>
      <c r="R84" s="177"/>
      <c r="S84" s="177"/>
      <c r="T84" s="177"/>
      <c r="U84" s="177"/>
      <c r="V84" s="177"/>
      <c r="W84" s="177"/>
      <c r="X84" s="258"/>
    </row>
    <row r="85" ht="21" customHeight="1" spans="1:24">
      <c r="A85" s="617" t="s">
        <v>97</v>
      </c>
      <c r="B85" s="617"/>
      <c r="C85" s="66">
        <v>1.3</v>
      </c>
      <c r="D85" s="67">
        <v>1.25</v>
      </c>
      <c r="E85" s="67">
        <v>1.2</v>
      </c>
      <c r="F85" s="93">
        <v>1.15</v>
      </c>
      <c r="G85" s="67">
        <v>1.1</v>
      </c>
      <c r="H85" s="69">
        <v>1.05</v>
      </c>
      <c r="I85" s="67">
        <v>1</v>
      </c>
      <c r="J85" s="178">
        <v>0.95</v>
      </c>
      <c r="K85" s="378">
        <v>0.9</v>
      </c>
      <c r="L85" s="176" t="s">
        <v>101</v>
      </c>
      <c r="M85" s="177"/>
      <c r="N85" s="177"/>
      <c r="O85" s="177"/>
      <c r="P85" s="177"/>
      <c r="Q85" s="177"/>
      <c r="R85" s="177"/>
      <c r="S85" s="177"/>
      <c r="T85" s="177"/>
      <c r="U85" s="177"/>
      <c r="V85" s="177"/>
      <c r="W85" s="177"/>
      <c r="X85" s="258"/>
    </row>
    <row r="86" ht="19.5" spans="1:24">
      <c r="A86" s="45"/>
      <c r="B86" s="46"/>
      <c r="C86" s="46"/>
      <c r="D86" s="46"/>
      <c r="E86" s="46"/>
      <c r="F86" s="46"/>
      <c r="G86" s="46"/>
      <c r="H86" s="46"/>
      <c r="I86" s="46"/>
      <c r="J86" s="46"/>
      <c r="K86" s="46"/>
      <c r="L86" s="46"/>
      <c r="M86" s="46"/>
      <c r="N86" s="46"/>
      <c r="O86" s="46"/>
      <c r="P86" s="46"/>
      <c r="Q86" s="46"/>
      <c r="R86" s="46"/>
      <c r="S86" s="46"/>
      <c r="T86" s="46"/>
      <c r="U86" s="46"/>
      <c r="V86" s="46"/>
      <c r="W86" s="46"/>
      <c r="X86" s="252"/>
    </row>
    <row r="87" ht="44" customHeight="1" spans="1:24">
      <c r="A87" s="14"/>
      <c r="B87" s="15"/>
      <c r="C87" s="15" t="str">
        <f>_xlfn.DISPIMG("ID_74791B1D25FC489D8D09A1046BEC838A",1)</f>
        <v>=DISPIMG("ID_74791B1D25FC489D8D09A1046BEC838A",1)</v>
      </c>
      <c r="D87" s="15" t="str">
        <f>_xlfn.DISPIMG("ID_75059C07E9B94F3199EEBBABAE3518E2",1)</f>
        <v>=DISPIMG("ID_75059C07E9B94F3199EEBBABAE3518E2",1)</v>
      </c>
      <c r="E87" s="15"/>
      <c r="F87" s="16"/>
      <c r="G87" s="345" t="s">
        <v>102</v>
      </c>
      <c r="H87" s="346"/>
      <c r="I87" s="346"/>
      <c r="J87" s="346"/>
      <c r="K87" s="346"/>
      <c r="L87" s="346"/>
      <c r="M87" s="346"/>
      <c r="N87" s="346"/>
      <c r="O87" s="388"/>
      <c r="P87" s="353"/>
      <c r="Q87" s="354"/>
      <c r="R87" s="354"/>
      <c r="S87" s="354"/>
      <c r="T87" s="354"/>
      <c r="U87" s="354"/>
      <c r="V87" s="354"/>
      <c r="W87" s="354"/>
      <c r="X87" s="355"/>
    </row>
    <row r="88" ht="19.5" spans="1:24">
      <c r="A88" s="714"/>
      <c r="B88" s="715"/>
      <c r="C88" s="715"/>
      <c r="D88" s="715"/>
      <c r="E88" s="715"/>
      <c r="F88" s="715"/>
      <c r="G88" s="715"/>
      <c r="H88" s="715"/>
      <c r="I88" s="715"/>
      <c r="J88" s="715"/>
      <c r="K88" s="715"/>
      <c r="L88" s="715"/>
      <c r="M88" s="715"/>
      <c r="N88" s="715"/>
      <c r="O88" s="715"/>
      <c r="P88" s="715"/>
      <c r="Q88" s="715"/>
      <c r="R88" s="715"/>
      <c r="S88" s="715"/>
      <c r="T88" s="715"/>
      <c r="U88" s="715"/>
      <c r="V88" s="715"/>
      <c r="W88" s="715"/>
      <c r="X88" s="749"/>
    </row>
    <row r="89" ht="21" customHeight="1" spans="1:24">
      <c r="A89" s="21" t="s">
        <v>8</v>
      </c>
      <c r="B89" s="22"/>
      <c r="C89" s="23">
        <v>0</v>
      </c>
      <c r="D89" s="24">
        <v>1</v>
      </c>
      <c r="E89" s="24">
        <v>2</v>
      </c>
      <c r="F89" s="24">
        <v>3</v>
      </c>
      <c r="G89" s="24">
        <v>4</v>
      </c>
      <c r="H89" s="24">
        <v>5</v>
      </c>
      <c r="I89" s="24">
        <v>6</v>
      </c>
      <c r="J89" s="24">
        <v>7</v>
      </c>
      <c r="K89" s="135">
        <v>8</v>
      </c>
      <c r="L89" s="136">
        <v>9</v>
      </c>
      <c r="M89" s="137"/>
      <c r="N89" s="137"/>
      <c r="O89" s="139">
        <v>10</v>
      </c>
      <c r="P89" s="140">
        <v>11</v>
      </c>
      <c r="Q89" s="236">
        <v>12</v>
      </c>
      <c r="R89" s="236"/>
      <c r="S89" s="236"/>
      <c r="T89" s="139">
        <v>13</v>
      </c>
      <c r="U89" s="237">
        <v>14</v>
      </c>
      <c r="V89" s="140">
        <v>15</v>
      </c>
      <c r="W89" s="137">
        <v>16</v>
      </c>
      <c r="X89" s="138"/>
    </row>
    <row r="90" ht="21" customHeight="1" spans="1:24">
      <c r="A90" s="122" t="s">
        <v>103</v>
      </c>
      <c r="B90" s="123"/>
      <c r="C90" s="327">
        <v>12</v>
      </c>
      <c r="D90" s="328">
        <v>14</v>
      </c>
      <c r="E90" s="328">
        <v>16</v>
      </c>
      <c r="F90" s="328">
        <v>18</v>
      </c>
      <c r="G90" s="328">
        <v>20</v>
      </c>
      <c r="H90" s="328">
        <v>22</v>
      </c>
      <c r="I90" s="328">
        <v>26</v>
      </c>
      <c r="J90" s="328">
        <v>32</v>
      </c>
      <c r="K90" s="365">
        <v>40</v>
      </c>
      <c r="L90" s="367"/>
      <c r="M90" s="399">
        <v>55</v>
      </c>
      <c r="N90" s="367"/>
      <c r="O90" s="203">
        <v>70</v>
      </c>
      <c r="P90" s="204">
        <v>85</v>
      </c>
      <c r="Q90" s="367"/>
      <c r="R90" s="272">
        <v>100</v>
      </c>
      <c r="S90" s="367"/>
      <c r="T90" s="203">
        <v>120</v>
      </c>
      <c r="U90" s="273">
        <v>140</v>
      </c>
      <c r="V90" s="204">
        <v>160</v>
      </c>
      <c r="W90" s="403"/>
      <c r="X90" s="275">
        <v>185</v>
      </c>
    </row>
    <row r="91" ht="21" customHeight="1" spans="1:24">
      <c r="A91" s="456" t="s">
        <v>104</v>
      </c>
      <c r="B91" s="30"/>
      <c r="C91" s="31">
        <f t="shared" ref="C91:K91" si="27">INT(C90*1.2)</f>
        <v>14</v>
      </c>
      <c r="D91" s="32">
        <f t="shared" si="27"/>
        <v>16</v>
      </c>
      <c r="E91" s="32">
        <f t="shared" si="27"/>
        <v>19</v>
      </c>
      <c r="F91" s="32">
        <f t="shared" si="27"/>
        <v>21</v>
      </c>
      <c r="G91" s="32">
        <f t="shared" si="27"/>
        <v>24</v>
      </c>
      <c r="H91" s="32">
        <f t="shared" si="27"/>
        <v>26</v>
      </c>
      <c r="I91" s="32">
        <f t="shared" si="27"/>
        <v>31</v>
      </c>
      <c r="J91" s="32">
        <f t="shared" si="27"/>
        <v>38</v>
      </c>
      <c r="K91" s="147">
        <f t="shared" si="27"/>
        <v>48</v>
      </c>
      <c r="L91" s="170"/>
      <c r="M91" s="149">
        <f t="shared" ref="M91:P91" si="28">INT(M90*1.2)</f>
        <v>66</v>
      </c>
      <c r="N91" s="150"/>
      <c r="O91" s="151">
        <f t="shared" si="28"/>
        <v>84</v>
      </c>
      <c r="P91" s="152">
        <f t="shared" si="28"/>
        <v>102</v>
      </c>
      <c r="Q91" s="150"/>
      <c r="R91" s="242">
        <f t="shared" ref="R91:V91" si="29">INT(R90*1.2)</f>
        <v>120</v>
      </c>
      <c r="S91" s="150"/>
      <c r="T91" s="151">
        <f t="shared" si="29"/>
        <v>144</v>
      </c>
      <c r="U91" s="243">
        <f t="shared" si="29"/>
        <v>168</v>
      </c>
      <c r="V91" s="152">
        <f t="shared" si="29"/>
        <v>192</v>
      </c>
      <c r="W91" s="244"/>
      <c r="X91" s="245">
        <f>INT(X90*1.2)</f>
        <v>222</v>
      </c>
    </row>
    <row r="92" ht="21" customHeight="1" spans="1:24">
      <c r="A92" s="122" t="s">
        <v>105</v>
      </c>
      <c r="B92" s="123"/>
      <c r="C92" s="327">
        <v>12</v>
      </c>
      <c r="D92" s="328">
        <v>14</v>
      </c>
      <c r="E92" s="328">
        <v>16</v>
      </c>
      <c r="F92" s="328">
        <v>18</v>
      </c>
      <c r="G92" s="328">
        <v>20</v>
      </c>
      <c r="H92" s="328">
        <v>22</v>
      </c>
      <c r="I92" s="328">
        <v>26</v>
      </c>
      <c r="J92" s="328">
        <v>32</v>
      </c>
      <c r="K92" s="365">
        <v>40</v>
      </c>
      <c r="L92" s="367"/>
      <c r="M92" s="399">
        <v>55</v>
      </c>
      <c r="N92" s="367"/>
      <c r="O92" s="203">
        <v>70</v>
      </c>
      <c r="P92" s="204">
        <v>85</v>
      </c>
      <c r="Q92" s="367"/>
      <c r="R92" s="272">
        <v>100</v>
      </c>
      <c r="S92" s="367"/>
      <c r="T92" s="203">
        <v>120</v>
      </c>
      <c r="U92" s="273">
        <v>140</v>
      </c>
      <c r="V92" s="204">
        <v>160</v>
      </c>
      <c r="W92" s="403"/>
      <c r="X92" s="275">
        <v>185</v>
      </c>
    </row>
    <row r="93" ht="21" customHeight="1" spans="1:24">
      <c r="A93" s="456" t="s">
        <v>106</v>
      </c>
      <c r="B93" s="30"/>
      <c r="C93" s="31">
        <f t="shared" ref="C93:K93" si="30">INT(C92*1.65)</f>
        <v>19</v>
      </c>
      <c r="D93" s="32">
        <f t="shared" si="30"/>
        <v>23</v>
      </c>
      <c r="E93" s="32">
        <f t="shared" si="30"/>
        <v>26</v>
      </c>
      <c r="F93" s="32">
        <f t="shared" si="30"/>
        <v>29</v>
      </c>
      <c r="G93" s="32">
        <f t="shared" si="30"/>
        <v>33</v>
      </c>
      <c r="H93" s="32">
        <f t="shared" si="30"/>
        <v>36</v>
      </c>
      <c r="I93" s="32">
        <f t="shared" si="30"/>
        <v>42</v>
      </c>
      <c r="J93" s="32">
        <f t="shared" si="30"/>
        <v>52</v>
      </c>
      <c r="K93" s="147">
        <f t="shared" si="30"/>
        <v>66</v>
      </c>
      <c r="L93" s="170"/>
      <c r="M93" s="149">
        <f t="shared" ref="M93:P93" si="31">INT(M92*1.65)</f>
        <v>90</v>
      </c>
      <c r="N93" s="150"/>
      <c r="O93" s="151">
        <f t="shared" si="31"/>
        <v>115</v>
      </c>
      <c r="P93" s="152">
        <f t="shared" si="31"/>
        <v>140</v>
      </c>
      <c r="Q93" s="150"/>
      <c r="R93" s="242">
        <f t="shared" ref="R93:V93" si="32">INT(R92*1.65)</f>
        <v>165</v>
      </c>
      <c r="S93" s="150"/>
      <c r="T93" s="151">
        <f t="shared" si="32"/>
        <v>198</v>
      </c>
      <c r="U93" s="243">
        <f t="shared" si="32"/>
        <v>231</v>
      </c>
      <c r="V93" s="152">
        <f t="shared" si="32"/>
        <v>264</v>
      </c>
      <c r="W93" s="244"/>
      <c r="X93" s="245">
        <f>INT(X92*1.65)</f>
        <v>305</v>
      </c>
    </row>
    <row r="94" ht="21" customHeight="1" spans="1:24">
      <c r="A94" s="59" t="s">
        <v>18</v>
      </c>
      <c r="B94" s="60"/>
      <c r="C94" s="61">
        <v>0</v>
      </c>
      <c r="D94" s="62">
        <v>1</v>
      </c>
      <c r="E94" s="62">
        <v>2</v>
      </c>
      <c r="F94" s="63">
        <v>3</v>
      </c>
      <c r="G94" s="62">
        <v>4</v>
      </c>
      <c r="H94" s="64">
        <v>5</v>
      </c>
      <c r="I94" s="62">
        <v>6</v>
      </c>
      <c r="J94" s="174">
        <v>7</v>
      </c>
      <c r="K94" s="175">
        <v>8</v>
      </c>
      <c r="L94" s="176" t="s">
        <v>98</v>
      </c>
      <c r="M94" s="177"/>
      <c r="N94" s="177"/>
      <c r="O94" s="177"/>
      <c r="P94" s="177"/>
      <c r="Q94" s="177"/>
      <c r="R94" s="177"/>
      <c r="S94" s="177"/>
      <c r="T94" s="177"/>
      <c r="U94" s="177"/>
      <c r="V94" s="177"/>
      <c r="W94" s="177"/>
      <c r="X94" s="258"/>
    </row>
    <row r="95" ht="21" customHeight="1" spans="1:24">
      <c r="A95" s="122" t="s">
        <v>18</v>
      </c>
      <c r="B95" s="122"/>
      <c r="C95" s="41">
        <v>1.3</v>
      </c>
      <c r="D95" s="42">
        <v>1.25</v>
      </c>
      <c r="E95" s="42">
        <v>1.2</v>
      </c>
      <c r="F95" s="43">
        <v>1.15</v>
      </c>
      <c r="G95" s="42">
        <v>1.1</v>
      </c>
      <c r="H95" s="44">
        <v>1.05</v>
      </c>
      <c r="I95" s="42">
        <v>1</v>
      </c>
      <c r="J95" s="163">
        <v>0.9</v>
      </c>
      <c r="K95" s="164">
        <v>0.8</v>
      </c>
      <c r="L95" s="122" t="s">
        <v>107</v>
      </c>
      <c r="M95" s="122"/>
      <c r="N95" s="122"/>
      <c r="O95" s="122"/>
      <c r="P95" s="122"/>
      <c r="Q95" s="122"/>
      <c r="R95" s="122"/>
      <c r="S95" s="122"/>
      <c r="T95" s="122"/>
      <c r="U95" s="122"/>
      <c r="V95" s="122"/>
      <c r="W95" s="122"/>
      <c r="X95" s="122"/>
    </row>
    <row r="96" ht="21" customHeight="1" spans="1:24">
      <c r="A96" s="65" t="s">
        <v>105</v>
      </c>
      <c r="B96" s="65"/>
      <c r="C96" s="66">
        <v>1.3</v>
      </c>
      <c r="D96" s="67">
        <v>1.25</v>
      </c>
      <c r="E96" s="67">
        <v>1.2</v>
      </c>
      <c r="F96" s="93">
        <v>1.15</v>
      </c>
      <c r="G96" s="67">
        <v>1.1</v>
      </c>
      <c r="H96" s="69">
        <v>1.05</v>
      </c>
      <c r="I96" s="67">
        <v>1</v>
      </c>
      <c r="J96" s="178">
        <v>0.9</v>
      </c>
      <c r="K96" s="378">
        <v>0.8</v>
      </c>
      <c r="L96" s="123" t="s">
        <v>108</v>
      </c>
      <c r="M96" s="333"/>
      <c r="N96" s="333"/>
      <c r="O96" s="333"/>
      <c r="P96" s="333"/>
      <c r="Q96" s="333"/>
      <c r="R96" s="333"/>
      <c r="S96" s="333"/>
      <c r="T96" s="333"/>
      <c r="U96" s="333"/>
      <c r="V96" s="333"/>
      <c r="W96" s="333"/>
      <c r="X96" s="408"/>
    </row>
    <row r="98" ht="21" spans="1:24">
      <c r="A98" s="122" t="s">
        <v>60</v>
      </c>
      <c r="B98" s="122"/>
      <c r="C98" s="1538">
        <v>13</v>
      </c>
      <c r="D98" s="1539">
        <v>15</v>
      </c>
      <c r="E98" s="1539">
        <v>18</v>
      </c>
      <c r="F98" s="1540">
        <v>20</v>
      </c>
      <c r="G98" s="1541">
        <v>23</v>
      </c>
      <c r="H98" s="1542">
        <v>26</v>
      </c>
      <c r="I98" s="1539">
        <v>28</v>
      </c>
      <c r="J98" s="1539">
        <v>33</v>
      </c>
      <c r="K98" s="1557">
        <v>41</v>
      </c>
      <c r="L98" s="1558"/>
      <c r="M98" s="1559">
        <v>52</v>
      </c>
      <c r="N98" s="1560"/>
      <c r="O98" s="1561">
        <v>71</v>
      </c>
      <c r="P98" s="1562">
        <v>91</v>
      </c>
      <c r="Q98" s="219"/>
      <c r="R98" s="540">
        <v>110</v>
      </c>
      <c r="S98" s="1560"/>
      <c r="T98" s="519">
        <v>130</v>
      </c>
      <c r="U98" s="530">
        <v>149</v>
      </c>
      <c r="V98" s="520">
        <v>169</v>
      </c>
      <c r="W98" s="1578"/>
      <c r="X98" s="532">
        <v>194</v>
      </c>
    </row>
    <row r="99" ht="21" spans="1:24">
      <c r="A99" s="73" t="s">
        <v>109</v>
      </c>
      <c r="B99" s="73"/>
      <c r="C99" s="1543">
        <f t="shared" ref="C99:X99" si="33">INT(C98*1.1)+INT(C98*0.15)</f>
        <v>15</v>
      </c>
      <c r="D99" s="1544">
        <f t="shared" si="33"/>
        <v>18</v>
      </c>
      <c r="E99" s="1544">
        <f t="shared" si="33"/>
        <v>21</v>
      </c>
      <c r="F99" s="1545">
        <f t="shared" si="33"/>
        <v>25</v>
      </c>
      <c r="G99" s="1546">
        <f t="shared" si="33"/>
        <v>28</v>
      </c>
      <c r="H99" s="1547">
        <f t="shared" si="33"/>
        <v>31</v>
      </c>
      <c r="I99" s="1544">
        <f t="shared" si="33"/>
        <v>34</v>
      </c>
      <c r="J99" s="1544">
        <f t="shared" si="33"/>
        <v>40</v>
      </c>
      <c r="K99" s="1563">
        <f t="shared" si="33"/>
        <v>51</v>
      </c>
      <c r="L99" s="1564">
        <f t="shared" si="33"/>
        <v>0</v>
      </c>
      <c r="M99" s="1565">
        <f t="shared" si="33"/>
        <v>64</v>
      </c>
      <c r="N99" s="1566">
        <f t="shared" si="33"/>
        <v>0</v>
      </c>
      <c r="O99" s="1567">
        <f t="shared" si="33"/>
        <v>88</v>
      </c>
      <c r="P99" s="1568">
        <f t="shared" si="33"/>
        <v>113</v>
      </c>
      <c r="Q99" s="184">
        <f t="shared" si="33"/>
        <v>0</v>
      </c>
      <c r="R99" s="404">
        <f t="shared" si="33"/>
        <v>137</v>
      </c>
      <c r="S99" s="1566">
        <f t="shared" si="33"/>
        <v>0</v>
      </c>
      <c r="T99" s="372">
        <f t="shared" si="33"/>
        <v>162</v>
      </c>
      <c r="U99" s="405">
        <f t="shared" si="33"/>
        <v>185</v>
      </c>
      <c r="V99" s="373">
        <f t="shared" si="33"/>
        <v>210</v>
      </c>
      <c r="W99" s="1579">
        <f t="shared" si="33"/>
        <v>0</v>
      </c>
      <c r="X99" s="407">
        <f t="shared" si="33"/>
        <v>242</v>
      </c>
    </row>
    <row r="100" ht="21" spans="1:24">
      <c r="A100" s="25" t="s">
        <v>110</v>
      </c>
      <c r="B100" s="25"/>
      <c r="C100" s="1548">
        <f t="shared" ref="C100:X100" si="34">INT(INT(C98*1.1)*1.15)</f>
        <v>16</v>
      </c>
      <c r="D100" s="1549">
        <f t="shared" si="34"/>
        <v>18</v>
      </c>
      <c r="E100" s="1549">
        <f t="shared" si="34"/>
        <v>21</v>
      </c>
      <c r="F100" s="1550">
        <f t="shared" si="34"/>
        <v>25</v>
      </c>
      <c r="G100" s="1541">
        <f t="shared" si="34"/>
        <v>28</v>
      </c>
      <c r="H100" s="963">
        <f t="shared" si="34"/>
        <v>32</v>
      </c>
      <c r="I100" s="1549">
        <f t="shared" si="34"/>
        <v>34</v>
      </c>
      <c r="J100" s="1549">
        <f t="shared" si="34"/>
        <v>41</v>
      </c>
      <c r="K100" s="1569">
        <f t="shared" si="34"/>
        <v>51</v>
      </c>
      <c r="L100" s="1570">
        <f t="shared" si="34"/>
        <v>0</v>
      </c>
      <c r="M100" s="1571">
        <f t="shared" si="34"/>
        <v>65</v>
      </c>
      <c r="N100" s="1572">
        <f t="shared" si="34"/>
        <v>0</v>
      </c>
      <c r="O100" s="1573">
        <f t="shared" si="34"/>
        <v>89</v>
      </c>
      <c r="P100" s="1562">
        <f t="shared" si="34"/>
        <v>115</v>
      </c>
      <c r="Q100" s="508">
        <f t="shared" si="34"/>
        <v>0</v>
      </c>
      <c r="R100" s="973">
        <f t="shared" si="34"/>
        <v>139</v>
      </c>
      <c r="S100" s="1572">
        <f t="shared" si="34"/>
        <v>0</v>
      </c>
      <c r="T100" s="966">
        <f t="shared" si="34"/>
        <v>164</v>
      </c>
      <c r="U100" s="974">
        <f t="shared" si="34"/>
        <v>187</v>
      </c>
      <c r="V100" s="967">
        <f t="shared" si="34"/>
        <v>212</v>
      </c>
      <c r="W100" s="1580">
        <f t="shared" si="34"/>
        <v>0</v>
      </c>
      <c r="X100" s="976">
        <f t="shared" si="34"/>
        <v>244</v>
      </c>
    </row>
    <row r="101" ht="21" spans="1:24">
      <c r="A101" s="73" t="s">
        <v>111</v>
      </c>
      <c r="B101" s="73"/>
      <c r="C101" s="1551">
        <f t="shared" ref="C101:X101" si="35">INT(INT(C98*1.15)*1.1)</f>
        <v>15</v>
      </c>
      <c r="D101" s="1544">
        <f t="shared" si="35"/>
        <v>18</v>
      </c>
      <c r="E101" s="1544">
        <f t="shared" si="35"/>
        <v>22</v>
      </c>
      <c r="F101" s="1545">
        <f t="shared" si="35"/>
        <v>25</v>
      </c>
      <c r="G101" s="1546">
        <f t="shared" si="35"/>
        <v>28</v>
      </c>
      <c r="H101" s="1547">
        <f t="shared" si="35"/>
        <v>31</v>
      </c>
      <c r="I101" s="1544">
        <f t="shared" si="35"/>
        <v>35</v>
      </c>
      <c r="J101" s="1544">
        <f t="shared" si="35"/>
        <v>40</v>
      </c>
      <c r="K101" s="1563">
        <f t="shared" si="35"/>
        <v>51</v>
      </c>
      <c r="L101" s="1574">
        <f t="shared" si="35"/>
        <v>0</v>
      </c>
      <c r="M101" s="370">
        <f t="shared" si="35"/>
        <v>64</v>
      </c>
      <c r="N101" s="1575">
        <f t="shared" si="35"/>
        <v>0</v>
      </c>
      <c r="O101" s="1567">
        <f t="shared" si="35"/>
        <v>89</v>
      </c>
      <c r="P101" s="1568">
        <f t="shared" si="35"/>
        <v>114</v>
      </c>
      <c r="Q101" s="513">
        <f t="shared" si="35"/>
        <v>0</v>
      </c>
      <c r="R101" s="404">
        <f t="shared" si="35"/>
        <v>138</v>
      </c>
      <c r="S101" s="1575">
        <f t="shared" si="35"/>
        <v>0</v>
      </c>
      <c r="T101" s="372">
        <f t="shared" si="35"/>
        <v>163</v>
      </c>
      <c r="U101" s="405">
        <f t="shared" si="35"/>
        <v>188</v>
      </c>
      <c r="V101" s="373">
        <f t="shared" si="35"/>
        <v>213</v>
      </c>
      <c r="W101" s="1581">
        <f t="shared" si="35"/>
        <v>0</v>
      </c>
      <c r="X101" s="407">
        <f t="shared" si="35"/>
        <v>245</v>
      </c>
    </row>
    <row r="102" ht="21.75" spans="1:24">
      <c r="A102" s="25" t="s">
        <v>112</v>
      </c>
      <c r="B102" s="25"/>
      <c r="C102" s="1548">
        <f t="shared" ref="C102:X102" si="36">INT(C98*1.1*1.15)</f>
        <v>16</v>
      </c>
      <c r="D102" s="1549">
        <f t="shared" si="36"/>
        <v>18</v>
      </c>
      <c r="E102" s="1549">
        <f t="shared" si="36"/>
        <v>22</v>
      </c>
      <c r="F102" s="1550">
        <f t="shared" si="36"/>
        <v>25</v>
      </c>
      <c r="G102" s="1552">
        <f t="shared" si="36"/>
        <v>29</v>
      </c>
      <c r="H102" s="963">
        <f t="shared" si="36"/>
        <v>32</v>
      </c>
      <c r="I102" s="1549">
        <f t="shared" si="36"/>
        <v>35</v>
      </c>
      <c r="J102" s="1549">
        <f t="shared" si="36"/>
        <v>41</v>
      </c>
      <c r="K102" s="1569">
        <f t="shared" si="36"/>
        <v>51</v>
      </c>
      <c r="L102" s="1570">
        <f t="shared" si="36"/>
        <v>0</v>
      </c>
      <c r="M102" s="1571">
        <f t="shared" si="36"/>
        <v>65</v>
      </c>
      <c r="N102" s="1572">
        <f t="shared" si="36"/>
        <v>0</v>
      </c>
      <c r="O102" s="1573">
        <f t="shared" si="36"/>
        <v>89</v>
      </c>
      <c r="P102" s="1576">
        <f t="shared" si="36"/>
        <v>115</v>
      </c>
      <c r="Q102" s="508">
        <f t="shared" si="36"/>
        <v>0</v>
      </c>
      <c r="R102" s="973">
        <f t="shared" si="36"/>
        <v>139</v>
      </c>
      <c r="S102" s="1572">
        <f t="shared" si="36"/>
        <v>0</v>
      </c>
      <c r="T102" s="966">
        <f t="shared" si="36"/>
        <v>164</v>
      </c>
      <c r="U102" s="974">
        <f t="shared" si="36"/>
        <v>188</v>
      </c>
      <c r="V102" s="967">
        <f t="shared" si="36"/>
        <v>213</v>
      </c>
      <c r="W102" s="1580">
        <f t="shared" si="36"/>
        <v>0</v>
      </c>
      <c r="X102" s="976">
        <f t="shared" si="36"/>
        <v>245</v>
      </c>
    </row>
  </sheetData>
  <sheetProtection formatCells="0" insertHyperlinks="0" autoFilter="0"/>
  <mergeCells count="151">
    <mergeCell ref="A1:C1"/>
    <mergeCell ref="D1:T1"/>
    <mergeCell ref="U1:X1"/>
    <mergeCell ref="B2:D2"/>
    <mergeCell ref="F2:H2"/>
    <mergeCell ref="J2:V2"/>
    <mergeCell ref="W2:X2"/>
    <mergeCell ref="A3:X3"/>
    <mergeCell ref="G4:O4"/>
    <mergeCell ref="A5:X5"/>
    <mergeCell ref="A6:B6"/>
    <mergeCell ref="L6:N6"/>
    <mergeCell ref="Q6:S6"/>
    <mergeCell ref="W6:X6"/>
    <mergeCell ref="A7:B7"/>
    <mergeCell ref="A8:B8"/>
    <mergeCell ref="A9:B9"/>
    <mergeCell ref="L9:X9"/>
    <mergeCell ref="A10:B10"/>
    <mergeCell ref="L10:X10"/>
    <mergeCell ref="A11:B11"/>
    <mergeCell ref="L11:X11"/>
    <mergeCell ref="A12:X12"/>
    <mergeCell ref="A13:B13"/>
    <mergeCell ref="A14:B14"/>
    <mergeCell ref="A15:B15"/>
    <mergeCell ref="L15:X15"/>
    <mergeCell ref="A16:B16"/>
    <mergeCell ref="L16:X16"/>
    <mergeCell ref="A17:B17"/>
    <mergeCell ref="L17:X17"/>
    <mergeCell ref="B18:K18"/>
    <mergeCell ref="A29:X29"/>
    <mergeCell ref="G30:O30"/>
    <mergeCell ref="P30:X30"/>
    <mergeCell ref="A31:X31"/>
    <mergeCell ref="A32:B32"/>
    <mergeCell ref="L32:N32"/>
    <mergeCell ref="Q32:S32"/>
    <mergeCell ref="W32:X32"/>
    <mergeCell ref="A33:B33"/>
    <mergeCell ref="A34:B34"/>
    <mergeCell ref="A35:B35"/>
    <mergeCell ref="A36:B36"/>
    <mergeCell ref="A37:B37"/>
    <mergeCell ref="A38:B38"/>
    <mergeCell ref="A39:B39"/>
    <mergeCell ref="A40:B40"/>
    <mergeCell ref="L40:X40"/>
    <mergeCell ref="A41:B41"/>
    <mergeCell ref="L41:X41"/>
    <mergeCell ref="A42:B42"/>
    <mergeCell ref="L42:X42"/>
    <mergeCell ref="A43:B43"/>
    <mergeCell ref="L43:X43"/>
    <mergeCell ref="A44:B44"/>
    <mergeCell ref="L44:X44"/>
    <mergeCell ref="A45:B45"/>
    <mergeCell ref="L45:X45"/>
    <mergeCell ref="A46:B46"/>
    <mergeCell ref="L46:X46"/>
    <mergeCell ref="A47:X47"/>
    <mergeCell ref="A48:B48"/>
    <mergeCell ref="A49:B49"/>
    <mergeCell ref="A50:B50"/>
    <mergeCell ref="A51:B51"/>
    <mergeCell ref="L51:X51"/>
    <mergeCell ref="A52:B52"/>
    <mergeCell ref="L52:X52"/>
    <mergeCell ref="A53:B53"/>
    <mergeCell ref="L53:X53"/>
    <mergeCell ref="A54:X54"/>
    <mergeCell ref="G55:O55"/>
    <mergeCell ref="P55:X55"/>
    <mergeCell ref="A56:X56"/>
    <mergeCell ref="A57:B57"/>
    <mergeCell ref="L57:N57"/>
    <mergeCell ref="Q57:S57"/>
    <mergeCell ref="W57:X57"/>
    <mergeCell ref="A58:B58"/>
    <mergeCell ref="A59:B59"/>
    <mergeCell ref="A60:B60"/>
    <mergeCell ref="A61:B61"/>
    <mergeCell ref="A62:B62"/>
    <mergeCell ref="A63:B63"/>
    <mergeCell ref="A64:B64"/>
    <mergeCell ref="L64:X64"/>
    <mergeCell ref="A65:B65"/>
    <mergeCell ref="L65:X65"/>
    <mergeCell ref="A66:B66"/>
    <mergeCell ref="L66:X66"/>
    <mergeCell ref="A67:B67"/>
    <mergeCell ref="L67:X67"/>
    <mergeCell ref="A68:B68"/>
    <mergeCell ref="L68:X68"/>
    <mergeCell ref="A69:B69"/>
    <mergeCell ref="L69:X69"/>
    <mergeCell ref="A70:X70"/>
    <mergeCell ref="A71:B71"/>
    <mergeCell ref="A72:B72"/>
    <mergeCell ref="A73:B73"/>
    <mergeCell ref="L73:X73"/>
    <mergeCell ref="A74:B74"/>
    <mergeCell ref="L74:X74"/>
    <mergeCell ref="A75:X75"/>
    <mergeCell ref="G76:O76"/>
    <mergeCell ref="P76:X76"/>
    <mergeCell ref="A77:X77"/>
    <mergeCell ref="A78:B78"/>
    <mergeCell ref="L78:N78"/>
    <mergeCell ref="Q78:S78"/>
    <mergeCell ref="W78:X78"/>
    <mergeCell ref="A79:B79"/>
    <mergeCell ref="A80:B80"/>
    <mergeCell ref="A81:B81"/>
    <mergeCell ref="A82:B82"/>
    <mergeCell ref="L82:X82"/>
    <mergeCell ref="A83:B83"/>
    <mergeCell ref="L83:X83"/>
    <mergeCell ref="A84:B84"/>
    <mergeCell ref="L84:X84"/>
    <mergeCell ref="A85:B85"/>
    <mergeCell ref="L85:X85"/>
    <mergeCell ref="A86:X86"/>
    <mergeCell ref="G87:O87"/>
    <mergeCell ref="P87:X87"/>
    <mergeCell ref="A88:X88"/>
    <mergeCell ref="A89:B89"/>
    <mergeCell ref="L89:N89"/>
    <mergeCell ref="Q89:S89"/>
    <mergeCell ref="W89:X89"/>
    <mergeCell ref="A90:B90"/>
    <mergeCell ref="A91:B91"/>
    <mergeCell ref="A92:B92"/>
    <mergeCell ref="A93:B93"/>
    <mergeCell ref="A94:B94"/>
    <mergeCell ref="L94:X94"/>
    <mergeCell ref="A95:B95"/>
    <mergeCell ref="L95:X95"/>
    <mergeCell ref="A96:B96"/>
    <mergeCell ref="L96:X96"/>
    <mergeCell ref="A98:B98"/>
    <mergeCell ref="A99:B99"/>
    <mergeCell ref="A100:B100"/>
    <mergeCell ref="A101:B101"/>
    <mergeCell ref="A102:B102"/>
    <mergeCell ref="A19:A28"/>
    <mergeCell ref="L18:X19"/>
    <mergeCell ref="L20:X21"/>
    <mergeCell ref="L22:R28"/>
    <mergeCell ref="S22:X28"/>
  </mergeCells>
  <pageMargins left="0.75" right="0.75" top="1" bottom="1" header="0.5" footer="0.5"/>
  <pageSetup paperSize="9" orientation="portrait"/>
  <headerFooter/>
  <pictur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0"/>
  <sheetViews>
    <sheetView workbookViewId="0">
      <selection activeCell="E11" sqref="E11"/>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2</v>
      </c>
      <c r="B1" s="2"/>
      <c r="C1" s="2"/>
      <c r="D1" s="3" t="s">
        <v>113</v>
      </c>
      <c r="E1" s="2"/>
      <c r="F1" s="2"/>
      <c r="G1" s="2"/>
      <c r="H1" s="2"/>
      <c r="I1" s="2"/>
      <c r="J1" s="2"/>
      <c r="K1" s="2"/>
      <c r="L1" s="2"/>
      <c r="M1" s="2"/>
      <c r="N1" s="2"/>
      <c r="O1" s="2"/>
      <c r="P1" s="2"/>
      <c r="Q1" s="2"/>
      <c r="R1" s="2"/>
      <c r="S1" s="2"/>
      <c r="T1" s="2"/>
      <c r="U1" s="2">
        <v>2</v>
      </c>
      <c r="V1" s="2"/>
      <c r="W1" s="2"/>
      <c r="X1" s="2"/>
    </row>
    <row r="2" ht="21" customHeight="1" spans="1:24">
      <c r="A2" s="5"/>
      <c r="B2" s="6" t="s">
        <v>1</v>
      </c>
      <c r="C2" s="7"/>
      <c r="D2" s="8"/>
      <c r="E2" s="9"/>
      <c r="F2" s="6" t="s">
        <v>114</v>
      </c>
      <c r="G2" s="7"/>
      <c r="H2" s="8"/>
      <c r="I2" s="9"/>
      <c r="J2" s="131" t="s">
        <v>34</v>
      </c>
      <c r="K2" s="132"/>
      <c r="L2" s="132"/>
      <c r="M2" s="132"/>
      <c r="N2" s="132"/>
      <c r="O2" s="132"/>
      <c r="P2" s="132"/>
      <c r="Q2" s="132"/>
      <c r="R2" s="132"/>
      <c r="S2" s="132"/>
      <c r="T2" s="132"/>
      <c r="U2" s="132"/>
      <c r="V2" s="229"/>
      <c r="W2" s="230"/>
      <c r="X2" s="230"/>
    </row>
    <row r="3" ht="21" customHeight="1" spans="1:24">
      <c r="A3" s="12" t="s">
        <v>35</v>
      </c>
      <c r="B3" s="13"/>
      <c r="C3" s="13"/>
      <c r="D3" s="13"/>
      <c r="E3" s="13"/>
      <c r="F3" s="13"/>
      <c r="G3" s="13"/>
      <c r="H3" s="13"/>
      <c r="I3" s="13"/>
      <c r="J3" s="13"/>
      <c r="K3" s="13"/>
      <c r="L3" s="13"/>
      <c r="M3" s="13"/>
      <c r="N3" s="13"/>
      <c r="O3" s="13"/>
      <c r="P3" s="13"/>
      <c r="Q3" s="13"/>
      <c r="R3" s="13"/>
      <c r="S3" s="13"/>
      <c r="T3" s="13"/>
      <c r="U3" s="13"/>
      <c r="V3" s="13"/>
      <c r="W3" s="13"/>
      <c r="X3" s="232"/>
    </row>
    <row r="4" ht="44" customHeight="1" spans="1:24">
      <c r="A4" s="14"/>
      <c r="B4" s="15" t="str">
        <f>_xlfn.DISPIMG("ID_827814AD1BF24907B6268010B24BBE7C",1)</f>
        <v>=DISPIMG("ID_827814AD1BF24907B6268010B24BBE7C",1)</v>
      </c>
      <c r="C4" s="15" t="str">
        <f>_xlfn.DISPIMG("ID_8D13FFC925DE4968ABA8DF00392A1052",1)</f>
        <v>=DISPIMG("ID_8D13FFC925DE4968ABA8DF00392A1052",1)</v>
      </c>
      <c r="D4" s="15" t="str">
        <f>_xlfn.DISPIMG("ID_CDAAA7C8D50844D3A16197861A9C911A",1)</f>
        <v>=DISPIMG("ID_CDAAA7C8D50844D3A16197861A9C911A",1)</v>
      </c>
      <c r="E4" s="15" t="str">
        <f>_xlfn.DISPIMG("ID_9CB4645103E442E4865ABBDD7DE5EDEF",1)</f>
        <v>=DISPIMG("ID_9CB4645103E442E4865ABBDD7DE5EDEF",1)</v>
      </c>
      <c r="F4" s="16"/>
      <c r="G4" s="71" t="s">
        <v>115</v>
      </c>
      <c r="H4" s="72"/>
      <c r="I4" s="72"/>
      <c r="J4" s="72"/>
      <c r="K4" s="72"/>
      <c r="L4" s="72"/>
      <c r="M4" s="72"/>
      <c r="N4" s="72"/>
      <c r="O4" s="180"/>
      <c r="P4" s="134" t="s">
        <v>35</v>
      </c>
      <c r="Q4" s="233"/>
      <c r="R4" s="233"/>
      <c r="S4" s="233"/>
      <c r="T4" s="233"/>
      <c r="U4" s="233"/>
      <c r="V4" s="233"/>
      <c r="W4" s="233"/>
      <c r="X4" s="234"/>
    </row>
    <row r="5" ht="21" customHeight="1" spans="1:24">
      <c r="A5" s="714"/>
      <c r="B5" s="715"/>
      <c r="C5" s="715"/>
      <c r="D5" s="715"/>
      <c r="E5" s="715"/>
      <c r="F5" s="715"/>
      <c r="G5" s="715"/>
      <c r="H5" s="715"/>
      <c r="I5" s="715"/>
      <c r="J5" s="715"/>
      <c r="K5" s="715"/>
      <c r="L5" s="715"/>
      <c r="M5" s="715"/>
      <c r="N5" s="715"/>
      <c r="O5" s="715"/>
      <c r="P5" s="715"/>
      <c r="Q5" s="715"/>
      <c r="R5" s="715"/>
      <c r="S5" s="715"/>
      <c r="T5" s="715"/>
      <c r="U5" s="715"/>
      <c r="V5" s="715"/>
      <c r="W5" s="715"/>
      <c r="X5" s="749"/>
    </row>
    <row r="6" ht="21" customHeight="1" spans="1:24">
      <c r="A6" s="21" t="s">
        <v>8</v>
      </c>
      <c r="B6" s="22"/>
      <c r="C6" s="23">
        <v>0</v>
      </c>
      <c r="D6" s="24">
        <v>1</v>
      </c>
      <c r="E6" s="24">
        <v>2</v>
      </c>
      <c r="F6" s="24">
        <v>3</v>
      </c>
      <c r="G6" s="24">
        <v>4</v>
      </c>
      <c r="H6" s="24">
        <v>5</v>
      </c>
      <c r="I6" s="24">
        <v>6</v>
      </c>
      <c r="J6" s="24">
        <v>7</v>
      </c>
      <c r="K6" s="135">
        <v>8</v>
      </c>
      <c r="L6" s="136">
        <v>9</v>
      </c>
      <c r="M6" s="137"/>
      <c r="N6" s="137"/>
      <c r="O6" s="139">
        <v>10</v>
      </c>
      <c r="P6" s="140">
        <v>11</v>
      </c>
      <c r="Q6" s="236">
        <v>12</v>
      </c>
      <c r="R6" s="236"/>
      <c r="S6" s="236"/>
      <c r="T6" s="139">
        <v>13</v>
      </c>
      <c r="U6" s="237">
        <v>14</v>
      </c>
      <c r="V6" s="140">
        <v>15</v>
      </c>
      <c r="W6" s="137">
        <v>16</v>
      </c>
      <c r="X6" s="138"/>
    </row>
    <row r="7" ht="21" customHeight="1" spans="1:24">
      <c r="A7" s="73" t="s">
        <v>116</v>
      </c>
      <c r="B7" s="74"/>
      <c r="C7" s="321">
        <f t="shared" ref="C7:K7" si="0">INT(C8*1.35)</f>
        <v>121</v>
      </c>
      <c r="D7" s="322">
        <f t="shared" si="0"/>
        <v>148</v>
      </c>
      <c r="E7" s="322">
        <f t="shared" si="0"/>
        <v>175</v>
      </c>
      <c r="F7" s="322">
        <f t="shared" si="0"/>
        <v>202</v>
      </c>
      <c r="G7" s="322">
        <f t="shared" si="0"/>
        <v>229</v>
      </c>
      <c r="H7" s="322">
        <f t="shared" si="0"/>
        <v>270</v>
      </c>
      <c r="I7" s="322">
        <f t="shared" si="0"/>
        <v>310</v>
      </c>
      <c r="J7" s="322">
        <f t="shared" si="0"/>
        <v>351</v>
      </c>
      <c r="K7" s="361">
        <f t="shared" si="0"/>
        <v>391</v>
      </c>
      <c r="L7" s="362"/>
      <c r="M7" s="159">
        <f t="shared" ref="M7:P7" si="1">INT(M8*1.35)</f>
        <v>499</v>
      </c>
      <c r="N7" s="160"/>
      <c r="O7" s="161">
        <f t="shared" si="1"/>
        <v>607</v>
      </c>
      <c r="P7" s="162">
        <f t="shared" si="1"/>
        <v>742</v>
      </c>
      <c r="Q7" s="160"/>
      <c r="R7" s="247">
        <f t="shared" ref="R7:V7" si="2">INT(R8*1.35)</f>
        <v>877</v>
      </c>
      <c r="S7" s="160"/>
      <c r="T7" s="161">
        <f t="shared" si="2"/>
        <v>1026</v>
      </c>
      <c r="U7" s="248">
        <f t="shared" si="2"/>
        <v>1228</v>
      </c>
      <c r="V7" s="162">
        <f t="shared" si="2"/>
        <v>1444</v>
      </c>
      <c r="W7" s="249"/>
      <c r="X7" s="250">
        <f>INT(X8*1.35)</f>
        <v>1660</v>
      </c>
    </row>
    <row r="8" ht="21" customHeight="1" spans="1:24">
      <c r="A8" s="26" t="s">
        <v>117</v>
      </c>
      <c r="B8" s="315"/>
      <c r="C8" s="323">
        <v>90</v>
      </c>
      <c r="D8" s="324">
        <v>110</v>
      </c>
      <c r="E8" s="324">
        <v>130</v>
      </c>
      <c r="F8" s="324">
        <v>150</v>
      </c>
      <c r="G8" s="324">
        <v>170</v>
      </c>
      <c r="H8" s="324">
        <v>200</v>
      </c>
      <c r="I8" s="324">
        <v>230</v>
      </c>
      <c r="J8" s="324">
        <v>260</v>
      </c>
      <c r="K8" s="363">
        <v>290</v>
      </c>
      <c r="L8" s="364"/>
      <c r="M8" s="143">
        <v>370</v>
      </c>
      <c r="N8" s="144"/>
      <c r="O8" s="145">
        <v>450</v>
      </c>
      <c r="P8" s="146">
        <v>550</v>
      </c>
      <c r="Q8" s="144"/>
      <c r="R8" s="238">
        <v>650</v>
      </c>
      <c r="S8" s="144"/>
      <c r="T8" s="145">
        <v>760</v>
      </c>
      <c r="U8" s="239">
        <v>910</v>
      </c>
      <c r="V8" s="146">
        <v>1070</v>
      </c>
      <c r="W8" s="240"/>
      <c r="X8" s="241">
        <v>1230</v>
      </c>
    </row>
    <row r="9" ht="21" customHeight="1" spans="1:24">
      <c r="A9" s="74" t="s">
        <v>118</v>
      </c>
      <c r="B9" s="482"/>
      <c r="C9" s="39">
        <v>90</v>
      </c>
      <c r="D9" s="40">
        <v>110</v>
      </c>
      <c r="E9" s="40">
        <v>130</v>
      </c>
      <c r="F9" s="40">
        <v>150</v>
      </c>
      <c r="G9" s="40">
        <v>170</v>
      </c>
      <c r="H9" s="40">
        <v>200</v>
      </c>
      <c r="I9" s="40">
        <v>230</v>
      </c>
      <c r="J9" s="40">
        <v>260</v>
      </c>
      <c r="K9" s="157">
        <v>290</v>
      </c>
      <c r="L9" s="158"/>
      <c r="M9" s="159">
        <v>370</v>
      </c>
      <c r="N9" s="160"/>
      <c r="O9" s="161">
        <v>450</v>
      </c>
      <c r="P9" s="162">
        <v>550</v>
      </c>
      <c r="Q9" s="160"/>
      <c r="R9" s="247">
        <v>650</v>
      </c>
      <c r="S9" s="160"/>
      <c r="T9" s="161">
        <v>760</v>
      </c>
      <c r="U9" s="248">
        <v>910</v>
      </c>
      <c r="V9" s="162">
        <v>1070</v>
      </c>
      <c r="W9" s="249"/>
      <c r="X9" s="250">
        <v>1230</v>
      </c>
    </row>
    <row r="10" ht="21" customHeight="1" spans="1:24">
      <c r="A10" s="26" t="s">
        <v>119</v>
      </c>
      <c r="B10" s="315"/>
      <c r="C10" s="323">
        <v>90</v>
      </c>
      <c r="D10" s="324">
        <v>110</v>
      </c>
      <c r="E10" s="324">
        <v>130</v>
      </c>
      <c r="F10" s="324">
        <v>150</v>
      </c>
      <c r="G10" s="324">
        <v>170</v>
      </c>
      <c r="H10" s="324">
        <v>200</v>
      </c>
      <c r="I10" s="324">
        <v>230</v>
      </c>
      <c r="J10" s="324">
        <v>260</v>
      </c>
      <c r="K10" s="363">
        <v>290</v>
      </c>
      <c r="L10" s="364"/>
      <c r="M10" s="143">
        <v>370</v>
      </c>
      <c r="N10" s="144"/>
      <c r="O10" s="145">
        <v>450</v>
      </c>
      <c r="P10" s="146">
        <v>550</v>
      </c>
      <c r="Q10" s="144"/>
      <c r="R10" s="238">
        <v>650</v>
      </c>
      <c r="S10" s="144"/>
      <c r="T10" s="145">
        <v>760</v>
      </c>
      <c r="U10" s="239">
        <v>910</v>
      </c>
      <c r="V10" s="146">
        <v>1070</v>
      </c>
      <c r="W10" s="240"/>
      <c r="X10" s="241">
        <v>1230</v>
      </c>
    </row>
    <row r="11" ht="21" customHeight="1" spans="1:24">
      <c r="A11" s="59" t="s">
        <v>18</v>
      </c>
      <c r="B11" s="60"/>
      <c r="C11" s="61">
        <v>0</v>
      </c>
      <c r="D11" s="62">
        <v>1</v>
      </c>
      <c r="E11" s="62">
        <v>2</v>
      </c>
      <c r="F11" s="63">
        <v>3</v>
      </c>
      <c r="G11" s="62">
        <v>4</v>
      </c>
      <c r="H11" s="64">
        <v>5</v>
      </c>
      <c r="I11" s="62">
        <v>6</v>
      </c>
      <c r="J11" s="174">
        <v>7</v>
      </c>
      <c r="K11" s="175">
        <v>8</v>
      </c>
      <c r="L11" s="176" t="s">
        <v>120</v>
      </c>
      <c r="M11" s="177"/>
      <c r="N11" s="177"/>
      <c r="O11" s="177"/>
      <c r="P11" s="177"/>
      <c r="Q11" s="177"/>
      <c r="R11" s="177"/>
      <c r="S11" s="177"/>
      <c r="T11" s="177"/>
      <c r="U11" s="177"/>
      <c r="V11" s="177"/>
      <c r="W11" s="177"/>
      <c r="X11" s="258"/>
    </row>
    <row r="12" ht="21" customHeight="1" spans="1:24">
      <c r="A12" s="122" t="s">
        <v>115</v>
      </c>
      <c r="B12" s="122"/>
      <c r="C12" s="41">
        <v>2.5</v>
      </c>
      <c r="D12" s="42">
        <v>2.45</v>
      </c>
      <c r="E12" s="42">
        <v>2.4</v>
      </c>
      <c r="F12" s="43">
        <v>2.35</v>
      </c>
      <c r="G12" s="42">
        <v>2.3</v>
      </c>
      <c r="H12" s="44">
        <v>2.25</v>
      </c>
      <c r="I12" s="42">
        <v>2.2</v>
      </c>
      <c r="J12" s="163">
        <v>2.1</v>
      </c>
      <c r="K12" s="164">
        <v>2</v>
      </c>
      <c r="L12" s="122" t="s">
        <v>121</v>
      </c>
      <c r="M12" s="122"/>
      <c r="N12" s="122"/>
      <c r="O12" s="122"/>
      <c r="P12" s="122"/>
      <c r="Q12" s="122"/>
      <c r="R12" s="122"/>
      <c r="S12" s="122"/>
      <c r="T12" s="122"/>
      <c r="U12" s="122"/>
      <c r="V12" s="122"/>
      <c r="W12" s="122"/>
      <c r="X12" s="122"/>
    </row>
    <row r="13" ht="21" customHeight="1" spans="1:24">
      <c r="A13" s="1467" t="s">
        <v>122</v>
      </c>
      <c r="B13" s="1467"/>
      <c r="C13" s="1467"/>
      <c r="D13" s="1467"/>
      <c r="E13" s="1467"/>
      <c r="F13" s="1467"/>
      <c r="G13" s="1467"/>
      <c r="H13" s="1467"/>
      <c r="I13" s="1467"/>
      <c r="J13" s="1467"/>
      <c r="K13" s="1467"/>
      <c r="L13" s="1467"/>
      <c r="M13" s="1467"/>
      <c r="N13" s="1467"/>
      <c r="O13" s="1467"/>
      <c r="P13" s="1467"/>
      <c r="Q13" s="1467"/>
      <c r="R13" s="1467"/>
      <c r="S13" s="1467"/>
      <c r="T13" s="1467"/>
      <c r="U13" s="1467"/>
      <c r="V13" s="1467"/>
      <c r="W13" s="1467"/>
      <c r="X13" s="1467"/>
    </row>
    <row r="14" ht="21" customHeight="1" spans="1:24">
      <c r="A14" s="1468" t="s">
        <v>123</v>
      </c>
      <c r="B14" s="1438"/>
      <c r="C14" s="1469">
        <f t="shared" ref="C14:K14" si="3">C7+INT(C7*0.15)+120</f>
        <v>259</v>
      </c>
      <c r="D14" s="1470">
        <f t="shared" si="3"/>
        <v>290</v>
      </c>
      <c r="E14" s="1470">
        <f t="shared" si="3"/>
        <v>321</v>
      </c>
      <c r="F14" s="1470">
        <f t="shared" si="3"/>
        <v>352</v>
      </c>
      <c r="G14" s="1470">
        <f t="shared" si="3"/>
        <v>383</v>
      </c>
      <c r="H14" s="1470">
        <f t="shared" si="3"/>
        <v>430</v>
      </c>
      <c r="I14" s="1470">
        <f t="shared" si="3"/>
        <v>476</v>
      </c>
      <c r="J14" s="1470">
        <f t="shared" si="3"/>
        <v>523</v>
      </c>
      <c r="K14" s="1481">
        <f t="shared" si="3"/>
        <v>569</v>
      </c>
      <c r="L14" s="1482"/>
      <c r="M14" s="813">
        <f t="shared" ref="M14:P14" si="4">M7+INT(M7*0.15)+120</f>
        <v>693</v>
      </c>
      <c r="N14" s="814"/>
      <c r="O14" s="815">
        <f t="shared" si="4"/>
        <v>818</v>
      </c>
      <c r="P14" s="816">
        <f t="shared" si="4"/>
        <v>973</v>
      </c>
      <c r="Q14" s="814"/>
      <c r="R14" s="841">
        <f t="shared" ref="R14:V14" si="5">R7+INT(R7*0.15)+120</f>
        <v>1128</v>
      </c>
      <c r="S14" s="814"/>
      <c r="T14" s="815">
        <f t="shared" si="5"/>
        <v>1299</v>
      </c>
      <c r="U14" s="842">
        <f t="shared" si="5"/>
        <v>1532</v>
      </c>
      <c r="V14" s="816">
        <f t="shared" si="5"/>
        <v>1780</v>
      </c>
      <c r="W14" s="843"/>
      <c r="X14" s="844">
        <f>X7+INT(X7*0.15)+120</f>
        <v>2029</v>
      </c>
    </row>
    <row r="15" ht="21" customHeight="1" spans="1:24">
      <c r="A15" s="1471" t="s">
        <v>124</v>
      </c>
      <c r="B15" s="333"/>
      <c r="C15" s="327">
        <f t="shared" ref="C15:K15" si="6">C8+INT(C8*0.15)+120</f>
        <v>223</v>
      </c>
      <c r="D15" s="328">
        <f t="shared" si="6"/>
        <v>246</v>
      </c>
      <c r="E15" s="328">
        <f t="shared" si="6"/>
        <v>269</v>
      </c>
      <c r="F15" s="328">
        <f t="shared" si="6"/>
        <v>292</v>
      </c>
      <c r="G15" s="328">
        <f t="shared" si="6"/>
        <v>315</v>
      </c>
      <c r="H15" s="328">
        <f t="shared" si="6"/>
        <v>350</v>
      </c>
      <c r="I15" s="328">
        <f t="shared" si="6"/>
        <v>384</v>
      </c>
      <c r="J15" s="328">
        <f t="shared" si="6"/>
        <v>419</v>
      </c>
      <c r="K15" s="365">
        <f t="shared" si="6"/>
        <v>453</v>
      </c>
      <c r="L15" s="366"/>
      <c r="M15" s="218">
        <f t="shared" ref="M15:P15" si="7">M8+INT(M8*0.15)+120</f>
        <v>545</v>
      </c>
      <c r="N15" s="367"/>
      <c r="O15" s="203">
        <f t="shared" si="7"/>
        <v>637</v>
      </c>
      <c r="P15" s="204">
        <f t="shared" si="7"/>
        <v>752</v>
      </c>
      <c r="Q15" s="367"/>
      <c r="R15" s="272">
        <f t="shared" ref="R15:V15" si="8">R8+INT(R8*0.15)+120</f>
        <v>867</v>
      </c>
      <c r="S15" s="367"/>
      <c r="T15" s="203">
        <f t="shared" si="8"/>
        <v>994</v>
      </c>
      <c r="U15" s="273">
        <f t="shared" si="8"/>
        <v>1166</v>
      </c>
      <c r="V15" s="204">
        <f t="shared" si="8"/>
        <v>1350</v>
      </c>
      <c r="W15" s="240"/>
      <c r="X15" s="241">
        <f>X8+INT(X8*0.15)+120</f>
        <v>1534</v>
      </c>
    </row>
    <row r="16" ht="21" customHeight="1" spans="1:24">
      <c r="A16" s="764" t="s">
        <v>125</v>
      </c>
      <c r="B16" s="765"/>
      <c r="C16" s="766">
        <v>223</v>
      </c>
      <c r="D16" s="767">
        <v>246</v>
      </c>
      <c r="E16" s="767">
        <v>269</v>
      </c>
      <c r="F16" s="767">
        <v>292</v>
      </c>
      <c r="G16" s="767">
        <v>315</v>
      </c>
      <c r="H16" s="767">
        <v>350</v>
      </c>
      <c r="I16" s="767">
        <v>384</v>
      </c>
      <c r="J16" s="767">
        <v>419</v>
      </c>
      <c r="K16" s="811">
        <v>453</v>
      </c>
      <c r="L16" s="812"/>
      <c r="M16" s="813">
        <v>545</v>
      </c>
      <c r="N16" s="814"/>
      <c r="O16" s="815">
        <v>637</v>
      </c>
      <c r="P16" s="816">
        <v>752</v>
      </c>
      <c r="Q16" s="814"/>
      <c r="R16" s="841">
        <v>867</v>
      </c>
      <c r="S16" s="814"/>
      <c r="T16" s="815">
        <v>994</v>
      </c>
      <c r="U16" s="842">
        <v>1166</v>
      </c>
      <c r="V16" s="816">
        <v>1350</v>
      </c>
      <c r="W16" s="843"/>
      <c r="X16" s="844">
        <f>X9+INT(X9*0.15)+120</f>
        <v>1534</v>
      </c>
    </row>
    <row r="17" ht="21" customHeight="1" spans="1:24">
      <c r="A17" s="1471" t="s">
        <v>126</v>
      </c>
      <c r="B17" s="333"/>
      <c r="C17" s="327">
        <f t="shared" ref="C17:K17" si="9">C10+INT(C10*0.15)+120</f>
        <v>223</v>
      </c>
      <c r="D17" s="328">
        <f t="shared" si="9"/>
        <v>246</v>
      </c>
      <c r="E17" s="328">
        <f t="shared" si="9"/>
        <v>269</v>
      </c>
      <c r="F17" s="328">
        <f t="shared" si="9"/>
        <v>292</v>
      </c>
      <c r="G17" s="328">
        <f t="shared" si="9"/>
        <v>315</v>
      </c>
      <c r="H17" s="328">
        <f t="shared" si="9"/>
        <v>350</v>
      </c>
      <c r="I17" s="328">
        <f t="shared" si="9"/>
        <v>384</v>
      </c>
      <c r="J17" s="328">
        <f t="shared" si="9"/>
        <v>419</v>
      </c>
      <c r="K17" s="365">
        <f t="shared" si="9"/>
        <v>453</v>
      </c>
      <c r="L17" s="366"/>
      <c r="M17" s="218">
        <f t="shared" ref="M17:P17" si="10">M10+INT(M10*0.15)+120</f>
        <v>545</v>
      </c>
      <c r="N17" s="367"/>
      <c r="O17" s="203">
        <f t="shared" si="10"/>
        <v>637</v>
      </c>
      <c r="P17" s="204">
        <f t="shared" si="10"/>
        <v>752</v>
      </c>
      <c r="Q17" s="367"/>
      <c r="R17" s="272">
        <f t="shared" ref="R17:V17" si="11">R10+INT(R10*0.15)+120</f>
        <v>867</v>
      </c>
      <c r="S17" s="367"/>
      <c r="T17" s="203">
        <f t="shared" si="11"/>
        <v>994</v>
      </c>
      <c r="U17" s="273">
        <f t="shared" si="11"/>
        <v>1166</v>
      </c>
      <c r="V17" s="204">
        <f t="shared" si="11"/>
        <v>1350</v>
      </c>
      <c r="W17" s="240"/>
      <c r="X17" s="241">
        <f>X10+INT(X10*0.15)+120</f>
        <v>1534</v>
      </c>
    </row>
    <row r="18" ht="21" customHeight="1" spans="1:24">
      <c r="A18" s="59" t="s">
        <v>18</v>
      </c>
      <c r="B18" s="60"/>
      <c r="C18" s="61">
        <v>0</v>
      </c>
      <c r="D18" s="62">
        <v>1</v>
      </c>
      <c r="E18" s="62">
        <v>2</v>
      </c>
      <c r="F18" s="63">
        <v>3</v>
      </c>
      <c r="G18" s="62">
        <v>4</v>
      </c>
      <c r="H18" s="64">
        <v>5</v>
      </c>
      <c r="I18" s="62">
        <v>6</v>
      </c>
      <c r="J18" s="174">
        <v>7</v>
      </c>
      <c r="K18" s="175">
        <v>8</v>
      </c>
      <c r="L18" s="123" t="s">
        <v>127</v>
      </c>
      <c r="M18" s="333"/>
      <c r="N18" s="333"/>
      <c r="O18" s="333"/>
      <c r="P18" s="333"/>
      <c r="Q18" s="333"/>
      <c r="R18" s="333"/>
      <c r="S18" s="333"/>
      <c r="T18" s="333"/>
      <c r="U18" s="333"/>
      <c r="V18" s="333"/>
      <c r="W18" s="333"/>
      <c r="X18" s="408"/>
    </row>
    <row r="19" ht="21" customHeight="1" spans="1:24">
      <c r="A19" s="943" t="s">
        <v>128</v>
      </c>
      <c r="B19" s="25"/>
      <c r="C19" s="89">
        <v>2.25</v>
      </c>
      <c r="D19" s="90">
        <v>2.25</v>
      </c>
      <c r="E19" s="90">
        <v>2.2</v>
      </c>
      <c r="F19" s="91">
        <v>2.15</v>
      </c>
      <c r="G19" s="90">
        <v>2.1</v>
      </c>
      <c r="H19" s="92">
        <v>2.05</v>
      </c>
      <c r="I19" s="90">
        <v>2</v>
      </c>
      <c r="J19" s="206">
        <v>1.9</v>
      </c>
      <c r="K19" s="207">
        <v>1.8</v>
      </c>
      <c r="L19" s="122" t="s">
        <v>129</v>
      </c>
      <c r="M19" s="122"/>
      <c r="N19" s="122"/>
      <c r="O19" s="122"/>
      <c r="P19" s="122"/>
      <c r="Q19" s="122"/>
      <c r="R19" s="122"/>
      <c r="S19" s="122"/>
      <c r="T19" s="122"/>
      <c r="U19" s="122"/>
      <c r="V19" s="122"/>
      <c r="W19" s="122"/>
      <c r="X19" s="122"/>
    </row>
    <row r="20" ht="21" customHeight="1" spans="1:24">
      <c r="A20" s="768" t="s">
        <v>26</v>
      </c>
      <c r="B20" s="769" t="s">
        <v>130</v>
      </c>
      <c r="C20" s="769"/>
      <c r="D20" s="769"/>
      <c r="E20" s="769"/>
      <c r="F20" s="769"/>
      <c r="G20" s="769"/>
      <c r="H20" s="769"/>
      <c r="I20" s="769"/>
      <c r="J20" s="769"/>
      <c r="K20" s="817"/>
      <c r="L20" s="122" t="s">
        <v>131</v>
      </c>
      <c r="M20" s="122"/>
      <c r="N20" s="122"/>
      <c r="O20" s="122"/>
      <c r="P20" s="122"/>
      <c r="Q20" s="122"/>
      <c r="R20" s="122"/>
      <c r="S20" s="122"/>
      <c r="T20" s="122"/>
      <c r="U20" s="122"/>
      <c r="V20" s="122"/>
      <c r="W20" s="122"/>
      <c r="X20" s="122"/>
    </row>
    <row r="21" ht="21" customHeight="1" spans="1:24">
      <c r="A21" s="770" t="s">
        <v>132</v>
      </c>
      <c r="B21" s="771" t="s">
        <v>115</v>
      </c>
      <c r="C21" s="772">
        <v>0</v>
      </c>
      <c r="D21" s="773">
        <v>1</v>
      </c>
      <c r="E21" s="773">
        <v>2</v>
      </c>
      <c r="F21" s="774">
        <v>3</v>
      </c>
      <c r="G21" s="773">
        <v>4</v>
      </c>
      <c r="H21" s="775">
        <v>5</v>
      </c>
      <c r="I21" s="773">
        <v>6</v>
      </c>
      <c r="J21" s="819">
        <v>7</v>
      </c>
      <c r="K21" s="820">
        <v>8</v>
      </c>
      <c r="L21" s="1429" t="s">
        <v>133</v>
      </c>
      <c r="M21" s="177"/>
      <c r="N21" s="177"/>
      <c r="O21" s="177"/>
      <c r="P21" s="177"/>
      <c r="Q21" s="177"/>
      <c r="R21" s="177"/>
      <c r="S21" s="177"/>
      <c r="T21" s="177"/>
      <c r="U21" s="177"/>
      <c r="V21" s="177"/>
      <c r="W21" s="177"/>
      <c r="X21" s="258"/>
    </row>
    <row r="22" ht="21" customHeight="1" spans="1:24">
      <c r="A22" s="770"/>
      <c r="B22" s="776">
        <v>0</v>
      </c>
      <c r="C22" s="777">
        <v>0</v>
      </c>
      <c r="D22" s="778">
        <v>4</v>
      </c>
      <c r="E22" s="778">
        <v>8</v>
      </c>
      <c r="F22" s="779">
        <v>12</v>
      </c>
      <c r="G22" s="778">
        <v>21</v>
      </c>
      <c r="H22" s="780">
        <v>29</v>
      </c>
      <c r="I22" s="778">
        <v>42</v>
      </c>
      <c r="J22" s="823">
        <v>54</v>
      </c>
      <c r="K22" s="824">
        <v>84</v>
      </c>
      <c r="L22" s="550"/>
      <c r="M22" s="657"/>
      <c r="N22" s="657"/>
      <c r="O22" s="657"/>
      <c r="P22" s="657"/>
      <c r="Q22" s="657"/>
      <c r="R22" s="657"/>
      <c r="S22" s="657"/>
      <c r="T22" s="657"/>
      <c r="U22" s="657"/>
      <c r="V22" s="657"/>
      <c r="W22" s="657"/>
      <c r="X22" s="678"/>
    </row>
    <row r="23" ht="21" customHeight="1" spans="1:24">
      <c r="A23" s="770"/>
      <c r="B23" s="781">
        <v>1</v>
      </c>
      <c r="C23" s="782">
        <v>1</v>
      </c>
      <c r="D23" s="783">
        <v>6</v>
      </c>
      <c r="E23" s="783">
        <v>10</v>
      </c>
      <c r="F23" s="784">
        <v>14</v>
      </c>
      <c r="G23" s="783">
        <v>22</v>
      </c>
      <c r="H23" s="785">
        <v>31</v>
      </c>
      <c r="I23" s="783">
        <v>43</v>
      </c>
      <c r="J23" s="825">
        <v>56</v>
      </c>
      <c r="K23" s="826">
        <v>85</v>
      </c>
      <c r="L23" s="176" t="str">
        <f>_xlfn.DISPIMG("ID_10C545E8C4024EA485B8C5CC3A25E740",1)</f>
        <v>=DISPIMG("ID_10C545E8C4024EA485B8C5CC3A25E740",1)</v>
      </c>
      <c r="M23" s="177"/>
      <c r="N23" s="177"/>
      <c r="O23" s="177"/>
      <c r="P23" s="177"/>
      <c r="Q23" s="177"/>
      <c r="R23" s="177"/>
      <c r="S23" s="177"/>
      <c r="T23" s="177"/>
      <c r="U23" s="177"/>
      <c r="V23" s="177"/>
      <c r="W23" s="177"/>
      <c r="X23" s="258"/>
    </row>
    <row r="24" ht="21" customHeight="1" spans="1:24">
      <c r="A24" s="770"/>
      <c r="B24" s="781">
        <v>2</v>
      </c>
      <c r="C24" s="782">
        <v>3</v>
      </c>
      <c r="D24" s="783">
        <v>7</v>
      </c>
      <c r="E24" s="783">
        <v>12</v>
      </c>
      <c r="F24" s="784">
        <v>16</v>
      </c>
      <c r="G24" s="783">
        <v>24</v>
      </c>
      <c r="H24" s="785">
        <v>33</v>
      </c>
      <c r="I24" s="783">
        <v>45</v>
      </c>
      <c r="J24" s="825">
        <v>58</v>
      </c>
      <c r="K24" s="826">
        <v>87</v>
      </c>
      <c r="L24" s="970"/>
      <c r="M24" s="1052"/>
      <c r="N24" s="1052"/>
      <c r="O24" s="1052"/>
      <c r="P24" s="1052"/>
      <c r="Q24" s="1052"/>
      <c r="R24" s="1052"/>
      <c r="S24" s="1052"/>
      <c r="T24" s="1052"/>
      <c r="U24" s="1052"/>
      <c r="V24" s="1052"/>
      <c r="W24" s="1052"/>
      <c r="X24" s="982"/>
    </row>
    <row r="25" ht="21" customHeight="1" spans="1:24">
      <c r="A25" s="770"/>
      <c r="B25" s="781">
        <v>3</v>
      </c>
      <c r="C25" s="782">
        <v>5</v>
      </c>
      <c r="D25" s="783">
        <v>9</v>
      </c>
      <c r="E25" s="783">
        <v>13</v>
      </c>
      <c r="F25" s="784">
        <v>18</v>
      </c>
      <c r="G25" s="783">
        <v>26</v>
      </c>
      <c r="H25" s="785">
        <v>34</v>
      </c>
      <c r="I25" s="783">
        <v>47</v>
      </c>
      <c r="J25" s="825">
        <v>60</v>
      </c>
      <c r="K25" s="826">
        <v>89</v>
      </c>
      <c r="L25" s="970"/>
      <c r="M25" s="1052"/>
      <c r="N25" s="1052"/>
      <c r="O25" s="1052"/>
      <c r="P25" s="1052"/>
      <c r="Q25" s="1052"/>
      <c r="R25" s="1052"/>
      <c r="S25" s="1052"/>
      <c r="T25" s="1052"/>
      <c r="U25" s="1052"/>
      <c r="V25" s="1052"/>
      <c r="W25" s="1052"/>
      <c r="X25" s="982"/>
    </row>
    <row r="26" ht="21" customHeight="1" spans="1:24">
      <c r="A26" s="770"/>
      <c r="B26" s="786">
        <v>4</v>
      </c>
      <c r="C26" s="787">
        <v>9</v>
      </c>
      <c r="D26" s="788">
        <v>13</v>
      </c>
      <c r="E26" s="788">
        <v>17</v>
      </c>
      <c r="F26" s="789">
        <v>21</v>
      </c>
      <c r="G26" s="788">
        <v>30</v>
      </c>
      <c r="H26" s="790">
        <v>38</v>
      </c>
      <c r="I26" s="788">
        <v>51</v>
      </c>
      <c r="J26" s="827">
        <v>63</v>
      </c>
      <c r="K26" s="828">
        <v>93</v>
      </c>
      <c r="L26" s="970"/>
      <c r="M26" s="1052"/>
      <c r="N26" s="1052"/>
      <c r="O26" s="1052"/>
      <c r="P26" s="1052"/>
      <c r="Q26" s="1052"/>
      <c r="R26" s="1052"/>
      <c r="S26" s="1052"/>
      <c r="T26" s="1052"/>
      <c r="U26" s="1052"/>
      <c r="V26" s="1052"/>
      <c r="W26" s="1052"/>
      <c r="X26" s="982"/>
    </row>
    <row r="27" ht="21" customHeight="1" spans="1:24">
      <c r="A27" s="770"/>
      <c r="B27" s="786">
        <v>5</v>
      </c>
      <c r="C27" s="787">
        <v>12</v>
      </c>
      <c r="D27" s="788">
        <v>16</v>
      </c>
      <c r="E27" s="788">
        <v>21</v>
      </c>
      <c r="F27" s="789">
        <v>25</v>
      </c>
      <c r="G27" s="788">
        <v>33</v>
      </c>
      <c r="H27" s="790">
        <v>42</v>
      </c>
      <c r="I27" s="788">
        <v>54</v>
      </c>
      <c r="J27" s="827">
        <v>67</v>
      </c>
      <c r="K27" s="828">
        <v>96</v>
      </c>
      <c r="L27" s="970"/>
      <c r="M27" s="1052"/>
      <c r="N27" s="1052"/>
      <c r="O27" s="1052"/>
      <c r="P27" s="1052"/>
      <c r="Q27" s="1052"/>
      <c r="R27" s="1052"/>
      <c r="S27" s="1052"/>
      <c r="T27" s="1052"/>
      <c r="U27" s="1052"/>
      <c r="V27" s="1052"/>
      <c r="W27" s="1052"/>
      <c r="X27" s="982"/>
    </row>
    <row r="28" ht="21" customHeight="1" spans="1:24">
      <c r="A28" s="770"/>
      <c r="B28" s="791">
        <v>6</v>
      </c>
      <c r="C28" s="792">
        <v>18</v>
      </c>
      <c r="D28" s="793">
        <v>22</v>
      </c>
      <c r="E28" s="793">
        <v>26</v>
      </c>
      <c r="F28" s="794">
        <v>30</v>
      </c>
      <c r="G28" s="793">
        <v>39</v>
      </c>
      <c r="H28" s="795">
        <v>47</v>
      </c>
      <c r="I28" s="793">
        <v>60</v>
      </c>
      <c r="J28" s="829">
        <v>72</v>
      </c>
      <c r="K28" s="830">
        <v>102</v>
      </c>
      <c r="L28" s="970"/>
      <c r="M28" s="1052"/>
      <c r="N28" s="1052"/>
      <c r="O28" s="1052"/>
      <c r="P28" s="1052"/>
      <c r="Q28" s="1052"/>
      <c r="R28" s="1052"/>
      <c r="S28" s="1052"/>
      <c r="T28" s="1052"/>
      <c r="U28" s="1052"/>
      <c r="V28" s="1052"/>
      <c r="W28" s="1052"/>
      <c r="X28" s="982"/>
    </row>
    <row r="29" ht="21" customHeight="1" spans="1:24">
      <c r="A29" s="770"/>
      <c r="B29" s="791">
        <v>7</v>
      </c>
      <c r="C29" s="792">
        <v>23</v>
      </c>
      <c r="D29" s="793">
        <v>27</v>
      </c>
      <c r="E29" s="793">
        <v>31</v>
      </c>
      <c r="F29" s="794">
        <v>36</v>
      </c>
      <c r="G29" s="793">
        <v>44</v>
      </c>
      <c r="H29" s="795">
        <v>52</v>
      </c>
      <c r="I29" s="793">
        <v>65</v>
      </c>
      <c r="J29" s="829">
        <v>78</v>
      </c>
      <c r="K29" s="830">
        <v>107</v>
      </c>
      <c r="L29" s="970"/>
      <c r="M29" s="1052"/>
      <c r="N29" s="1052"/>
      <c r="O29" s="1052"/>
      <c r="P29" s="1052"/>
      <c r="Q29" s="1052"/>
      <c r="R29" s="1052"/>
      <c r="S29" s="1052"/>
      <c r="T29" s="1052"/>
      <c r="U29" s="1052"/>
      <c r="V29" s="1052"/>
      <c r="W29" s="1052"/>
      <c r="X29" s="982"/>
    </row>
    <row r="30" ht="21" customHeight="1" spans="1:24">
      <c r="A30" s="770"/>
      <c r="B30" s="796">
        <v>8</v>
      </c>
      <c r="C30" s="787">
        <v>36</v>
      </c>
      <c r="D30" s="788">
        <v>40</v>
      </c>
      <c r="E30" s="788">
        <v>44</v>
      </c>
      <c r="F30" s="789">
        <v>48</v>
      </c>
      <c r="G30" s="788">
        <v>57</v>
      </c>
      <c r="H30" s="790">
        <v>65</v>
      </c>
      <c r="I30" s="788">
        <v>78</v>
      </c>
      <c r="J30" s="827">
        <v>90</v>
      </c>
      <c r="K30" s="828">
        <v>120</v>
      </c>
      <c r="L30" s="1483" t="s">
        <v>134</v>
      </c>
      <c r="M30" s="1484"/>
      <c r="N30" s="1484"/>
      <c r="O30" s="1484"/>
      <c r="P30" s="1484"/>
      <c r="Q30" s="1484"/>
      <c r="R30" s="1484"/>
      <c r="S30" s="1484"/>
      <c r="T30" s="1484"/>
      <c r="U30" s="1484"/>
      <c r="V30" s="1484"/>
      <c r="W30" s="1484"/>
      <c r="X30" s="1485"/>
    </row>
    <row r="31" ht="21" customHeight="1" spans="1:24">
      <c r="A31" s="45"/>
      <c r="B31" s="46"/>
      <c r="C31" s="46"/>
      <c r="D31" s="46"/>
      <c r="E31" s="46"/>
      <c r="F31" s="46"/>
      <c r="G31" s="46"/>
      <c r="H31" s="46"/>
      <c r="I31" s="46"/>
      <c r="J31" s="46"/>
      <c r="K31" s="46"/>
      <c r="L31" s="106"/>
      <c r="M31" s="106"/>
      <c r="N31" s="106"/>
      <c r="O31" s="106"/>
      <c r="P31" s="106"/>
      <c r="Q31" s="106"/>
      <c r="R31" s="106"/>
      <c r="S31" s="106"/>
      <c r="T31" s="106"/>
      <c r="U31" s="106"/>
      <c r="V31" s="106"/>
      <c r="W31" s="106"/>
      <c r="X31" s="286"/>
    </row>
    <row r="32" ht="44" customHeight="1" spans="1:24">
      <c r="A32" s="14"/>
      <c r="B32" s="15" t="str">
        <f>_xlfn.DISPIMG("ID_A5B2130CE4DA41FD8004ADE44712CB43",1)</f>
        <v>=DISPIMG("ID_A5B2130CE4DA41FD8004ADE44712CB43",1)</v>
      </c>
      <c r="C32" s="15" t="str">
        <f>_xlfn.DISPIMG("ID_989F74D2A1994787A24EC38444C50368",1)</f>
        <v>=DISPIMG("ID_989F74D2A1994787A24EC38444C50368",1)</v>
      </c>
      <c r="D32" s="15" t="str">
        <f>_xlfn.DISPIMG("ID_B22E63F296EC4FA1B403E377FF32DCEB",1)</f>
        <v>=DISPIMG("ID_B22E63F296EC4FA1B403E377FF32DCEB",1)</v>
      </c>
      <c r="E32" s="15" t="str">
        <f>_xlfn.DISPIMG("ID_8B00624C3DF442F8AAFB138B90F89AA1",1)</f>
        <v>=DISPIMG("ID_8B00624C3DF442F8AAFB138B90F89AA1",1)</v>
      </c>
      <c r="F32" s="16"/>
      <c r="G32" s="1166" t="s">
        <v>135</v>
      </c>
      <c r="H32" s="1167"/>
      <c r="I32" s="1167"/>
      <c r="J32" s="1167"/>
      <c r="K32" s="1167"/>
      <c r="L32" s="1167"/>
      <c r="M32" s="1167"/>
      <c r="N32" s="1167"/>
      <c r="O32" s="1238"/>
      <c r="P32" s="375"/>
      <c r="Q32" s="409"/>
      <c r="R32" s="409" t="str">
        <f>_xlfn.DISPIMG("ID_191F21A754FC468DA7B5A4B881BF18B1",1)</f>
        <v>=DISPIMG("ID_191F21A754FC468DA7B5A4B881BF18B1",1)</v>
      </c>
      <c r="S32" s="409"/>
      <c r="T32" s="409" t="str">
        <f>_xlfn.DISPIMG("ID_A2881838C9F7450F9223069FB3F51210",1)</f>
        <v>=DISPIMG("ID_A2881838C9F7450F9223069FB3F51210",1)</v>
      </c>
      <c r="U32" s="409" t="str">
        <f>_xlfn.DISPIMG("ID_BB933059DD564C308858041A09FE2FCF",1)</f>
        <v>=DISPIMG("ID_BB933059DD564C308858041A09FE2FCF",1)</v>
      </c>
      <c r="V32" s="409" t="str">
        <f>_xlfn.DISPIMG("ID_1F55E9E6D6E942D6A892C84E998AFB7C",1)</f>
        <v>=DISPIMG("ID_1F55E9E6D6E942D6A892C84E998AFB7C",1)</v>
      </c>
      <c r="W32" s="409"/>
      <c r="X32" s="410"/>
    </row>
    <row r="33" ht="21" customHeight="1" spans="1:24">
      <c r="A33" s="1472" t="s">
        <v>136</v>
      </c>
      <c r="B33" s="1473"/>
      <c r="C33" s="1473"/>
      <c r="D33" s="1473"/>
      <c r="E33" s="1473"/>
      <c r="F33" s="1473"/>
      <c r="G33" s="1473"/>
      <c r="H33" s="1473"/>
      <c r="I33" s="1473"/>
      <c r="J33" s="1473"/>
      <c r="K33" s="1473"/>
      <c r="L33" s="1473"/>
      <c r="M33" s="1473"/>
      <c r="N33" s="1473"/>
      <c r="O33" s="1473"/>
      <c r="P33" s="1473"/>
      <c r="Q33" s="1473"/>
      <c r="R33" s="1473"/>
      <c r="S33" s="1473"/>
      <c r="T33" s="1473"/>
      <c r="U33" s="1473"/>
      <c r="V33" s="1473"/>
      <c r="W33" s="1473"/>
      <c r="X33" s="1486"/>
    </row>
    <row r="34" ht="21" customHeight="1" spans="1:24">
      <c r="A34" s="21" t="s">
        <v>8</v>
      </c>
      <c r="B34" s="22"/>
      <c r="C34" s="23">
        <v>0</v>
      </c>
      <c r="D34" s="24">
        <v>1</v>
      </c>
      <c r="E34" s="24">
        <v>2</v>
      </c>
      <c r="F34" s="24">
        <v>3</v>
      </c>
      <c r="G34" s="24">
        <v>4</v>
      </c>
      <c r="H34" s="24">
        <v>5</v>
      </c>
      <c r="I34" s="24">
        <v>6</v>
      </c>
      <c r="J34" s="24">
        <v>7</v>
      </c>
      <c r="K34" s="135">
        <v>8</v>
      </c>
      <c r="L34" s="136">
        <v>9</v>
      </c>
      <c r="M34" s="137"/>
      <c r="N34" s="138"/>
      <c r="O34" s="139">
        <v>10</v>
      </c>
      <c r="P34" s="140">
        <v>11</v>
      </c>
      <c r="Q34" s="236">
        <v>12</v>
      </c>
      <c r="R34" s="236"/>
      <c r="S34" s="236"/>
      <c r="T34" s="139">
        <v>13</v>
      </c>
      <c r="U34" s="237">
        <v>14</v>
      </c>
      <c r="V34" s="140">
        <v>15</v>
      </c>
      <c r="W34" s="137">
        <v>16</v>
      </c>
      <c r="X34" s="138"/>
    </row>
    <row r="35" ht="21" customHeight="1" spans="1:24">
      <c r="A35" s="73" t="s">
        <v>137</v>
      </c>
      <c r="B35" s="73"/>
      <c r="C35" s="75">
        <v>50</v>
      </c>
      <c r="D35" s="76">
        <v>60</v>
      </c>
      <c r="E35" s="76">
        <v>70</v>
      </c>
      <c r="F35" s="76">
        <v>80</v>
      </c>
      <c r="G35" s="76">
        <v>100</v>
      </c>
      <c r="H35" s="76">
        <v>120</v>
      </c>
      <c r="I35" s="76">
        <v>140</v>
      </c>
      <c r="J35" s="76">
        <v>170</v>
      </c>
      <c r="K35" s="182">
        <v>200</v>
      </c>
      <c r="L35" s="212"/>
      <c r="M35" s="222">
        <v>230</v>
      </c>
      <c r="N35" s="214"/>
      <c r="O35" s="161">
        <v>280</v>
      </c>
      <c r="P35" s="162">
        <v>360</v>
      </c>
      <c r="Q35" s="184"/>
      <c r="R35" s="247">
        <v>450</v>
      </c>
      <c r="S35" s="184"/>
      <c r="T35" s="161">
        <v>550</v>
      </c>
      <c r="U35" s="248">
        <v>660</v>
      </c>
      <c r="V35" s="162">
        <v>780</v>
      </c>
      <c r="W35" s="261"/>
      <c r="X35" s="250">
        <v>900</v>
      </c>
    </row>
    <row r="36" ht="21" customHeight="1" spans="1:24">
      <c r="A36" s="25" t="s">
        <v>138</v>
      </c>
      <c r="B36" s="25"/>
      <c r="C36" s="87">
        <v>50</v>
      </c>
      <c r="D36" s="88">
        <v>60</v>
      </c>
      <c r="E36" s="88">
        <v>70</v>
      </c>
      <c r="F36" s="88">
        <v>80</v>
      </c>
      <c r="G36" s="88">
        <v>100</v>
      </c>
      <c r="H36" s="88">
        <v>120</v>
      </c>
      <c r="I36" s="88">
        <v>140</v>
      </c>
      <c r="J36" s="88">
        <v>170</v>
      </c>
      <c r="K36" s="199">
        <v>200</v>
      </c>
      <c r="L36" s="398"/>
      <c r="M36" s="201">
        <v>230</v>
      </c>
      <c r="N36" s="400"/>
      <c r="O36" s="203">
        <v>280</v>
      </c>
      <c r="P36" s="204">
        <v>360</v>
      </c>
      <c r="Q36" s="400"/>
      <c r="R36" s="272">
        <v>460</v>
      </c>
      <c r="S36" s="400"/>
      <c r="T36" s="203">
        <v>570</v>
      </c>
      <c r="U36" s="273">
        <v>690</v>
      </c>
      <c r="V36" s="204">
        <v>820</v>
      </c>
      <c r="W36" s="431"/>
      <c r="X36" s="275">
        <v>970</v>
      </c>
    </row>
    <row r="37" ht="21" customHeight="1" spans="1:24">
      <c r="A37" s="37" t="s">
        <v>139</v>
      </c>
      <c r="B37" s="37"/>
      <c r="C37" s="321">
        <v>45</v>
      </c>
      <c r="D37" s="322">
        <v>54</v>
      </c>
      <c r="E37" s="322">
        <v>63</v>
      </c>
      <c r="F37" s="322">
        <v>72</v>
      </c>
      <c r="G37" s="322">
        <v>90</v>
      </c>
      <c r="H37" s="322">
        <v>108</v>
      </c>
      <c r="I37" s="322">
        <v>126</v>
      </c>
      <c r="J37" s="322">
        <v>153</v>
      </c>
      <c r="K37" s="361">
        <v>180</v>
      </c>
      <c r="L37" s="212"/>
      <c r="M37" s="579">
        <v>207</v>
      </c>
      <c r="N37" s="214"/>
      <c r="O37" s="386">
        <v>260</v>
      </c>
      <c r="P37" s="387">
        <v>340</v>
      </c>
      <c r="Q37" s="214"/>
      <c r="R37" s="420">
        <v>430</v>
      </c>
      <c r="S37" s="214"/>
      <c r="T37" s="386">
        <v>530</v>
      </c>
      <c r="U37" s="421">
        <v>640</v>
      </c>
      <c r="V37" s="387">
        <v>760</v>
      </c>
      <c r="W37" s="291"/>
      <c r="X37" s="422">
        <v>910</v>
      </c>
    </row>
    <row r="38" ht="21" customHeight="1" spans="1:24">
      <c r="A38" s="94" t="s">
        <v>140</v>
      </c>
      <c r="B38" s="94"/>
      <c r="C38" s="113">
        <v>50</v>
      </c>
      <c r="D38" s="307">
        <v>60</v>
      </c>
      <c r="E38" s="307">
        <v>70</v>
      </c>
      <c r="F38" s="307">
        <v>80</v>
      </c>
      <c r="G38" s="307">
        <v>100</v>
      </c>
      <c r="H38" s="307">
        <v>120</v>
      </c>
      <c r="I38" s="307">
        <v>140</v>
      </c>
      <c r="J38" s="307">
        <v>170</v>
      </c>
      <c r="K38" s="312">
        <v>200</v>
      </c>
      <c r="L38" s="506"/>
      <c r="M38" s="155">
        <v>230</v>
      </c>
      <c r="N38" s="508"/>
      <c r="O38" s="145">
        <v>280</v>
      </c>
      <c r="P38" s="146">
        <v>360</v>
      </c>
      <c r="Q38" s="508"/>
      <c r="R38" s="238">
        <v>460</v>
      </c>
      <c r="S38" s="508"/>
      <c r="T38" s="145">
        <v>570</v>
      </c>
      <c r="U38" s="239">
        <v>690</v>
      </c>
      <c r="V38" s="146">
        <v>820</v>
      </c>
      <c r="W38" s="424"/>
      <c r="X38" s="241">
        <v>960</v>
      </c>
    </row>
    <row r="39" ht="21" customHeight="1" spans="1:24">
      <c r="A39" s="73" t="s">
        <v>141</v>
      </c>
      <c r="B39" s="73"/>
      <c r="C39" s="75">
        <v>50</v>
      </c>
      <c r="D39" s="76">
        <v>60</v>
      </c>
      <c r="E39" s="76">
        <v>70</v>
      </c>
      <c r="F39" s="76">
        <v>80</v>
      </c>
      <c r="G39" s="76">
        <v>100</v>
      </c>
      <c r="H39" s="76">
        <v>120</v>
      </c>
      <c r="I39" s="76">
        <v>140</v>
      </c>
      <c r="J39" s="76">
        <v>170</v>
      </c>
      <c r="K39" s="182">
        <v>200</v>
      </c>
      <c r="L39" s="183"/>
      <c r="M39" s="159">
        <v>230</v>
      </c>
      <c r="N39" s="184"/>
      <c r="O39" s="161">
        <v>280</v>
      </c>
      <c r="P39" s="162">
        <v>360</v>
      </c>
      <c r="Q39" s="184"/>
      <c r="R39" s="247">
        <v>450</v>
      </c>
      <c r="S39" s="184"/>
      <c r="T39" s="161">
        <v>550</v>
      </c>
      <c r="U39" s="248">
        <v>660</v>
      </c>
      <c r="V39" s="162">
        <v>780</v>
      </c>
      <c r="W39" s="261"/>
      <c r="X39" s="250">
        <v>900</v>
      </c>
    </row>
    <row r="40" ht="21" customHeight="1" spans="1:24">
      <c r="A40" s="25" t="s">
        <v>142</v>
      </c>
      <c r="B40" s="25"/>
      <c r="C40" s="113">
        <v>50</v>
      </c>
      <c r="D40" s="307">
        <v>60</v>
      </c>
      <c r="E40" s="307">
        <v>70</v>
      </c>
      <c r="F40" s="307">
        <v>80</v>
      </c>
      <c r="G40" s="307">
        <v>100</v>
      </c>
      <c r="H40" s="307">
        <v>120</v>
      </c>
      <c r="I40" s="307">
        <v>140</v>
      </c>
      <c r="J40" s="307">
        <v>170</v>
      </c>
      <c r="K40" s="312">
        <v>200</v>
      </c>
      <c r="L40" s="506"/>
      <c r="M40" s="155">
        <v>230</v>
      </c>
      <c r="N40" s="508"/>
      <c r="O40" s="145">
        <v>280</v>
      </c>
      <c r="P40" s="146">
        <v>360</v>
      </c>
      <c r="Q40" s="508"/>
      <c r="R40" s="238">
        <v>450</v>
      </c>
      <c r="S40" s="508"/>
      <c r="T40" s="145">
        <v>550</v>
      </c>
      <c r="U40" s="239">
        <v>660</v>
      </c>
      <c r="V40" s="146">
        <v>780</v>
      </c>
      <c r="W40" s="424"/>
      <c r="X40" s="241">
        <v>900</v>
      </c>
    </row>
    <row r="41" ht="21" customHeight="1" spans="1:24">
      <c r="A41" s="37" t="s">
        <v>143</v>
      </c>
      <c r="B41" s="37"/>
      <c r="C41" s="321">
        <v>50</v>
      </c>
      <c r="D41" s="322">
        <v>60</v>
      </c>
      <c r="E41" s="322">
        <v>70</v>
      </c>
      <c r="F41" s="322">
        <v>80</v>
      </c>
      <c r="G41" s="322">
        <v>100</v>
      </c>
      <c r="H41" s="322">
        <v>120</v>
      </c>
      <c r="I41" s="322">
        <v>140</v>
      </c>
      <c r="J41" s="322">
        <v>170</v>
      </c>
      <c r="K41" s="361">
        <v>200</v>
      </c>
      <c r="L41" s="212"/>
      <c r="M41" s="579">
        <v>230</v>
      </c>
      <c r="N41" s="214"/>
      <c r="O41" s="386">
        <v>280</v>
      </c>
      <c r="P41" s="387">
        <v>360</v>
      </c>
      <c r="Q41" s="214"/>
      <c r="R41" s="420">
        <v>460</v>
      </c>
      <c r="S41" s="214"/>
      <c r="T41" s="386">
        <v>570</v>
      </c>
      <c r="U41" s="421">
        <v>690</v>
      </c>
      <c r="V41" s="387">
        <v>820</v>
      </c>
      <c r="W41" s="291"/>
      <c r="X41" s="422">
        <v>960</v>
      </c>
    </row>
    <row r="42" ht="21" customHeight="1" spans="1:24">
      <c r="A42" s="25" t="s">
        <v>144</v>
      </c>
      <c r="B42" s="25"/>
      <c r="C42" s="113">
        <v>80</v>
      </c>
      <c r="D42" s="307">
        <v>100</v>
      </c>
      <c r="E42" s="307">
        <v>120</v>
      </c>
      <c r="F42" s="307">
        <v>140</v>
      </c>
      <c r="G42" s="307">
        <v>160</v>
      </c>
      <c r="H42" s="307">
        <v>180</v>
      </c>
      <c r="I42" s="307">
        <v>210</v>
      </c>
      <c r="J42" s="307">
        <v>240</v>
      </c>
      <c r="K42" s="312">
        <v>270</v>
      </c>
      <c r="L42" s="506"/>
      <c r="M42" s="155">
        <v>380</v>
      </c>
      <c r="N42" s="508"/>
      <c r="O42" s="145">
        <v>450</v>
      </c>
      <c r="P42" s="146">
        <v>540</v>
      </c>
      <c r="Q42" s="508"/>
      <c r="R42" s="238">
        <v>630</v>
      </c>
      <c r="S42" s="508"/>
      <c r="T42" s="145">
        <v>720</v>
      </c>
      <c r="U42" s="239">
        <v>810</v>
      </c>
      <c r="V42" s="146">
        <v>960</v>
      </c>
      <c r="W42" s="424"/>
      <c r="X42" s="241">
        <v>1120</v>
      </c>
    </row>
    <row r="43" ht="21" customHeight="1" spans="1:24">
      <c r="A43" s="1474" t="s">
        <v>145</v>
      </c>
      <c r="B43" s="1474"/>
      <c r="C43" s="1474"/>
      <c r="D43" s="1474"/>
      <c r="E43" s="1474"/>
      <c r="F43" s="1474"/>
      <c r="G43" s="1474"/>
      <c r="H43" s="1474"/>
      <c r="I43" s="1474"/>
      <c r="J43" s="1474"/>
      <c r="K43" s="1474"/>
      <c r="L43" s="1474"/>
      <c r="M43" s="1474"/>
      <c r="N43" s="1474"/>
      <c r="O43" s="1474"/>
      <c r="P43" s="1474"/>
      <c r="Q43" s="1474"/>
      <c r="R43" s="1474"/>
      <c r="S43" s="1474"/>
      <c r="T43" s="1474"/>
      <c r="U43" s="1474"/>
      <c r="V43" s="1474"/>
      <c r="W43" s="1474"/>
      <c r="X43" s="1474"/>
    </row>
    <row r="44" ht="21" customHeight="1" spans="1:24">
      <c r="A44" s="1474" t="s">
        <v>146</v>
      </c>
      <c r="B44" s="1474"/>
      <c r="C44" s="1474"/>
      <c r="D44" s="1474"/>
      <c r="E44" s="1474"/>
      <c r="F44" s="1474"/>
      <c r="G44" s="1474"/>
      <c r="H44" s="1474"/>
      <c r="I44" s="1474"/>
      <c r="J44" s="1474"/>
      <c r="K44" s="1474"/>
      <c r="L44" s="1474"/>
      <c r="M44" s="1474"/>
      <c r="N44" s="1474"/>
      <c r="O44" s="1474"/>
      <c r="P44" s="1474"/>
      <c r="Q44" s="1474"/>
      <c r="R44" s="1474"/>
      <c r="S44" s="1474"/>
      <c r="T44" s="1474"/>
      <c r="U44" s="1474"/>
      <c r="V44" s="1474"/>
      <c r="W44" s="1474"/>
      <c r="X44" s="1474"/>
    </row>
    <row r="45" ht="21" customHeight="1" spans="1:24">
      <c r="A45" s="73" t="s">
        <v>147</v>
      </c>
      <c r="B45" s="73"/>
      <c r="C45" s="75">
        <f t="shared" ref="C45:K45" si="12">INT(C35*1.1)</f>
        <v>55</v>
      </c>
      <c r="D45" s="76">
        <f t="shared" si="12"/>
        <v>66</v>
      </c>
      <c r="E45" s="76">
        <f t="shared" si="12"/>
        <v>77</v>
      </c>
      <c r="F45" s="76">
        <f t="shared" si="12"/>
        <v>88</v>
      </c>
      <c r="G45" s="76">
        <f t="shared" si="12"/>
        <v>110</v>
      </c>
      <c r="H45" s="76">
        <f t="shared" si="12"/>
        <v>132</v>
      </c>
      <c r="I45" s="76">
        <f t="shared" si="12"/>
        <v>154</v>
      </c>
      <c r="J45" s="76">
        <f t="shared" si="12"/>
        <v>187</v>
      </c>
      <c r="K45" s="182">
        <f t="shared" si="12"/>
        <v>220</v>
      </c>
      <c r="L45" s="183"/>
      <c r="M45" s="159">
        <f t="shared" ref="M45:P45" si="13">INT(M35*1.1)</f>
        <v>253</v>
      </c>
      <c r="N45" s="184"/>
      <c r="O45" s="161">
        <f t="shared" si="13"/>
        <v>308</v>
      </c>
      <c r="P45" s="162">
        <f t="shared" si="13"/>
        <v>396</v>
      </c>
      <c r="Q45" s="184"/>
      <c r="R45" s="247">
        <f t="shared" ref="R45:V45" si="14">INT(R35*1.1)</f>
        <v>495</v>
      </c>
      <c r="S45" s="184"/>
      <c r="T45" s="161">
        <f t="shared" si="14"/>
        <v>605</v>
      </c>
      <c r="U45" s="248">
        <f t="shared" si="14"/>
        <v>726</v>
      </c>
      <c r="V45" s="162">
        <f t="shared" si="14"/>
        <v>858</v>
      </c>
      <c r="W45" s="261"/>
      <c r="X45" s="250">
        <f>INT(X35*1.1)</f>
        <v>990</v>
      </c>
    </row>
    <row r="46" ht="21" customHeight="1" spans="1:24">
      <c r="A46" s="1049" t="s">
        <v>148</v>
      </c>
      <c r="B46" s="122"/>
      <c r="C46" s="336">
        <f t="shared" ref="C46:K46" si="15">INT(C36*1.35)</f>
        <v>67</v>
      </c>
      <c r="D46" s="337">
        <f t="shared" si="15"/>
        <v>81</v>
      </c>
      <c r="E46" s="337">
        <f t="shared" si="15"/>
        <v>94</v>
      </c>
      <c r="F46" s="337">
        <f t="shared" si="15"/>
        <v>108</v>
      </c>
      <c r="G46" s="337">
        <f t="shared" si="15"/>
        <v>135</v>
      </c>
      <c r="H46" s="337">
        <f t="shared" si="15"/>
        <v>162</v>
      </c>
      <c r="I46" s="337">
        <f t="shared" si="15"/>
        <v>189</v>
      </c>
      <c r="J46" s="337">
        <f t="shared" si="15"/>
        <v>229</v>
      </c>
      <c r="K46" s="379">
        <f t="shared" si="15"/>
        <v>270</v>
      </c>
      <c r="L46" s="398"/>
      <c r="M46" s="201">
        <f t="shared" ref="M46:P46" si="16">INT(M36*1.35)</f>
        <v>310</v>
      </c>
      <c r="N46" s="400"/>
      <c r="O46" s="203">
        <f t="shared" si="16"/>
        <v>378</v>
      </c>
      <c r="P46" s="204">
        <f t="shared" si="16"/>
        <v>486</v>
      </c>
      <c r="Q46" s="400"/>
      <c r="R46" s="272">
        <f t="shared" ref="R46:V46" si="17">INT(R36*1.35)</f>
        <v>621</v>
      </c>
      <c r="S46" s="400"/>
      <c r="T46" s="203">
        <f t="shared" si="17"/>
        <v>769</v>
      </c>
      <c r="U46" s="273">
        <f t="shared" si="17"/>
        <v>931</v>
      </c>
      <c r="V46" s="204">
        <f t="shared" si="17"/>
        <v>1107</v>
      </c>
      <c r="W46" s="431"/>
      <c r="X46" s="275">
        <f>INT(X36*1.35)</f>
        <v>1309</v>
      </c>
    </row>
    <row r="47" ht="21" customHeight="1" spans="1:24">
      <c r="A47" s="1475" t="s">
        <v>149</v>
      </c>
      <c r="B47" s="73"/>
      <c r="C47" s="75">
        <f t="shared" ref="C47:K47" si="18">INT(C37*1.05)</f>
        <v>47</v>
      </c>
      <c r="D47" s="76">
        <f t="shared" si="18"/>
        <v>56</v>
      </c>
      <c r="E47" s="76">
        <f t="shared" si="18"/>
        <v>66</v>
      </c>
      <c r="F47" s="76">
        <f t="shared" si="18"/>
        <v>75</v>
      </c>
      <c r="G47" s="76">
        <f t="shared" si="18"/>
        <v>94</v>
      </c>
      <c r="H47" s="76">
        <f t="shared" si="18"/>
        <v>113</v>
      </c>
      <c r="I47" s="76">
        <f t="shared" si="18"/>
        <v>132</v>
      </c>
      <c r="J47" s="76">
        <f t="shared" si="18"/>
        <v>160</v>
      </c>
      <c r="K47" s="182">
        <f t="shared" si="18"/>
        <v>189</v>
      </c>
      <c r="L47" s="183"/>
      <c r="M47" s="159">
        <f t="shared" ref="M47:P47" si="19">INT(M37*1.05)</f>
        <v>217</v>
      </c>
      <c r="N47" s="184"/>
      <c r="O47" s="161">
        <f t="shared" si="19"/>
        <v>273</v>
      </c>
      <c r="P47" s="162">
        <f t="shared" si="19"/>
        <v>357</v>
      </c>
      <c r="Q47" s="184"/>
      <c r="R47" s="247">
        <f t="shared" ref="R47:V47" si="20">INT(R37*1.05)</f>
        <v>451</v>
      </c>
      <c r="S47" s="184"/>
      <c r="T47" s="161">
        <f t="shared" si="20"/>
        <v>556</v>
      </c>
      <c r="U47" s="248">
        <f t="shared" si="20"/>
        <v>672</v>
      </c>
      <c r="V47" s="162">
        <f t="shared" si="20"/>
        <v>798</v>
      </c>
      <c r="W47" s="261"/>
      <c r="X47" s="250">
        <f>INT(X37*1.05)</f>
        <v>955</v>
      </c>
    </row>
    <row r="48" ht="21" customHeight="1" spans="1:24">
      <c r="A48" s="1476" t="s">
        <v>150</v>
      </c>
      <c r="B48" s="176"/>
      <c r="C48" s="1477">
        <f t="shared" ref="C48:Z48" si="21">INT(C37*1.3)</f>
        <v>58</v>
      </c>
      <c r="D48" s="366">
        <f t="shared" si="21"/>
        <v>70</v>
      </c>
      <c r="E48" s="88">
        <f t="shared" si="21"/>
        <v>81</v>
      </c>
      <c r="F48" s="88">
        <f t="shared" si="21"/>
        <v>93</v>
      </c>
      <c r="G48" s="88">
        <f t="shared" si="21"/>
        <v>117</v>
      </c>
      <c r="H48" s="88">
        <f t="shared" si="21"/>
        <v>140</v>
      </c>
      <c r="I48" s="88">
        <f t="shared" si="21"/>
        <v>163</v>
      </c>
      <c r="J48" s="88">
        <f t="shared" si="21"/>
        <v>198</v>
      </c>
      <c r="K48" s="199">
        <f t="shared" si="21"/>
        <v>234</v>
      </c>
      <c r="L48" s="398">
        <f t="shared" si="21"/>
        <v>0</v>
      </c>
      <c r="M48" s="727">
        <f t="shared" si="21"/>
        <v>269</v>
      </c>
      <c r="N48" s="400">
        <f t="shared" si="21"/>
        <v>0</v>
      </c>
      <c r="O48" s="382">
        <f t="shared" si="21"/>
        <v>338</v>
      </c>
      <c r="P48" s="383">
        <f t="shared" si="21"/>
        <v>442</v>
      </c>
      <c r="Q48" s="400">
        <f t="shared" si="21"/>
        <v>0</v>
      </c>
      <c r="R48" s="416">
        <f t="shared" si="21"/>
        <v>559</v>
      </c>
      <c r="S48" s="400">
        <f t="shared" si="21"/>
        <v>0</v>
      </c>
      <c r="T48" s="382">
        <f t="shared" si="21"/>
        <v>689</v>
      </c>
      <c r="U48" s="417">
        <f t="shared" si="21"/>
        <v>832</v>
      </c>
      <c r="V48" s="383">
        <f t="shared" si="21"/>
        <v>988</v>
      </c>
      <c r="W48" s="431">
        <f t="shared" si="21"/>
        <v>0</v>
      </c>
      <c r="X48" s="418">
        <f t="shared" si="21"/>
        <v>1183</v>
      </c>
    </row>
    <row r="49" ht="21" customHeight="1" spans="1:24">
      <c r="A49" s="115" t="s">
        <v>151</v>
      </c>
      <c r="B49" s="37"/>
      <c r="C49" s="116">
        <f t="shared" ref="C49:Z49" si="22">INT(C38*1.1)</f>
        <v>55</v>
      </c>
      <c r="D49" s="117">
        <f t="shared" si="22"/>
        <v>66</v>
      </c>
      <c r="E49" s="117">
        <f t="shared" si="22"/>
        <v>77</v>
      </c>
      <c r="F49" s="117">
        <f t="shared" si="22"/>
        <v>88</v>
      </c>
      <c r="G49" s="117">
        <f t="shared" si="22"/>
        <v>110</v>
      </c>
      <c r="H49" s="117">
        <f t="shared" si="22"/>
        <v>132</v>
      </c>
      <c r="I49" s="117">
        <f t="shared" si="22"/>
        <v>154</v>
      </c>
      <c r="J49" s="117">
        <f t="shared" si="22"/>
        <v>187</v>
      </c>
      <c r="K49" s="211">
        <f t="shared" si="22"/>
        <v>220</v>
      </c>
      <c r="L49" s="212">
        <f t="shared" si="22"/>
        <v>0</v>
      </c>
      <c r="M49" s="579">
        <f t="shared" si="22"/>
        <v>253</v>
      </c>
      <c r="N49" s="214">
        <f t="shared" si="22"/>
        <v>0</v>
      </c>
      <c r="O49" s="386">
        <f t="shared" si="22"/>
        <v>308</v>
      </c>
      <c r="P49" s="387">
        <f t="shared" si="22"/>
        <v>396</v>
      </c>
      <c r="Q49" s="214">
        <f t="shared" si="22"/>
        <v>0</v>
      </c>
      <c r="R49" s="420">
        <f t="shared" si="22"/>
        <v>506</v>
      </c>
      <c r="S49" s="214">
        <f t="shared" si="22"/>
        <v>0</v>
      </c>
      <c r="T49" s="386">
        <f t="shared" si="22"/>
        <v>627</v>
      </c>
      <c r="U49" s="421">
        <f t="shared" si="22"/>
        <v>759</v>
      </c>
      <c r="V49" s="387">
        <f t="shared" si="22"/>
        <v>902</v>
      </c>
      <c r="W49" s="291">
        <f t="shared" si="22"/>
        <v>0</v>
      </c>
      <c r="X49" s="422">
        <f t="shared" si="22"/>
        <v>1056</v>
      </c>
    </row>
    <row r="50" ht="21" customHeight="1" spans="1:24">
      <c r="A50" s="1049" t="s">
        <v>152</v>
      </c>
      <c r="B50" s="122"/>
      <c r="C50" s="87">
        <f t="shared" ref="C50:Z50" si="23">INT(C39*1.5)</f>
        <v>75</v>
      </c>
      <c r="D50" s="88">
        <f t="shared" si="23"/>
        <v>90</v>
      </c>
      <c r="E50" s="88">
        <f t="shared" si="23"/>
        <v>105</v>
      </c>
      <c r="F50" s="88">
        <f t="shared" si="23"/>
        <v>120</v>
      </c>
      <c r="G50" s="88">
        <f t="shared" si="23"/>
        <v>150</v>
      </c>
      <c r="H50" s="88">
        <f t="shared" si="23"/>
        <v>180</v>
      </c>
      <c r="I50" s="88">
        <f t="shared" si="23"/>
        <v>210</v>
      </c>
      <c r="J50" s="88">
        <f t="shared" si="23"/>
        <v>255</v>
      </c>
      <c r="K50" s="199">
        <f t="shared" si="23"/>
        <v>300</v>
      </c>
      <c r="L50" s="217">
        <f t="shared" si="23"/>
        <v>0</v>
      </c>
      <c r="M50" s="218">
        <f t="shared" si="23"/>
        <v>345</v>
      </c>
      <c r="N50" s="219">
        <f t="shared" si="23"/>
        <v>0</v>
      </c>
      <c r="O50" s="203">
        <f t="shared" si="23"/>
        <v>420</v>
      </c>
      <c r="P50" s="204">
        <f t="shared" si="23"/>
        <v>540</v>
      </c>
      <c r="Q50" s="219">
        <f t="shared" si="23"/>
        <v>0</v>
      </c>
      <c r="R50" s="272">
        <f t="shared" si="23"/>
        <v>675</v>
      </c>
      <c r="S50" s="219">
        <f t="shared" si="23"/>
        <v>0</v>
      </c>
      <c r="T50" s="203">
        <f t="shared" si="23"/>
        <v>825</v>
      </c>
      <c r="U50" s="273">
        <f t="shared" si="23"/>
        <v>990</v>
      </c>
      <c r="V50" s="204">
        <f t="shared" si="23"/>
        <v>1170</v>
      </c>
      <c r="W50" s="295">
        <f t="shared" si="23"/>
        <v>0</v>
      </c>
      <c r="X50" s="275">
        <f t="shared" si="23"/>
        <v>1350</v>
      </c>
    </row>
    <row r="51" ht="21" customHeight="1" spans="1:24">
      <c r="A51" s="805" t="s">
        <v>153</v>
      </c>
      <c r="B51" s="73"/>
      <c r="C51" s="75">
        <f t="shared" ref="C51:Z51" si="24">INT(C40*1.45)</f>
        <v>72</v>
      </c>
      <c r="D51" s="76">
        <f t="shared" si="24"/>
        <v>87</v>
      </c>
      <c r="E51" s="76">
        <f t="shared" si="24"/>
        <v>101</v>
      </c>
      <c r="F51" s="76">
        <f t="shared" si="24"/>
        <v>116</v>
      </c>
      <c r="G51" s="76">
        <f t="shared" si="24"/>
        <v>145</v>
      </c>
      <c r="H51" s="76">
        <f t="shared" si="24"/>
        <v>174</v>
      </c>
      <c r="I51" s="76">
        <f t="shared" si="24"/>
        <v>203</v>
      </c>
      <c r="J51" s="76">
        <f t="shared" si="24"/>
        <v>246</v>
      </c>
      <c r="K51" s="182">
        <f t="shared" si="24"/>
        <v>290</v>
      </c>
      <c r="L51" s="212">
        <f t="shared" si="24"/>
        <v>0</v>
      </c>
      <c r="M51" s="197">
        <f t="shared" si="24"/>
        <v>333</v>
      </c>
      <c r="N51" s="214">
        <f t="shared" si="24"/>
        <v>0</v>
      </c>
      <c r="O51" s="161">
        <f t="shared" si="24"/>
        <v>406</v>
      </c>
      <c r="P51" s="162">
        <f t="shared" si="24"/>
        <v>522</v>
      </c>
      <c r="Q51" s="214">
        <f t="shared" si="24"/>
        <v>0</v>
      </c>
      <c r="R51" s="247">
        <f t="shared" si="24"/>
        <v>652</v>
      </c>
      <c r="S51" s="214">
        <f t="shared" si="24"/>
        <v>0</v>
      </c>
      <c r="T51" s="161">
        <f t="shared" si="24"/>
        <v>797</v>
      </c>
      <c r="U51" s="248">
        <f t="shared" si="24"/>
        <v>957</v>
      </c>
      <c r="V51" s="162">
        <f t="shared" si="24"/>
        <v>1131</v>
      </c>
      <c r="W51" s="291">
        <f t="shared" si="24"/>
        <v>0</v>
      </c>
      <c r="X51" s="250">
        <f t="shared" si="24"/>
        <v>1305</v>
      </c>
    </row>
    <row r="52" ht="21" customHeight="1" spans="1:24">
      <c r="A52" s="59" t="s">
        <v>18</v>
      </c>
      <c r="B52" s="60"/>
      <c r="C52" s="61">
        <v>0</v>
      </c>
      <c r="D52" s="62">
        <v>1</v>
      </c>
      <c r="E52" s="62">
        <v>2</v>
      </c>
      <c r="F52" s="63">
        <v>3</v>
      </c>
      <c r="G52" s="62">
        <v>4</v>
      </c>
      <c r="H52" s="64">
        <v>5</v>
      </c>
      <c r="I52" s="62">
        <v>6</v>
      </c>
      <c r="J52" s="174">
        <v>7</v>
      </c>
      <c r="K52" s="175">
        <v>8</v>
      </c>
      <c r="L52" s="832" t="s">
        <v>154</v>
      </c>
      <c r="M52" s="833"/>
      <c r="N52" s="833"/>
      <c r="O52" s="833"/>
      <c r="P52" s="833"/>
      <c r="Q52" s="833"/>
      <c r="R52" s="833"/>
      <c r="S52" s="833"/>
      <c r="T52" s="833"/>
      <c r="U52" s="833"/>
      <c r="V52" s="833"/>
      <c r="W52" s="833"/>
      <c r="X52" s="846"/>
    </row>
    <row r="53" ht="21" customHeight="1" spans="1:24">
      <c r="A53" s="65" t="s">
        <v>137</v>
      </c>
      <c r="B53" s="65"/>
      <c r="C53" s="66">
        <v>3</v>
      </c>
      <c r="D53" s="67">
        <v>2.9</v>
      </c>
      <c r="E53" s="67">
        <v>2.8</v>
      </c>
      <c r="F53" s="93">
        <v>2.7</v>
      </c>
      <c r="G53" s="67">
        <v>2.6</v>
      </c>
      <c r="H53" s="69">
        <v>2.4</v>
      </c>
      <c r="I53" s="67">
        <v>2.2</v>
      </c>
      <c r="J53" s="178">
        <v>2</v>
      </c>
      <c r="K53" s="378">
        <v>1.8</v>
      </c>
      <c r="L53" s="86" t="s">
        <v>155</v>
      </c>
      <c r="M53" s="205"/>
      <c r="N53" s="205"/>
      <c r="O53" s="205"/>
      <c r="P53" s="205"/>
      <c r="Q53" s="205"/>
      <c r="R53" s="205"/>
      <c r="S53" s="205"/>
      <c r="T53" s="205"/>
      <c r="U53" s="205"/>
      <c r="V53" s="205"/>
      <c r="W53" s="205"/>
      <c r="X53" s="276"/>
    </row>
    <row r="54" ht="21" customHeight="1" spans="1:24">
      <c r="A54" s="25" t="s">
        <v>138</v>
      </c>
      <c r="B54" s="25"/>
      <c r="C54" s="89">
        <v>2.5</v>
      </c>
      <c r="D54" s="90">
        <v>2.45</v>
      </c>
      <c r="E54" s="90">
        <v>2.4</v>
      </c>
      <c r="F54" s="91">
        <v>2.35</v>
      </c>
      <c r="G54" s="90">
        <v>2.3</v>
      </c>
      <c r="H54" s="92">
        <v>2.25</v>
      </c>
      <c r="I54" s="90">
        <v>2.2</v>
      </c>
      <c r="J54" s="206">
        <v>2.15</v>
      </c>
      <c r="K54" s="658">
        <v>1.95</v>
      </c>
      <c r="L54" s="86" t="s">
        <v>156</v>
      </c>
      <c r="M54" s="205"/>
      <c r="N54" s="205"/>
      <c r="O54" s="205"/>
      <c r="P54" s="205"/>
      <c r="Q54" s="205"/>
      <c r="R54" s="205"/>
      <c r="S54" s="205"/>
      <c r="T54" s="205"/>
      <c r="U54" s="205"/>
      <c r="V54" s="205"/>
      <c r="W54" s="205"/>
      <c r="X54" s="276"/>
    </row>
    <row r="55" ht="21" customHeight="1" spans="1:24">
      <c r="A55" s="617" t="s">
        <v>139</v>
      </c>
      <c r="B55" s="617"/>
      <c r="C55" s="66">
        <v>2.5</v>
      </c>
      <c r="D55" s="67">
        <v>2.45</v>
      </c>
      <c r="E55" s="67">
        <v>2.4</v>
      </c>
      <c r="F55" s="93">
        <v>2.35</v>
      </c>
      <c r="G55" s="67">
        <v>2.3</v>
      </c>
      <c r="H55" s="69">
        <v>2.25</v>
      </c>
      <c r="I55" s="67">
        <v>2.2</v>
      </c>
      <c r="J55" s="178">
        <v>2.1</v>
      </c>
      <c r="K55" s="378">
        <v>1.95</v>
      </c>
      <c r="L55" s="86" t="s">
        <v>157</v>
      </c>
      <c r="M55" s="205"/>
      <c r="N55" s="205"/>
      <c r="O55" s="205"/>
      <c r="P55" s="205"/>
      <c r="Q55" s="205"/>
      <c r="R55" s="205"/>
      <c r="S55" s="205"/>
      <c r="T55" s="205"/>
      <c r="U55" s="205"/>
      <c r="V55" s="205"/>
      <c r="W55" s="205"/>
      <c r="X55" s="276"/>
    </row>
    <row r="56" ht="21" customHeight="1" spans="1:24">
      <c r="A56" s="94" t="s">
        <v>140</v>
      </c>
      <c r="B56" s="94"/>
      <c r="C56" s="89">
        <v>2.15</v>
      </c>
      <c r="D56" s="90">
        <v>2.1</v>
      </c>
      <c r="E56" s="90">
        <v>2.05</v>
      </c>
      <c r="F56" s="91">
        <v>2</v>
      </c>
      <c r="G56" s="90">
        <v>1.95</v>
      </c>
      <c r="H56" s="92">
        <v>1.9</v>
      </c>
      <c r="I56" s="90">
        <v>1.85</v>
      </c>
      <c r="J56" s="206">
        <v>1.8</v>
      </c>
      <c r="K56" s="207">
        <v>1.6</v>
      </c>
      <c r="L56" s="86" t="s">
        <v>158</v>
      </c>
      <c r="M56" s="205"/>
      <c r="N56" s="205"/>
      <c r="O56" s="205"/>
      <c r="P56" s="205"/>
      <c r="Q56" s="205"/>
      <c r="R56" s="205"/>
      <c r="S56" s="205"/>
      <c r="T56" s="205"/>
      <c r="U56" s="205"/>
      <c r="V56" s="205"/>
      <c r="W56" s="205"/>
      <c r="X56" s="276"/>
    </row>
    <row r="57" ht="21" customHeight="1" spans="1:24">
      <c r="A57" s="65" t="s">
        <v>141</v>
      </c>
      <c r="B57" s="65"/>
      <c r="C57" s="66">
        <v>2.2</v>
      </c>
      <c r="D57" s="67">
        <v>2.15</v>
      </c>
      <c r="E57" s="67">
        <v>2.1</v>
      </c>
      <c r="F57" s="93">
        <v>2.05</v>
      </c>
      <c r="G57" s="67">
        <v>2</v>
      </c>
      <c r="H57" s="69">
        <v>1.95</v>
      </c>
      <c r="I57" s="67">
        <v>1.9</v>
      </c>
      <c r="J57" s="178">
        <v>1.85</v>
      </c>
      <c r="K57" s="378">
        <v>1.75</v>
      </c>
      <c r="L57" s="86" t="s">
        <v>159</v>
      </c>
      <c r="M57" s="205"/>
      <c r="N57" s="205"/>
      <c r="O57" s="205"/>
      <c r="P57" s="205"/>
      <c r="Q57" s="205"/>
      <c r="R57" s="205"/>
      <c r="S57" s="205"/>
      <c r="T57" s="205"/>
      <c r="U57" s="205"/>
      <c r="V57" s="205"/>
      <c r="W57" s="205"/>
      <c r="X57" s="276"/>
    </row>
    <row r="58" ht="21" customHeight="1" spans="1:24">
      <c r="A58" s="25" t="s">
        <v>142</v>
      </c>
      <c r="B58" s="25"/>
      <c r="C58" s="89">
        <v>2.2</v>
      </c>
      <c r="D58" s="90">
        <v>2.15</v>
      </c>
      <c r="E58" s="90">
        <v>2.1</v>
      </c>
      <c r="F58" s="91">
        <v>2.05</v>
      </c>
      <c r="G58" s="90">
        <v>2</v>
      </c>
      <c r="H58" s="92">
        <v>1.95</v>
      </c>
      <c r="I58" s="90">
        <v>1.9</v>
      </c>
      <c r="J58" s="206">
        <v>1.85</v>
      </c>
      <c r="K58" s="207">
        <v>1.75</v>
      </c>
      <c r="L58" s="86" t="s">
        <v>160</v>
      </c>
      <c r="M58" s="205"/>
      <c r="N58" s="205"/>
      <c r="O58" s="205"/>
      <c r="P58" s="205"/>
      <c r="Q58" s="205"/>
      <c r="R58" s="205"/>
      <c r="S58" s="205"/>
      <c r="T58" s="205"/>
      <c r="U58" s="205"/>
      <c r="V58" s="205"/>
      <c r="W58" s="205"/>
      <c r="X58" s="276"/>
    </row>
    <row r="59" ht="21" customHeight="1" spans="1:24">
      <c r="A59" s="617" t="s">
        <v>143</v>
      </c>
      <c r="B59" s="617"/>
      <c r="C59" s="66">
        <v>2</v>
      </c>
      <c r="D59" s="67">
        <v>1.95</v>
      </c>
      <c r="E59" s="67">
        <v>1.9</v>
      </c>
      <c r="F59" s="93">
        <v>1.85</v>
      </c>
      <c r="G59" s="67">
        <v>1.8</v>
      </c>
      <c r="H59" s="69">
        <v>1.75</v>
      </c>
      <c r="I59" s="67">
        <v>1.7</v>
      </c>
      <c r="J59" s="178">
        <v>1.65</v>
      </c>
      <c r="K59" s="378">
        <v>1.6</v>
      </c>
      <c r="L59" s="86" t="s">
        <v>161</v>
      </c>
      <c r="M59" s="205"/>
      <c r="N59" s="205"/>
      <c r="O59" s="205"/>
      <c r="P59" s="205"/>
      <c r="Q59" s="205"/>
      <c r="R59" s="205"/>
      <c r="S59" s="205"/>
      <c r="T59" s="205"/>
      <c r="U59" s="205"/>
      <c r="V59" s="205"/>
      <c r="W59" s="205"/>
      <c r="X59" s="276"/>
    </row>
    <row r="60" ht="21" customHeight="1" spans="1:24">
      <c r="A60" s="1478" t="s">
        <v>162</v>
      </c>
      <c r="B60" s="1478"/>
      <c r="C60" s="1479">
        <v>1.3</v>
      </c>
      <c r="D60" s="1480">
        <v>1.25</v>
      </c>
      <c r="E60" s="1480">
        <v>1.2</v>
      </c>
      <c r="F60" s="1479">
        <v>1.15</v>
      </c>
      <c r="G60" s="1480">
        <v>1.1</v>
      </c>
      <c r="H60" s="1479">
        <v>1.05</v>
      </c>
      <c r="I60" s="1480">
        <v>1</v>
      </c>
      <c r="J60" s="1479">
        <v>0.9</v>
      </c>
      <c r="K60" s="1479">
        <v>0.8</v>
      </c>
      <c r="L60" s="734" t="s">
        <v>163</v>
      </c>
      <c r="M60" s="1124"/>
      <c r="N60" s="1124"/>
      <c r="O60" s="1124"/>
      <c r="P60" s="1124"/>
      <c r="Q60" s="1124"/>
      <c r="R60" s="1124"/>
      <c r="S60" s="1124"/>
      <c r="T60" s="1124"/>
      <c r="U60" s="1124"/>
      <c r="V60" s="1124"/>
      <c r="W60" s="1124"/>
      <c r="X60" s="1148"/>
    </row>
    <row r="61" ht="21" customHeight="1" spans="1:24">
      <c r="A61" s="617" t="s">
        <v>144</v>
      </c>
      <c r="B61" s="617"/>
      <c r="C61" s="66">
        <v>2.2</v>
      </c>
      <c r="D61" s="67">
        <v>2.15</v>
      </c>
      <c r="E61" s="67">
        <v>2.1</v>
      </c>
      <c r="F61" s="93">
        <v>2.05</v>
      </c>
      <c r="G61" s="67">
        <v>2</v>
      </c>
      <c r="H61" s="69">
        <v>1.95</v>
      </c>
      <c r="I61" s="67">
        <v>1.9</v>
      </c>
      <c r="J61" s="178">
        <v>1.85</v>
      </c>
      <c r="K61" s="378">
        <v>1.75</v>
      </c>
      <c r="L61" s="176" t="s">
        <v>164</v>
      </c>
      <c r="M61" s="177"/>
      <c r="N61" s="177"/>
      <c r="O61" s="177"/>
      <c r="P61" s="177"/>
      <c r="Q61" s="177"/>
      <c r="R61" s="177"/>
      <c r="S61" s="177"/>
      <c r="T61" s="177"/>
      <c r="U61" s="177"/>
      <c r="V61" s="177"/>
      <c r="W61" s="177"/>
      <c r="X61" s="258"/>
    </row>
    <row r="62" ht="21" customHeight="1" spans="1:24">
      <c r="A62" s="176" t="s">
        <v>165</v>
      </c>
      <c r="B62" s="177"/>
      <c r="C62" s="177"/>
      <c r="D62" s="177"/>
      <c r="E62" s="177"/>
      <c r="F62" s="177"/>
      <c r="G62" s="177"/>
      <c r="H62" s="177"/>
      <c r="I62" s="177"/>
      <c r="J62" s="177"/>
      <c r="K62" s="177"/>
      <c r="L62" s="177"/>
      <c r="M62" s="177"/>
      <c r="N62" s="177"/>
      <c r="O62" s="177"/>
      <c r="P62" s="177"/>
      <c r="Q62" s="177"/>
      <c r="R62" s="177"/>
      <c r="S62" s="177"/>
      <c r="T62" s="177"/>
      <c r="U62" s="177"/>
      <c r="V62" s="177"/>
      <c r="W62" s="177"/>
      <c r="X62" s="258"/>
    </row>
    <row r="63" ht="21" customHeight="1" spans="1:24">
      <c r="A63" s="622" t="s">
        <v>69</v>
      </c>
      <c r="B63" s="622"/>
      <c r="C63" s="622"/>
      <c r="D63" s="622"/>
      <c r="E63" s="622"/>
      <c r="F63" s="622"/>
      <c r="G63" s="622"/>
      <c r="H63" s="622"/>
      <c r="I63" s="622"/>
      <c r="J63" s="622"/>
      <c r="K63" s="622"/>
      <c r="L63" s="622"/>
      <c r="M63" s="622"/>
      <c r="N63" s="622"/>
      <c r="O63" s="622"/>
      <c r="P63" s="622"/>
      <c r="Q63" s="622"/>
      <c r="R63" s="622"/>
      <c r="S63" s="622"/>
      <c r="T63" s="622"/>
      <c r="U63" s="622"/>
      <c r="V63" s="622"/>
      <c r="W63" s="622"/>
      <c r="X63" s="622"/>
    </row>
    <row r="64" ht="21" customHeight="1" spans="1:24">
      <c r="A64" s="1468" t="s">
        <v>166</v>
      </c>
      <c r="B64" s="1438"/>
      <c r="C64" s="1469">
        <f t="shared" ref="C64:K64" si="25">INT(INT(C35*1.1)*1.15)</f>
        <v>63</v>
      </c>
      <c r="D64" s="1470">
        <f t="shared" si="25"/>
        <v>75</v>
      </c>
      <c r="E64" s="1470">
        <f t="shared" si="25"/>
        <v>88</v>
      </c>
      <c r="F64" s="1470">
        <f t="shared" si="25"/>
        <v>101</v>
      </c>
      <c r="G64" s="1470">
        <f t="shared" si="25"/>
        <v>126</v>
      </c>
      <c r="H64" s="1470">
        <f t="shared" si="25"/>
        <v>151</v>
      </c>
      <c r="I64" s="1470">
        <f t="shared" si="25"/>
        <v>177</v>
      </c>
      <c r="J64" s="1470">
        <f t="shared" si="25"/>
        <v>215</v>
      </c>
      <c r="K64" s="1481">
        <f t="shared" si="25"/>
        <v>253</v>
      </c>
      <c r="L64" s="1482"/>
      <c r="M64" s="813">
        <f t="shared" ref="M64:P64" si="26">INT(INT(M35*1.1)*1.15)</f>
        <v>290</v>
      </c>
      <c r="N64" s="814"/>
      <c r="O64" s="815">
        <f t="shared" si="26"/>
        <v>354</v>
      </c>
      <c r="P64" s="816">
        <f t="shared" si="26"/>
        <v>455</v>
      </c>
      <c r="Q64" s="814"/>
      <c r="R64" s="841">
        <f t="shared" ref="R64:V64" si="27">INT(INT(R35*1.1)*1.15)</f>
        <v>569</v>
      </c>
      <c r="S64" s="814"/>
      <c r="T64" s="815">
        <f t="shared" si="27"/>
        <v>695</v>
      </c>
      <c r="U64" s="842">
        <f t="shared" si="27"/>
        <v>834</v>
      </c>
      <c r="V64" s="816">
        <f t="shared" si="27"/>
        <v>986</v>
      </c>
      <c r="W64" s="843"/>
      <c r="X64" s="844">
        <f>INT(INT(X35*1.1)*1.15)</f>
        <v>1138</v>
      </c>
    </row>
    <row r="65" ht="21" customHeight="1" spans="1:24">
      <c r="A65" s="923" t="s">
        <v>167</v>
      </c>
      <c r="B65" s="315"/>
      <c r="C65" s="323">
        <f t="shared" ref="C65:K65" si="28">INT(INT(C36*1.1)*1.15)</f>
        <v>63</v>
      </c>
      <c r="D65" s="324">
        <f t="shared" si="28"/>
        <v>75</v>
      </c>
      <c r="E65" s="324">
        <f t="shared" si="28"/>
        <v>88</v>
      </c>
      <c r="F65" s="324">
        <f t="shared" si="28"/>
        <v>101</v>
      </c>
      <c r="G65" s="324">
        <f t="shared" si="28"/>
        <v>126</v>
      </c>
      <c r="H65" s="324">
        <f t="shared" si="28"/>
        <v>151</v>
      </c>
      <c r="I65" s="324">
        <f t="shared" si="28"/>
        <v>177</v>
      </c>
      <c r="J65" s="324">
        <f t="shared" si="28"/>
        <v>215</v>
      </c>
      <c r="K65" s="363">
        <f t="shared" si="28"/>
        <v>253</v>
      </c>
      <c r="L65" s="364"/>
      <c r="M65" s="143">
        <f t="shared" ref="M65:P65" si="29">INT(INT(M36*1.1)*1.15)</f>
        <v>290</v>
      </c>
      <c r="N65" s="144"/>
      <c r="O65" s="145">
        <f t="shared" si="29"/>
        <v>354</v>
      </c>
      <c r="P65" s="146">
        <f t="shared" si="29"/>
        <v>455</v>
      </c>
      <c r="Q65" s="144"/>
      <c r="R65" s="238">
        <f t="shared" ref="R65:V65" si="30">INT(INT(R36*1.1)*1.15)</f>
        <v>581</v>
      </c>
      <c r="S65" s="144"/>
      <c r="T65" s="145">
        <f t="shared" si="30"/>
        <v>721</v>
      </c>
      <c r="U65" s="239">
        <f t="shared" si="30"/>
        <v>872</v>
      </c>
      <c r="V65" s="146">
        <f t="shared" si="30"/>
        <v>1037</v>
      </c>
      <c r="W65" s="240"/>
      <c r="X65" s="241">
        <f>INT(INT(X36*1.1)*1.15)</f>
        <v>1227</v>
      </c>
    </row>
    <row r="66" ht="21" customHeight="1" spans="1:24">
      <c r="A66" s="1468" t="s">
        <v>168</v>
      </c>
      <c r="B66" s="1438"/>
      <c r="C66" s="1469">
        <f t="shared" ref="C66:K66" si="31">INT(INT(C46*1.1)*1.15)</f>
        <v>83</v>
      </c>
      <c r="D66" s="1470">
        <f t="shared" si="31"/>
        <v>102</v>
      </c>
      <c r="E66" s="1470">
        <f t="shared" si="31"/>
        <v>118</v>
      </c>
      <c r="F66" s="1470">
        <f t="shared" si="31"/>
        <v>135</v>
      </c>
      <c r="G66" s="1470">
        <f t="shared" si="31"/>
        <v>170</v>
      </c>
      <c r="H66" s="1470">
        <f t="shared" si="31"/>
        <v>204</v>
      </c>
      <c r="I66" s="1470">
        <f t="shared" si="31"/>
        <v>238</v>
      </c>
      <c r="J66" s="1470">
        <f t="shared" si="31"/>
        <v>288</v>
      </c>
      <c r="K66" s="1481">
        <f t="shared" si="31"/>
        <v>341</v>
      </c>
      <c r="L66" s="1482"/>
      <c r="M66" s="813">
        <f t="shared" ref="M66:P66" si="32">INT(INT(M46*1.1)*1.15)</f>
        <v>392</v>
      </c>
      <c r="N66" s="814"/>
      <c r="O66" s="815">
        <f t="shared" si="32"/>
        <v>477</v>
      </c>
      <c r="P66" s="816">
        <f t="shared" si="32"/>
        <v>614</v>
      </c>
      <c r="Q66" s="814"/>
      <c r="R66" s="841">
        <f t="shared" ref="R66:V66" si="33">INT(INT(R46*1.1)*1.15)</f>
        <v>785</v>
      </c>
      <c r="S66" s="814"/>
      <c r="T66" s="815">
        <f t="shared" si="33"/>
        <v>971</v>
      </c>
      <c r="U66" s="842">
        <f t="shared" si="33"/>
        <v>1177</v>
      </c>
      <c r="V66" s="816">
        <f t="shared" si="33"/>
        <v>1399</v>
      </c>
      <c r="W66" s="843"/>
      <c r="X66" s="844">
        <f>INT(INT(X46*1.1)*1.15)</f>
        <v>1654</v>
      </c>
    </row>
    <row r="67" ht="21" customHeight="1" spans="1:24">
      <c r="A67" s="59" t="s">
        <v>18</v>
      </c>
      <c r="B67" s="60"/>
      <c r="C67" s="61">
        <v>0</v>
      </c>
      <c r="D67" s="62">
        <v>1</v>
      </c>
      <c r="E67" s="62">
        <v>2</v>
      </c>
      <c r="F67" s="63">
        <v>3</v>
      </c>
      <c r="G67" s="62">
        <v>4</v>
      </c>
      <c r="H67" s="64">
        <v>5</v>
      </c>
      <c r="I67" s="62">
        <v>6</v>
      </c>
      <c r="J67" s="174">
        <v>7</v>
      </c>
      <c r="K67" s="175">
        <v>8</v>
      </c>
      <c r="L67" s="86" t="s">
        <v>169</v>
      </c>
      <c r="M67" s="205"/>
      <c r="N67" s="205"/>
      <c r="O67" s="205"/>
      <c r="P67" s="205"/>
      <c r="Q67" s="205"/>
      <c r="R67" s="205"/>
      <c r="S67" s="205"/>
      <c r="T67" s="205"/>
      <c r="U67" s="205"/>
      <c r="V67" s="205"/>
      <c r="W67" s="205"/>
      <c r="X67" s="276"/>
    </row>
    <row r="68" ht="21" customHeight="1" spans="1:24">
      <c r="A68" s="943" t="s">
        <v>170</v>
      </c>
      <c r="B68" s="25"/>
      <c r="C68" s="89">
        <v>2.85</v>
      </c>
      <c r="D68" s="90">
        <v>2.8</v>
      </c>
      <c r="E68" s="90">
        <v>2.7</v>
      </c>
      <c r="F68" s="91">
        <v>2.6</v>
      </c>
      <c r="G68" s="90">
        <v>2.5</v>
      </c>
      <c r="H68" s="92">
        <v>2.3</v>
      </c>
      <c r="I68" s="90">
        <v>2.1</v>
      </c>
      <c r="J68" s="206">
        <v>1.9</v>
      </c>
      <c r="K68" s="207">
        <v>1.75</v>
      </c>
      <c r="L68" s="25" t="s">
        <v>171</v>
      </c>
      <c r="M68" s="25"/>
      <c r="N68" s="25"/>
      <c r="O68" s="25"/>
      <c r="P68" s="25"/>
      <c r="Q68" s="25"/>
      <c r="R68" s="25"/>
      <c r="S68" s="25"/>
      <c r="T68" s="25"/>
      <c r="U68" s="25"/>
      <c r="V68" s="25"/>
      <c r="W68" s="25"/>
      <c r="X68" s="25"/>
    </row>
    <row r="69" ht="21" customHeight="1" spans="1:24">
      <c r="A69" s="1487" t="s">
        <v>172</v>
      </c>
      <c r="B69" s="65"/>
      <c r="C69" s="66">
        <v>2.7</v>
      </c>
      <c r="D69" s="67">
        <v>2.65</v>
      </c>
      <c r="E69" s="67">
        <v>2.55</v>
      </c>
      <c r="F69" s="93">
        <v>2.45</v>
      </c>
      <c r="G69" s="67">
        <v>2.35</v>
      </c>
      <c r="H69" s="69">
        <v>2.2</v>
      </c>
      <c r="I69" s="67">
        <v>2</v>
      </c>
      <c r="J69" s="178">
        <v>1.8</v>
      </c>
      <c r="K69" s="378">
        <v>1.65</v>
      </c>
      <c r="L69" s="25" t="s">
        <v>173</v>
      </c>
      <c r="M69" s="25"/>
      <c r="N69" s="25"/>
      <c r="O69" s="25"/>
      <c r="P69" s="25"/>
      <c r="Q69" s="25"/>
      <c r="R69" s="25"/>
      <c r="S69" s="25"/>
      <c r="T69" s="25"/>
      <c r="U69" s="25"/>
      <c r="V69" s="25"/>
      <c r="W69" s="25"/>
      <c r="X69" s="25"/>
    </row>
    <row r="70" ht="21" customHeight="1" spans="1:24">
      <c r="A70" s="943" t="s">
        <v>166</v>
      </c>
      <c r="B70" s="25"/>
      <c r="C70" s="89">
        <v>2.55</v>
      </c>
      <c r="D70" s="90">
        <v>2.55</v>
      </c>
      <c r="E70" s="90">
        <v>2.45</v>
      </c>
      <c r="F70" s="91">
        <v>2.35</v>
      </c>
      <c r="G70" s="90">
        <v>2.25</v>
      </c>
      <c r="H70" s="92">
        <v>2.1</v>
      </c>
      <c r="I70" s="90">
        <v>1.9</v>
      </c>
      <c r="J70" s="206">
        <v>1.7</v>
      </c>
      <c r="K70" s="207">
        <v>1.6</v>
      </c>
      <c r="L70" s="25" t="s">
        <v>174</v>
      </c>
      <c r="M70" s="25"/>
      <c r="N70" s="25"/>
      <c r="O70" s="25"/>
      <c r="P70" s="25"/>
      <c r="Q70" s="25"/>
      <c r="R70" s="25"/>
      <c r="S70" s="25"/>
      <c r="T70" s="25"/>
      <c r="U70" s="25"/>
      <c r="V70" s="25"/>
      <c r="W70" s="25"/>
      <c r="X70" s="25"/>
    </row>
    <row r="71" ht="21" customHeight="1" spans="1:24">
      <c r="A71" s="1487" t="s">
        <v>175</v>
      </c>
      <c r="B71" s="65"/>
      <c r="C71" s="66">
        <v>2.15</v>
      </c>
      <c r="D71" s="67">
        <v>2.15</v>
      </c>
      <c r="E71" s="67">
        <v>2.1</v>
      </c>
      <c r="F71" s="93">
        <v>2.05</v>
      </c>
      <c r="G71" s="67">
        <v>2</v>
      </c>
      <c r="H71" s="69">
        <v>1.95</v>
      </c>
      <c r="I71" s="67">
        <v>1.9</v>
      </c>
      <c r="J71" s="178">
        <v>1.85</v>
      </c>
      <c r="K71" s="378">
        <v>1.75</v>
      </c>
      <c r="L71" s="122" t="s">
        <v>176</v>
      </c>
      <c r="M71" s="122"/>
      <c r="N71" s="122"/>
      <c r="O71" s="122"/>
      <c r="P71" s="122"/>
      <c r="Q71" s="122"/>
      <c r="R71" s="122"/>
      <c r="S71" s="122"/>
      <c r="T71" s="122"/>
      <c r="U71" s="122"/>
      <c r="V71" s="122"/>
      <c r="W71" s="122"/>
      <c r="X71" s="122"/>
    </row>
    <row r="72" ht="21" customHeight="1" spans="1:24">
      <c r="A72" s="45"/>
      <c r="B72" s="46"/>
      <c r="C72" s="46"/>
      <c r="D72" s="46"/>
      <c r="E72" s="46"/>
      <c r="F72" s="46"/>
      <c r="G72" s="46"/>
      <c r="H72" s="46"/>
      <c r="I72" s="46"/>
      <c r="J72" s="46"/>
      <c r="K72" s="46"/>
      <c r="L72" s="46"/>
      <c r="M72" s="46"/>
      <c r="N72" s="46"/>
      <c r="O72" s="46"/>
      <c r="P72" s="46"/>
      <c r="Q72" s="46"/>
      <c r="R72" s="46"/>
      <c r="S72" s="46"/>
      <c r="T72" s="46"/>
      <c r="U72" s="46"/>
      <c r="V72" s="46"/>
      <c r="W72" s="46"/>
      <c r="X72" s="252"/>
    </row>
    <row r="73" ht="44" customHeight="1" spans="1:24">
      <c r="A73" s="15" t="str">
        <f>_xlfn.DISPIMG("ID_D5CEFD9DD61446A5A99548A08724326E",1)</f>
        <v>=DISPIMG("ID_D5CEFD9DD61446A5A99548A08724326E",1)</v>
      </c>
      <c r="B73" s="15" t="str">
        <f>_xlfn.DISPIMG("ID_9C772009BBF440F99B78D6E2DEA07372",1)</f>
        <v>=DISPIMG("ID_9C772009BBF440F99B78D6E2DEA07372",1)</v>
      </c>
      <c r="C73" s="15" t="str">
        <f>_xlfn.DISPIMG("ID_13C49E39051242129FE0AC91A4B6DA54",1)</f>
        <v>=DISPIMG("ID_13C49E39051242129FE0AC91A4B6DA54",1)</v>
      </c>
      <c r="D73" s="15" t="str">
        <f>_xlfn.DISPIMG("ID_FAA764BA28244C32B7BCEDE1D6E25A40",1)</f>
        <v>=DISPIMG("ID_FAA764BA28244C32B7BCEDE1D6E25A40",1)</v>
      </c>
      <c r="E73" s="15" t="str">
        <f>_xlfn.DISPIMG("ID_2822C223CB244B0C838A88155DCA07B4",1)</f>
        <v>=DISPIMG("ID_2822C223CB244B0C838A88155DCA07B4",1)</v>
      </c>
      <c r="F73" s="349"/>
      <c r="G73" s="51" t="s">
        <v>177</v>
      </c>
      <c r="H73" s="52"/>
      <c r="I73" s="52"/>
      <c r="J73" s="52"/>
      <c r="K73" s="52"/>
      <c r="L73" s="52"/>
      <c r="M73" s="52"/>
      <c r="N73" s="52"/>
      <c r="O73" s="167"/>
      <c r="P73" s="445" t="s">
        <v>178</v>
      </c>
      <c r="Q73" s="49"/>
      <c r="R73" s="49"/>
      <c r="S73" s="49"/>
      <c r="T73" s="49"/>
      <c r="U73" s="49"/>
      <c r="V73" s="49"/>
      <c r="W73" s="49"/>
      <c r="X73" s="50"/>
    </row>
    <row r="74" ht="21" customHeight="1" spans="1:24">
      <c r="A74" s="714"/>
      <c r="B74" s="715"/>
      <c r="C74" s="715"/>
      <c r="D74" s="715"/>
      <c r="E74" s="715"/>
      <c r="F74" s="715"/>
      <c r="G74" s="715"/>
      <c r="H74" s="715"/>
      <c r="I74" s="715"/>
      <c r="J74" s="715"/>
      <c r="K74" s="715"/>
      <c r="L74" s="715"/>
      <c r="M74" s="715"/>
      <c r="N74" s="715"/>
      <c r="O74" s="715"/>
      <c r="P74" s="715"/>
      <c r="Q74" s="715"/>
      <c r="R74" s="715"/>
      <c r="S74" s="715"/>
      <c r="T74" s="715"/>
      <c r="U74" s="715"/>
      <c r="V74" s="715"/>
      <c r="W74" s="715"/>
      <c r="X74" s="749"/>
    </row>
    <row r="75" ht="21" customHeight="1" spans="1:24">
      <c r="A75" s="21" t="s">
        <v>8</v>
      </c>
      <c r="B75" s="22"/>
      <c r="C75" s="23">
        <v>0</v>
      </c>
      <c r="D75" s="24">
        <v>1</v>
      </c>
      <c r="E75" s="24">
        <v>2</v>
      </c>
      <c r="F75" s="24">
        <v>3</v>
      </c>
      <c r="G75" s="24">
        <v>4</v>
      </c>
      <c r="H75" s="24">
        <v>5</v>
      </c>
      <c r="I75" s="24">
        <v>6</v>
      </c>
      <c r="J75" s="135">
        <v>7</v>
      </c>
      <c r="K75" s="1496">
        <v>8</v>
      </c>
      <c r="L75" s="136">
        <v>9</v>
      </c>
      <c r="M75" s="137"/>
      <c r="N75" s="138"/>
      <c r="O75" s="139">
        <v>10</v>
      </c>
      <c r="P75" s="140">
        <v>11</v>
      </c>
      <c r="Q75" s="236">
        <v>12</v>
      </c>
      <c r="R75" s="236"/>
      <c r="S75" s="236"/>
      <c r="T75" s="139">
        <v>13</v>
      </c>
      <c r="U75" s="237">
        <v>14</v>
      </c>
      <c r="V75" s="140">
        <v>15</v>
      </c>
      <c r="W75" s="137">
        <v>16</v>
      </c>
      <c r="X75" s="138"/>
    </row>
    <row r="76" ht="21" customHeight="1" spans="1:24">
      <c r="A76" s="73" t="s">
        <v>179</v>
      </c>
      <c r="B76" s="73"/>
      <c r="C76" s="75">
        <v>45</v>
      </c>
      <c r="D76" s="76">
        <v>55</v>
      </c>
      <c r="E76" s="76">
        <v>65</v>
      </c>
      <c r="F76" s="76">
        <v>70</v>
      </c>
      <c r="G76" s="76">
        <v>90</v>
      </c>
      <c r="H76" s="76">
        <v>110</v>
      </c>
      <c r="I76" s="76">
        <v>140</v>
      </c>
      <c r="J76" s="76">
        <v>170</v>
      </c>
      <c r="K76" s="182">
        <v>200</v>
      </c>
      <c r="L76" s="212"/>
      <c r="M76" s="222">
        <v>230</v>
      </c>
      <c r="N76" s="214"/>
      <c r="O76" s="161">
        <v>280</v>
      </c>
      <c r="P76" s="162">
        <v>360</v>
      </c>
      <c r="Q76" s="184"/>
      <c r="R76" s="247">
        <v>450</v>
      </c>
      <c r="S76" s="184"/>
      <c r="T76" s="161">
        <v>550</v>
      </c>
      <c r="U76" s="248">
        <v>660</v>
      </c>
      <c r="V76" s="162">
        <v>780</v>
      </c>
      <c r="W76" s="261"/>
      <c r="X76" s="250">
        <v>900</v>
      </c>
    </row>
    <row r="77" ht="21" customHeight="1" spans="1:24">
      <c r="A77" s="25" t="s">
        <v>180</v>
      </c>
      <c r="B77" s="25"/>
      <c r="C77" s="113">
        <v>50</v>
      </c>
      <c r="D77" s="307">
        <v>60</v>
      </c>
      <c r="E77" s="307">
        <v>70</v>
      </c>
      <c r="F77" s="307">
        <v>80</v>
      </c>
      <c r="G77" s="307">
        <v>100</v>
      </c>
      <c r="H77" s="307">
        <v>120</v>
      </c>
      <c r="I77" s="307">
        <v>140</v>
      </c>
      <c r="J77" s="307">
        <v>170</v>
      </c>
      <c r="K77" s="312">
        <v>200</v>
      </c>
      <c r="L77" s="506"/>
      <c r="M77" s="155">
        <v>230</v>
      </c>
      <c r="N77" s="508"/>
      <c r="O77" s="145">
        <v>280</v>
      </c>
      <c r="P77" s="146">
        <v>360</v>
      </c>
      <c r="Q77" s="508"/>
      <c r="R77" s="238">
        <v>460</v>
      </c>
      <c r="S77" s="508"/>
      <c r="T77" s="145">
        <v>570</v>
      </c>
      <c r="U77" s="239">
        <v>690</v>
      </c>
      <c r="V77" s="146">
        <v>820</v>
      </c>
      <c r="W77" s="424"/>
      <c r="X77" s="241">
        <v>960</v>
      </c>
    </row>
    <row r="78" ht="21" customHeight="1" spans="1:24">
      <c r="A78" s="1474" t="s">
        <v>145</v>
      </c>
      <c r="B78" s="1474"/>
      <c r="C78" s="1474"/>
      <c r="D78" s="1474"/>
      <c r="E78" s="1474"/>
      <c r="F78" s="1474"/>
      <c r="G78" s="1474"/>
      <c r="H78" s="1474"/>
      <c r="I78" s="1474"/>
      <c r="J78" s="1474"/>
      <c r="K78" s="1474"/>
      <c r="L78" s="1474"/>
      <c r="M78" s="1474"/>
      <c r="N78" s="1474"/>
      <c r="O78" s="1474"/>
      <c r="P78" s="1474"/>
      <c r="Q78" s="1474"/>
      <c r="R78" s="1474"/>
      <c r="S78" s="1474"/>
      <c r="T78" s="1474"/>
      <c r="U78" s="1474"/>
      <c r="V78" s="1474"/>
      <c r="W78" s="1474"/>
      <c r="X78" s="1474"/>
    </row>
    <row r="79" ht="21" customHeight="1" spans="1:24">
      <c r="A79" s="805" t="s">
        <v>181</v>
      </c>
      <c r="B79" s="73"/>
      <c r="C79" s="75">
        <f t="shared" ref="C79:Z79" si="34">INT(C76*1.25)</f>
        <v>56</v>
      </c>
      <c r="D79" s="76">
        <f t="shared" si="34"/>
        <v>68</v>
      </c>
      <c r="E79" s="76">
        <f t="shared" si="34"/>
        <v>81</v>
      </c>
      <c r="F79" s="76">
        <f t="shared" si="34"/>
        <v>87</v>
      </c>
      <c r="G79" s="76">
        <f t="shared" si="34"/>
        <v>112</v>
      </c>
      <c r="H79" s="76">
        <f t="shared" si="34"/>
        <v>137</v>
      </c>
      <c r="I79" s="76">
        <f t="shared" si="34"/>
        <v>175</v>
      </c>
      <c r="J79" s="76">
        <f t="shared" si="34"/>
        <v>212</v>
      </c>
      <c r="K79" s="182">
        <f t="shared" si="34"/>
        <v>250</v>
      </c>
      <c r="L79" s="183">
        <f t="shared" si="34"/>
        <v>0</v>
      </c>
      <c r="M79" s="159">
        <f t="shared" si="34"/>
        <v>287</v>
      </c>
      <c r="N79" s="184">
        <f t="shared" si="34"/>
        <v>0</v>
      </c>
      <c r="O79" s="161">
        <f t="shared" si="34"/>
        <v>350</v>
      </c>
      <c r="P79" s="162">
        <f t="shared" si="34"/>
        <v>450</v>
      </c>
      <c r="Q79" s="184">
        <f t="shared" si="34"/>
        <v>0</v>
      </c>
      <c r="R79" s="247">
        <f t="shared" si="34"/>
        <v>562</v>
      </c>
      <c r="S79" s="184">
        <f t="shared" si="34"/>
        <v>0</v>
      </c>
      <c r="T79" s="161">
        <f t="shared" si="34"/>
        <v>687</v>
      </c>
      <c r="U79" s="248">
        <f t="shared" si="34"/>
        <v>825</v>
      </c>
      <c r="V79" s="162">
        <f t="shared" si="34"/>
        <v>975</v>
      </c>
      <c r="W79" s="261">
        <f t="shared" si="34"/>
        <v>0</v>
      </c>
      <c r="X79" s="250">
        <f t="shared" si="34"/>
        <v>1125</v>
      </c>
    </row>
    <row r="80" ht="21" customHeight="1" spans="1:24">
      <c r="A80" s="306" t="s">
        <v>182</v>
      </c>
      <c r="B80" s="25"/>
      <c r="C80" s="113">
        <f t="shared" ref="C80:Z80" si="35">INT(C77*1.3)</f>
        <v>65</v>
      </c>
      <c r="D80" s="307">
        <f t="shared" si="35"/>
        <v>78</v>
      </c>
      <c r="E80" s="307">
        <f t="shared" si="35"/>
        <v>91</v>
      </c>
      <c r="F80" s="307">
        <f t="shared" si="35"/>
        <v>104</v>
      </c>
      <c r="G80" s="307">
        <f t="shared" si="35"/>
        <v>130</v>
      </c>
      <c r="H80" s="307">
        <f t="shared" si="35"/>
        <v>156</v>
      </c>
      <c r="I80" s="307">
        <f t="shared" si="35"/>
        <v>182</v>
      </c>
      <c r="J80" s="307">
        <f t="shared" si="35"/>
        <v>221</v>
      </c>
      <c r="K80" s="312">
        <f t="shared" si="35"/>
        <v>260</v>
      </c>
      <c r="L80" s="185">
        <f t="shared" si="35"/>
        <v>0</v>
      </c>
      <c r="M80" s="186">
        <f t="shared" si="35"/>
        <v>299</v>
      </c>
      <c r="N80" s="187">
        <f t="shared" si="35"/>
        <v>0</v>
      </c>
      <c r="O80" s="188">
        <f t="shared" si="35"/>
        <v>364</v>
      </c>
      <c r="P80" s="189">
        <f t="shared" si="35"/>
        <v>468</v>
      </c>
      <c r="Q80" s="187">
        <f t="shared" si="35"/>
        <v>0</v>
      </c>
      <c r="R80" s="262">
        <f t="shared" si="35"/>
        <v>598</v>
      </c>
      <c r="S80" s="187">
        <f t="shared" si="35"/>
        <v>0</v>
      </c>
      <c r="T80" s="188">
        <f t="shared" si="35"/>
        <v>741</v>
      </c>
      <c r="U80" s="263">
        <f t="shared" si="35"/>
        <v>897</v>
      </c>
      <c r="V80" s="189">
        <f t="shared" si="35"/>
        <v>1066</v>
      </c>
      <c r="W80" s="264">
        <f t="shared" si="35"/>
        <v>0</v>
      </c>
      <c r="X80" s="265">
        <f t="shared" si="35"/>
        <v>1248</v>
      </c>
    </row>
    <row r="81" ht="21" customHeight="1" spans="1:24">
      <c r="A81" s="59" t="s">
        <v>183</v>
      </c>
      <c r="B81" s="60"/>
      <c r="C81" s="61">
        <v>0</v>
      </c>
      <c r="D81" s="62">
        <v>1</v>
      </c>
      <c r="E81" s="62">
        <v>2</v>
      </c>
      <c r="F81" s="63">
        <v>3</v>
      </c>
      <c r="G81" s="62">
        <v>4</v>
      </c>
      <c r="H81" s="64">
        <v>5</v>
      </c>
      <c r="I81" s="62">
        <v>6</v>
      </c>
      <c r="J81" s="174">
        <v>7</v>
      </c>
      <c r="K81" s="626">
        <v>8</v>
      </c>
      <c r="L81" s="1053" t="s">
        <v>184</v>
      </c>
      <c r="M81" s="205"/>
      <c r="N81" s="205"/>
      <c r="O81" s="205"/>
      <c r="P81" s="205"/>
      <c r="Q81" s="205"/>
      <c r="R81" s="205"/>
      <c r="S81" s="205"/>
      <c r="T81" s="205"/>
      <c r="U81" s="205"/>
      <c r="V81" s="205"/>
      <c r="W81" s="205"/>
      <c r="X81" s="276"/>
    </row>
    <row r="82" ht="21" customHeight="1" spans="1:24">
      <c r="A82" s="65" t="s">
        <v>179</v>
      </c>
      <c r="B82" s="65"/>
      <c r="C82" s="66">
        <v>2.5</v>
      </c>
      <c r="D82" s="67">
        <v>2.45</v>
      </c>
      <c r="E82" s="67">
        <v>2.4</v>
      </c>
      <c r="F82" s="93">
        <v>2.35</v>
      </c>
      <c r="G82" s="67">
        <v>2.3</v>
      </c>
      <c r="H82" s="69">
        <v>2.25</v>
      </c>
      <c r="I82" s="67">
        <v>2.2</v>
      </c>
      <c r="J82" s="178">
        <v>2.1</v>
      </c>
      <c r="K82" s="179">
        <v>1.95</v>
      </c>
      <c r="L82" s="283"/>
      <c r="M82" s="284"/>
      <c r="N82" s="284"/>
      <c r="O82" s="284"/>
      <c r="P82" s="284"/>
      <c r="Q82" s="284"/>
      <c r="R82" s="284"/>
      <c r="S82" s="284"/>
      <c r="T82" s="284"/>
      <c r="U82" s="284"/>
      <c r="V82" s="284"/>
      <c r="W82" s="284"/>
      <c r="X82" s="285"/>
    </row>
    <row r="83" ht="21" customHeight="1" spans="1:24">
      <c r="A83" s="25" t="s">
        <v>180</v>
      </c>
      <c r="B83" s="25"/>
      <c r="C83" s="41">
        <v>2</v>
      </c>
      <c r="D83" s="42">
        <v>1.9</v>
      </c>
      <c r="E83" s="42">
        <v>1.85</v>
      </c>
      <c r="F83" s="43">
        <v>1.8</v>
      </c>
      <c r="G83" s="42">
        <v>1.75</v>
      </c>
      <c r="H83" s="44">
        <v>1.7</v>
      </c>
      <c r="I83" s="42">
        <v>1.7</v>
      </c>
      <c r="J83" s="163">
        <v>1.65</v>
      </c>
      <c r="K83" s="575">
        <v>1.6</v>
      </c>
      <c r="L83" s="970" t="s">
        <v>185</v>
      </c>
      <c r="M83" s="971"/>
      <c r="N83" s="971"/>
      <c r="O83" s="971"/>
      <c r="P83" s="971"/>
      <c r="Q83" s="971"/>
      <c r="R83" s="971"/>
      <c r="S83" s="971"/>
      <c r="T83" s="971"/>
      <c r="U83" s="971"/>
      <c r="V83" s="971"/>
      <c r="W83" s="971"/>
      <c r="X83" s="982"/>
    </row>
    <row r="84" ht="21" customHeight="1" spans="1:24">
      <c r="A84" s="1467" t="s">
        <v>186</v>
      </c>
      <c r="B84" s="1467"/>
      <c r="C84" s="1467"/>
      <c r="D84" s="1467"/>
      <c r="E84" s="1467"/>
      <c r="F84" s="1467"/>
      <c r="G84" s="1467"/>
      <c r="H84" s="1467"/>
      <c r="I84" s="1467"/>
      <c r="J84" s="1467"/>
      <c r="K84" s="1467"/>
      <c r="L84" s="1467"/>
      <c r="M84" s="1467"/>
      <c r="N84" s="1467"/>
      <c r="O84" s="1467"/>
      <c r="P84" s="1467"/>
      <c r="Q84" s="1467"/>
      <c r="R84" s="1467"/>
      <c r="S84" s="1467"/>
      <c r="T84" s="1467"/>
      <c r="U84" s="1467"/>
      <c r="V84" s="1467"/>
      <c r="W84" s="1467"/>
      <c r="X84" s="1467"/>
    </row>
    <row r="85" ht="21" customHeight="1" spans="1:24">
      <c r="A85" s="943" t="s">
        <v>187</v>
      </c>
      <c r="B85" s="26"/>
      <c r="C85" s="87">
        <f t="shared" ref="C85:K85" si="36">INT(C77*1.15)</f>
        <v>57</v>
      </c>
      <c r="D85" s="88">
        <f t="shared" si="36"/>
        <v>69</v>
      </c>
      <c r="E85" s="88">
        <f t="shared" si="36"/>
        <v>80</v>
      </c>
      <c r="F85" s="88">
        <f t="shared" si="36"/>
        <v>92</v>
      </c>
      <c r="G85" s="88">
        <f t="shared" si="36"/>
        <v>115</v>
      </c>
      <c r="H85" s="88">
        <f t="shared" si="36"/>
        <v>138</v>
      </c>
      <c r="I85" s="88">
        <f t="shared" si="36"/>
        <v>161</v>
      </c>
      <c r="J85" s="88">
        <f t="shared" si="36"/>
        <v>195</v>
      </c>
      <c r="K85" s="199">
        <f t="shared" si="36"/>
        <v>230</v>
      </c>
      <c r="L85" s="624"/>
      <c r="M85" s="201">
        <f t="shared" ref="M85:P85" si="37">INT(M77*1.15)</f>
        <v>264</v>
      </c>
      <c r="N85" s="625"/>
      <c r="O85" s="203">
        <f t="shared" si="37"/>
        <v>322</v>
      </c>
      <c r="P85" s="204">
        <f t="shared" si="37"/>
        <v>414</v>
      </c>
      <c r="Q85" s="625"/>
      <c r="R85" s="272">
        <f t="shared" ref="R85:V85" si="38">INT(R77*1.15)</f>
        <v>529</v>
      </c>
      <c r="S85" s="625"/>
      <c r="T85" s="203">
        <f t="shared" si="38"/>
        <v>655</v>
      </c>
      <c r="U85" s="273">
        <f t="shared" si="38"/>
        <v>793</v>
      </c>
      <c r="V85" s="204">
        <f t="shared" si="38"/>
        <v>943</v>
      </c>
      <c r="W85" s="661"/>
      <c r="X85" s="275">
        <f>INT(X77*1.15)</f>
        <v>1104</v>
      </c>
    </row>
    <row r="86" ht="21" customHeight="1" spans="1:24">
      <c r="A86" s="1488" t="s">
        <v>188</v>
      </c>
      <c r="B86" s="1489"/>
      <c r="C86" s="1490">
        <f t="shared" ref="C86:K86" si="39">INT(C80*1.15)</f>
        <v>74</v>
      </c>
      <c r="D86" s="1491">
        <f t="shared" si="39"/>
        <v>89</v>
      </c>
      <c r="E86" s="1491">
        <f t="shared" si="39"/>
        <v>104</v>
      </c>
      <c r="F86" s="1491">
        <f t="shared" si="39"/>
        <v>119</v>
      </c>
      <c r="G86" s="1491">
        <f t="shared" si="39"/>
        <v>149</v>
      </c>
      <c r="H86" s="1491">
        <f t="shared" si="39"/>
        <v>179</v>
      </c>
      <c r="I86" s="1491">
        <f t="shared" si="39"/>
        <v>209</v>
      </c>
      <c r="J86" s="1491">
        <f t="shared" si="39"/>
        <v>254</v>
      </c>
      <c r="K86" s="1497">
        <f t="shared" si="39"/>
        <v>299</v>
      </c>
      <c r="L86" s="890"/>
      <c r="M86" s="1498">
        <f t="shared" ref="M86:P86" si="40">INT(M80*1.15)</f>
        <v>343</v>
      </c>
      <c r="N86" s="892"/>
      <c r="O86" s="1499">
        <f t="shared" si="40"/>
        <v>418</v>
      </c>
      <c r="P86" s="1500">
        <f t="shared" si="40"/>
        <v>538</v>
      </c>
      <c r="Q86" s="892"/>
      <c r="R86" s="1501">
        <f t="shared" ref="R86:V86" si="41">INT(R80*1.15)</f>
        <v>687</v>
      </c>
      <c r="S86" s="892"/>
      <c r="T86" s="1499">
        <f t="shared" si="41"/>
        <v>852</v>
      </c>
      <c r="U86" s="1502">
        <f t="shared" si="41"/>
        <v>1031</v>
      </c>
      <c r="V86" s="1500">
        <f t="shared" si="41"/>
        <v>1225</v>
      </c>
      <c r="W86" s="905"/>
      <c r="X86" s="1503">
        <f>INT(X80*1.15)</f>
        <v>1435</v>
      </c>
    </row>
    <row r="87" ht="21" customHeight="1" spans="1:24">
      <c r="A87" s="943" t="s">
        <v>187</v>
      </c>
      <c r="B87" s="26"/>
      <c r="C87" s="89">
        <v>1.8</v>
      </c>
      <c r="D87" s="90">
        <v>1.75</v>
      </c>
      <c r="E87" s="90">
        <v>1.7</v>
      </c>
      <c r="F87" s="91">
        <v>1.65</v>
      </c>
      <c r="G87" s="90">
        <v>1.6</v>
      </c>
      <c r="H87" s="92">
        <v>1.55</v>
      </c>
      <c r="I87" s="90">
        <v>1.55</v>
      </c>
      <c r="J87" s="206">
        <v>1.5</v>
      </c>
      <c r="K87" s="658">
        <v>1.45</v>
      </c>
      <c r="L87" s="26" t="s">
        <v>189</v>
      </c>
      <c r="M87" s="315"/>
      <c r="N87" s="315"/>
      <c r="O87" s="315"/>
      <c r="P87" s="315"/>
      <c r="Q87" s="315"/>
      <c r="R87" s="315"/>
      <c r="S87" s="315"/>
      <c r="T87" s="315"/>
      <c r="U87" s="315"/>
      <c r="V87" s="315"/>
      <c r="W87" s="315"/>
      <c r="X87" s="319"/>
    </row>
    <row r="88" ht="21" customHeight="1" spans="1:24">
      <c r="A88" s="21" t="s">
        <v>8</v>
      </c>
      <c r="B88" s="22"/>
      <c r="C88" s="23">
        <v>0</v>
      </c>
      <c r="D88" s="24">
        <v>1</v>
      </c>
      <c r="E88" s="24">
        <v>2</v>
      </c>
      <c r="F88" s="24">
        <v>3</v>
      </c>
      <c r="G88" s="24">
        <v>4</v>
      </c>
      <c r="H88" s="24">
        <v>5</v>
      </c>
      <c r="I88" s="24">
        <v>6</v>
      </c>
      <c r="J88" s="24">
        <v>7</v>
      </c>
      <c r="K88" s="135">
        <v>8</v>
      </c>
      <c r="L88" s="136">
        <v>9</v>
      </c>
      <c r="M88" s="137"/>
      <c r="N88" s="137"/>
      <c r="O88" s="139">
        <v>10</v>
      </c>
      <c r="P88" s="140">
        <v>11</v>
      </c>
      <c r="Q88" s="236">
        <v>12</v>
      </c>
      <c r="R88" s="236"/>
      <c r="S88" s="236"/>
      <c r="T88" s="139">
        <v>13</v>
      </c>
      <c r="U88" s="237">
        <v>14</v>
      </c>
      <c r="V88" s="140">
        <v>15</v>
      </c>
      <c r="W88" s="137">
        <v>16</v>
      </c>
      <c r="X88" s="138"/>
    </row>
    <row r="89" ht="21" customHeight="1" spans="1:24">
      <c r="A89" s="73" t="s">
        <v>190</v>
      </c>
      <c r="B89" s="73"/>
      <c r="C89" s="75">
        <v>30</v>
      </c>
      <c r="D89" s="76">
        <v>40</v>
      </c>
      <c r="E89" s="76">
        <v>50</v>
      </c>
      <c r="F89" s="76">
        <v>60</v>
      </c>
      <c r="G89" s="76">
        <v>70</v>
      </c>
      <c r="H89" s="76">
        <v>80</v>
      </c>
      <c r="I89" s="76">
        <v>100</v>
      </c>
      <c r="J89" s="76">
        <v>120</v>
      </c>
      <c r="K89" s="182">
        <v>140</v>
      </c>
      <c r="L89" s="183"/>
      <c r="M89" s="159">
        <v>160</v>
      </c>
      <c r="N89" s="184"/>
      <c r="O89" s="161">
        <v>190</v>
      </c>
      <c r="P89" s="162">
        <v>220</v>
      </c>
      <c r="Q89" s="184"/>
      <c r="R89" s="247">
        <v>250</v>
      </c>
      <c r="S89" s="184"/>
      <c r="T89" s="161">
        <v>280</v>
      </c>
      <c r="U89" s="248">
        <v>310</v>
      </c>
      <c r="V89" s="162">
        <v>340</v>
      </c>
      <c r="W89" s="261"/>
      <c r="X89" s="250">
        <v>370</v>
      </c>
    </row>
    <row r="90" ht="21" customHeight="1" spans="1:24">
      <c r="A90" s="25" t="s">
        <v>191</v>
      </c>
      <c r="B90" s="25"/>
      <c r="C90" s="113">
        <v>20</v>
      </c>
      <c r="D90" s="307">
        <v>25</v>
      </c>
      <c r="E90" s="307">
        <v>30</v>
      </c>
      <c r="F90" s="307">
        <v>35</v>
      </c>
      <c r="G90" s="307">
        <v>40</v>
      </c>
      <c r="H90" s="307">
        <v>50</v>
      </c>
      <c r="I90" s="307">
        <v>60</v>
      </c>
      <c r="J90" s="307">
        <v>70</v>
      </c>
      <c r="K90" s="312">
        <v>85</v>
      </c>
      <c r="L90" s="506"/>
      <c r="M90" s="155">
        <v>100</v>
      </c>
      <c r="N90" s="508"/>
      <c r="O90" s="145">
        <v>120</v>
      </c>
      <c r="P90" s="146">
        <v>140</v>
      </c>
      <c r="Q90" s="508"/>
      <c r="R90" s="238">
        <v>160</v>
      </c>
      <c r="S90" s="508"/>
      <c r="T90" s="145">
        <v>180</v>
      </c>
      <c r="U90" s="239">
        <v>200</v>
      </c>
      <c r="V90" s="146">
        <v>220</v>
      </c>
      <c r="W90" s="424"/>
      <c r="X90" s="241">
        <v>240</v>
      </c>
    </row>
    <row r="91" ht="21" customHeight="1" spans="1:24">
      <c r="A91" s="37" t="s">
        <v>192</v>
      </c>
      <c r="B91" s="37"/>
      <c r="C91" s="321">
        <v>25</v>
      </c>
      <c r="D91" s="322">
        <v>30</v>
      </c>
      <c r="E91" s="322">
        <v>35</v>
      </c>
      <c r="F91" s="322">
        <v>40</v>
      </c>
      <c r="G91" s="322">
        <v>55</v>
      </c>
      <c r="H91" s="322">
        <v>70</v>
      </c>
      <c r="I91" s="322">
        <v>85</v>
      </c>
      <c r="J91" s="322">
        <v>100</v>
      </c>
      <c r="K91" s="361">
        <v>120</v>
      </c>
      <c r="L91" s="212"/>
      <c r="M91" s="579">
        <v>140</v>
      </c>
      <c r="N91" s="214"/>
      <c r="O91" s="386">
        <v>170</v>
      </c>
      <c r="P91" s="387">
        <v>200</v>
      </c>
      <c r="Q91" s="214"/>
      <c r="R91" s="420">
        <v>230</v>
      </c>
      <c r="S91" s="214"/>
      <c r="T91" s="386">
        <v>260</v>
      </c>
      <c r="U91" s="421">
        <v>290</v>
      </c>
      <c r="V91" s="387">
        <v>320</v>
      </c>
      <c r="W91" s="291"/>
      <c r="X91" s="422">
        <v>350</v>
      </c>
    </row>
    <row r="92" ht="21" customHeight="1" spans="1:24">
      <c r="A92" s="59" t="s">
        <v>18</v>
      </c>
      <c r="B92" s="60"/>
      <c r="C92" s="61">
        <v>0</v>
      </c>
      <c r="D92" s="62">
        <v>1</v>
      </c>
      <c r="E92" s="62">
        <v>2</v>
      </c>
      <c r="F92" s="63">
        <v>3</v>
      </c>
      <c r="G92" s="62">
        <v>4</v>
      </c>
      <c r="H92" s="64">
        <v>5</v>
      </c>
      <c r="I92" s="62">
        <v>6</v>
      </c>
      <c r="J92" s="174">
        <v>7</v>
      </c>
      <c r="K92" s="175">
        <v>8</v>
      </c>
      <c r="L92" s="86" t="s">
        <v>193</v>
      </c>
      <c r="M92" s="205"/>
      <c r="N92" s="205"/>
      <c r="O92" s="205"/>
      <c r="P92" s="205"/>
      <c r="Q92" s="205"/>
      <c r="R92" s="205"/>
      <c r="S92" s="205"/>
      <c r="T92" s="205"/>
      <c r="U92" s="205"/>
      <c r="V92" s="205"/>
      <c r="W92" s="205"/>
      <c r="X92" s="276"/>
    </row>
    <row r="93" ht="21" customHeight="1" spans="1:24">
      <c r="A93" s="65" t="s">
        <v>190</v>
      </c>
      <c r="B93" s="65"/>
      <c r="C93" s="66">
        <v>3</v>
      </c>
      <c r="D93" s="67">
        <v>2.9</v>
      </c>
      <c r="E93" s="67">
        <v>2.8</v>
      </c>
      <c r="F93" s="93">
        <v>2.7</v>
      </c>
      <c r="G93" s="67">
        <v>2.6</v>
      </c>
      <c r="H93" s="69">
        <v>2.4</v>
      </c>
      <c r="I93" s="67">
        <v>2.2</v>
      </c>
      <c r="J93" s="178">
        <v>2</v>
      </c>
      <c r="K93" s="378">
        <v>1.8</v>
      </c>
      <c r="L93" s="86" t="s">
        <v>194</v>
      </c>
      <c r="M93" s="205"/>
      <c r="N93" s="205"/>
      <c r="O93" s="205"/>
      <c r="P93" s="205"/>
      <c r="Q93" s="205"/>
      <c r="R93" s="205"/>
      <c r="S93" s="205"/>
      <c r="T93" s="205"/>
      <c r="U93" s="205"/>
      <c r="V93" s="205"/>
      <c r="W93" s="205"/>
      <c r="X93" s="276"/>
    </row>
    <row r="94" ht="21" customHeight="1" spans="1:24">
      <c r="A94" s="25" t="s">
        <v>191</v>
      </c>
      <c r="B94" s="25"/>
      <c r="C94" s="41">
        <v>3</v>
      </c>
      <c r="D94" s="42">
        <v>2.9</v>
      </c>
      <c r="E94" s="42">
        <v>2.8</v>
      </c>
      <c r="F94" s="43">
        <v>2.7</v>
      </c>
      <c r="G94" s="42">
        <v>2.6</v>
      </c>
      <c r="H94" s="44">
        <v>2.4</v>
      </c>
      <c r="I94" s="42">
        <v>2.2</v>
      </c>
      <c r="J94" s="163">
        <v>2</v>
      </c>
      <c r="K94" s="575">
        <v>1.8</v>
      </c>
      <c r="L94" s="1429" t="s">
        <v>195</v>
      </c>
      <c r="M94" s="177"/>
      <c r="N94" s="177"/>
      <c r="O94" s="177"/>
      <c r="P94" s="177"/>
      <c r="Q94" s="177"/>
      <c r="R94" s="177"/>
      <c r="S94" s="177"/>
      <c r="T94" s="177"/>
      <c r="U94" s="177"/>
      <c r="V94" s="177"/>
      <c r="W94" s="177"/>
      <c r="X94" s="258"/>
    </row>
    <row r="95" ht="21" customHeight="1" spans="1:24">
      <c r="A95" s="617" t="s">
        <v>192</v>
      </c>
      <c r="B95" s="617"/>
      <c r="C95" s="66">
        <v>3</v>
      </c>
      <c r="D95" s="67">
        <v>2.9</v>
      </c>
      <c r="E95" s="67">
        <v>2.8</v>
      </c>
      <c r="F95" s="93">
        <v>2.7</v>
      </c>
      <c r="G95" s="67">
        <v>2.6</v>
      </c>
      <c r="H95" s="69">
        <v>2.4</v>
      </c>
      <c r="I95" s="67">
        <v>2.2</v>
      </c>
      <c r="J95" s="178">
        <v>2</v>
      </c>
      <c r="K95" s="179">
        <v>1.8</v>
      </c>
      <c r="L95" s="550"/>
      <c r="M95" s="657"/>
      <c r="N95" s="657"/>
      <c r="O95" s="657"/>
      <c r="P95" s="657"/>
      <c r="Q95" s="657"/>
      <c r="R95" s="657"/>
      <c r="S95" s="657"/>
      <c r="T95" s="657"/>
      <c r="U95" s="657"/>
      <c r="V95" s="657"/>
      <c r="W95" s="657"/>
      <c r="X95" s="678"/>
    </row>
    <row r="96" ht="19.5" spans="1:24">
      <c r="A96" s="45"/>
      <c r="B96" s="46"/>
      <c r="C96" s="46"/>
      <c r="D96" s="46"/>
      <c r="E96" s="46"/>
      <c r="F96" s="46"/>
      <c r="G96" s="46"/>
      <c r="H96" s="46"/>
      <c r="I96" s="46"/>
      <c r="J96" s="46"/>
      <c r="K96" s="46"/>
      <c r="L96" s="106"/>
      <c r="M96" s="106"/>
      <c r="N96" s="106"/>
      <c r="O96" s="106"/>
      <c r="P96" s="106"/>
      <c r="Q96" s="106"/>
      <c r="R96" s="106"/>
      <c r="S96" s="106"/>
      <c r="T96" s="106"/>
      <c r="U96" s="106"/>
      <c r="V96" s="106"/>
      <c r="W96" s="106"/>
      <c r="X96" s="286"/>
    </row>
    <row r="97" ht="44" customHeight="1" spans="1:24">
      <c r="A97" s="47"/>
      <c r="B97" s="48"/>
      <c r="C97" s="48" t="str">
        <f>_xlfn.DISPIMG("ID_0FDE4D6F4D5945378939AA62ECD16826",1)</f>
        <v>=DISPIMG("ID_0FDE4D6F4D5945378939AA62ECD16826",1)</v>
      </c>
      <c r="D97" s="48" t="str">
        <f>_xlfn.DISPIMG("ID_0CC9DDDA9A254697BBC10B84001FE3FA",1)</f>
        <v>=DISPIMG("ID_0CC9DDDA9A254697BBC10B84001FE3FA",1)</v>
      </c>
      <c r="E97" s="48"/>
      <c r="F97" s="70"/>
      <c r="G97" s="606" t="s">
        <v>196</v>
      </c>
      <c r="H97" s="607"/>
      <c r="I97" s="607"/>
      <c r="J97" s="607"/>
      <c r="K97" s="607"/>
      <c r="L97" s="607"/>
      <c r="M97" s="607"/>
      <c r="N97" s="607"/>
      <c r="O97" s="647"/>
      <c r="P97" s="443" t="s">
        <v>197</v>
      </c>
      <c r="Q97" s="446"/>
      <c r="R97" s="446"/>
      <c r="S97" s="446"/>
      <c r="T97" s="446"/>
      <c r="U97" s="446"/>
      <c r="V97" s="446"/>
      <c r="W97" s="446"/>
      <c r="X97" s="447"/>
    </row>
    <row r="98" ht="19.5" spans="1:24">
      <c r="A98" s="714"/>
      <c r="B98" s="715"/>
      <c r="C98" s="715"/>
      <c r="D98" s="715"/>
      <c r="E98" s="715"/>
      <c r="F98" s="715"/>
      <c r="G98" s="715"/>
      <c r="H98" s="715"/>
      <c r="I98" s="715"/>
      <c r="J98" s="715"/>
      <c r="K98" s="715"/>
      <c r="L98" s="715"/>
      <c r="M98" s="715"/>
      <c r="N98" s="715"/>
      <c r="O98" s="715"/>
      <c r="P98" s="715"/>
      <c r="Q98" s="715"/>
      <c r="R98" s="715"/>
      <c r="S98" s="715"/>
      <c r="T98" s="715"/>
      <c r="U98" s="715"/>
      <c r="V98" s="715"/>
      <c r="W98" s="715"/>
      <c r="X98" s="749"/>
    </row>
    <row r="99" ht="21" spans="1:24">
      <c r="A99" s="21" t="s">
        <v>8</v>
      </c>
      <c r="B99" s="22"/>
      <c r="C99" s="23">
        <v>0</v>
      </c>
      <c r="D99" s="24">
        <v>1</v>
      </c>
      <c r="E99" s="24">
        <v>2</v>
      </c>
      <c r="F99" s="24">
        <v>3</v>
      </c>
      <c r="G99" s="24">
        <v>4</v>
      </c>
      <c r="H99" s="24">
        <v>5</v>
      </c>
      <c r="I99" s="24">
        <v>6</v>
      </c>
      <c r="J99" s="24">
        <v>7</v>
      </c>
      <c r="K99" s="135">
        <v>8</v>
      </c>
      <c r="L99" s="136">
        <v>9</v>
      </c>
      <c r="M99" s="137"/>
      <c r="N99" s="138"/>
      <c r="O99" s="139">
        <v>10</v>
      </c>
      <c r="P99" s="140">
        <v>11</v>
      </c>
      <c r="Q99" s="236">
        <v>12</v>
      </c>
      <c r="R99" s="236"/>
      <c r="S99" s="236"/>
      <c r="T99" s="139">
        <v>13</v>
      </c>
      <c r="U99" s="237">
        <v>14</v>
      </c>
      <c r="V99" s="140">
        <v>15</v>
      </c>
      <c r="W99" s="137">
        <v>16</v>
      </c>
      <c r="X99" s="138"/>
    </row>
    <row r="100" ht="21" customHeight="1" spans="1:24">
      <c r="A100" s="25" t="s">
        <v>198</v>
      </c>
      <c r="B100" s="25"/>
      <c r="C100" s="113">
        <v>70</v>
      </c>
      <c r="D100" s="307">
        <v>90</v>
      </c>
      <c r="E100" s="307">
        <v>110</v>
      </c>
      <c r="F100" s="1492">
        <v>120</v>
      </c>
      <c r="G100" s="307">
        <v>150</v>
      </c>
      <c r="H100" s="307">
        <v>180</v>
      </c>
      <c r="I100" s="307">
        <v>210</v>
      </c>
      <c r="J100" s="307">
        <v>250</v>
      </c>
      <c r="K100" s="312">
        <v>290</v>
      </c>
      <c r="L100" s="185"/>
      <c r="M100" s="143">
        <v>330</v>
      </c>
      <c r="N100" s="187"/>
      <c r="O100" s="145">
        <v>380</v>
      </c>
      <c r="P100" s="146">
        <v>430</v>
      </c>
      <c r="Q100" s="187"/>
      <c r="R100" s="238">
        <v>480</v>
      </c>
      <c r="S100" s="187"/>
      <c r="T100" s="145">
        <v>530</v>
      </c>
      <c r="U100" s="239">
        <v>580</v>
      </c>
      <c r="V100" s="146">
        <v>630</v>
      </c>
      <c r="W100" s="264"/>
      <c r="X100" s="241">
        <v>680</v>
      </c>
    </row>
    <row r="101" ht="21" customHeight="1" spans="1:24">
      <c r="A101" s="25" t="s">
        <v>199</v>
      </c>
      <c r="B101" s="25"/>
      <c r="C101" s="113">
        <v>45</v>
      </c>
      <c r="D101" s="307">
        <v>55</v>
      </c>
      <c r="E101" s="307">
        <v>65</v>
      </c>
      <c r="F101" s="307">
        <v>70</v>
      </c>
      <c r="G101" s="307">
        <v>90</v>
      </c>
      <c r="H101" s="307">
        <v>110</v>
      </c>
      <c r="I101" s="307">
        <v>140</v>
      </c>
      <c r="J101" s="307">
        <v>170</v>
      </c>
      <c r="K101" s="312">
        <v>200</v>
      </c>
      <c r="L101" s="506"/>
      <c r="M101" s="155">
        <v>230</v>
      </c>
      <c r="N101" s="508"/>
      <c r="O101" s="145">
        <v>280</v>
      </c>
      <c r="P101" s="146">
        <v>360</v>
      </c>
      <c r="Q101" s="508"/>
      <c r="R101" s="238">
        <v>450</v>
      </c>
      <c r="S101" s="508"/>
      <c r="T101" s="145">
        <v>550</v>
      </c>
      <c r="U101" s="239">
        <v>660</v>
      </c>
      <c r="V101" s="146">
        <v>780</v>
      </c>
      <c r="W101" s="424"/>
      <c r="X101" s="241">
        <v>900</v>
      </c>
    </row>
    <row r="102" ht="21" spans="1:24">
      <c r="A102" s="59" t="s">
        <v>18</v>
      </c>
      <c r="B102" s="60"/>
      <c r="C102" s="61">
        <v>0</v>
      </c>
      <c r="D102" s="62">
        <v>1</v>
      </c>
      <c r="E102" s="62">
        <v>2</v>
      </c>
      <c r="F102" s="63">
        <v>3</v>
      </c>
      <c r="G102" s="62">
        <v>4</v>
      </c>
      <c r="H102" s="64">
        <v>5</v>
      </c>
      <c r="I102" s="62">
        <v>6</v>
      </c>
      <c r="J102" s="174">
        <v>7</v>
      </c>
      <c r="K102" s="175">
        <v>8</v>
      </c>
      <c r="L102" s="78" t="s">
        <v>200</v>
      </c>
      <c r="M102" s="833"/>
      <c r="N102" s="833"/>
      <c r="O102" s="833"/>
      <c r="P102" s="833"/>
      <c r="Q102" s="833"/>
      <c r="R102" s="833"/>
      <c r="S102" s="833"/>
      <c r="T102" s="833"/>
      <c r="U102" s="833"/>
      <c r="V102" s="833"/>
      <c r="W102" s="833"/>
      <c r="X102" s="846"/>
    </row>
    <row r="103" ht="21" spans="1:24">
      <c r="A103" s="1493" t="s">
        <v>201</v>
      </c>
      <c r="B103" s="1493"/>
      <c r="C103" s="1494">
        <v>3</v>
      </c>
      <c r="D103" s="1495">
        <v>2.9</v>
      </c>
      <c r="E103" s="1495">
        <v>2.8</v>
      </c>
      <c r="F103" s="1494">
        <v>2.7</v>
      </c>
      <c r="G103" s="1495">
        <v>2.6</v>
      </c>
      <c r="H103" s="1494">
        <v>2.4</v>
      </c>
      <c r="I103" s="1495">
        <v>2.2</v>
      </c>
      <c r="J103" s="1494">
        <v>2</v>
      </c>
      <c r="K103" s="1494">
        <v>1.8</v>
      </c>
      <c r="L103" s="86" t="s">
        <v>202</v>
      </c>
      <c r="M103" s="205"/>
      <c r="N103" s="205"/>
      <c r="O103" s="205"/>
      <c r="P103" s="205"/>
      <c r="Q103" s="205"/>
      <c r="R103" s="205"/>
      <c r="S103" s="205"/>
      <c r="T103" s="205"/>
      <c r="U103" s="205"/>
      <c r="V103" s="205"/>
      <c r="W103" s="205"/>
      <c r="X103" s="276"/>
    </row>
    <row r="104" ht="21" spans="1:24">
      <c r="A104" s="122" t="s">
        <v>199</v>
      </c>
      <c r="B104" s="122"/>
      <c r="C104" s="41">
        <v>2</v>
      </c>
      <c r="D104" s="42">
        <v>2</v>
      </c>
      <c r="E104" s="42">
        <v>2</v>
      </c>
      <c r="F104" s="43">
        <v>2</v>
      </c>
      <c r="G104" s="42">
        <v>2</v>
      </c>
      <c r="H104" s="44">
        <v>2</v>
      </c>
      <c r="I104" s="42">
        <v>2</v>
      </c>
      <c r="J104" s="163">
        <v>2</v>
      </c>
      <c r="K104" s="575">
        <v>2</v>
      </c>
      <c r="L104" s="123" t="s">
        <v>203</v>
      </c>
      <c r="M104" s="333"/>
      <c r="N104" s="333"/>
      <c r="O104" s="333"/>
      <c r="P104" s="333"/>
      <c r="Q104" s="333"/>
      <c r="R104" s="333"/>
      <c r="S104" s="333"/>
      <c r="T104" s="333"/>
      <c r="U104" s="333"/>
      <c r="V104" s="333"/>
      <c r="W104" s="333"/>
      <c r="X104" s="408"/>
    </row>
    <row r="105" ht="21" customHeight="1" spans="1:24">
      <c r="A105" s="21" t="s">
        <v>8</v>
      </c>
      <c r="B105" s="22"/>
      <c r="C105" s="23">
        <v>0</v>
      </c>
      <c r="D105" s="24">
        <v>1</v>
      </c>
      <c r="E105" s="24">
        <v>2</v>
      </c>
      <c r="F105" s="24">
        <v>3</v>
      </c>
      <c r="G105" s="24">
        <v>4</v>
      </c>
      <c r="H105" s="24">
        <v>5</v>
      </c>
      <c r="I105" s="24">
        <v>6</v>
      </c>
      <c r="J105" s="24">
        <v>7</v>
      </c>
      <c r="K105" s="135">
        <v>8</v>
      </c>
      <c r="L105" s="136">
        <v>9</v>
      </c>
      <c r="M105" s="137"/>
      <c r="N105" s="137"/>
      <c r="O105" s="139">
        <v>10</v>
      </c>
      <c r="P105" s="140">
        <v>11</v>
      </c>
      <c r="Q105" s="236">
        <v>12</v>
      </c>
      <c r="R105" s="236"/>
      <c r="S105" s="236"/>
      <c r="T105" s="139">
        <v>13</v>
      </c>
      <c r="U105" s="237">
        <v>14</v>
      </c>
      <c r="V105" s="140">
        <v>15</v>
      </c>
      <c r="W105" s="137">
        <v>16</v>
      </c>
      <c r="X105" s="138"/>
    </row>
    <row r="106" ht="21" customHeight="1" spans="1:24">
      <c r="A106" s="73" t="s">
        <v>204</v>
      </c>
      <c r="B106" s="73"/>
      <c r="C106" s="75">
        <v>30</v>
      </c>
      <c r="D106" s="76">
        <v>40</v>
      </c>
      <c r="E106" s="76">
        <v>50</v>
      </c>
      <c r="F106" s="76">
        <v>60</v>
      </c>
      <c r="G106" s="76">
        <v>70</v>
      </c>
      <c r="H106" s="76">
        <v>80</v>
      </c>
      <c r="I106" s="76">
        <v>100</v>
      </c>
      <c r="J106" s="76">
        <v>120</v>
      </c>
      <c r="K106" s="182">
        <v>140</v>
      </c>
      <c r="L106" s="878"/>
      <c r="M106" s="197">
        <v>160</v>
      </c>
      <c r="N106" s="879"/>
      <c r="O106" s="161">
        <v>190</v>
      </c>
      <c r="P106" s="162">
        <v>220</v>
      </c>
      <c r="Q106" s="879"/>
      <c r="R106" s="247">
        <v>250</v>
      </c>
      <c r="S106" s="879"/>
      <c r="T106" s="161">
        <v>280</v>
      </c>
      <c r="U106" s="248">
        <v>310</v>
      </c>
      <c r="V106" s="162">
        <v>340</v>
      </c>
      <c r="W106" s="903"/>
      <c r="X106" s="250">
        <v>370</v>
      </c>
    </row>
    <row r="107" ht="21" customHeight="1" spans="1:24">
      <c r="A107" s="73" t="s">
        <v>205</v>
      </c>
      <c r="B107" s="73"/>
      <c r="C107" s="75">
        <f t="shared" ref="C107:X107" si="42">INT(C106*1.1)+INT(C106*0.04)</f>
        <v>34</v>
      </c>
      <c r="D107" s="76">
        <f t="shared" si="42"/>
        <v>45</v>
      </c>
      <c r="E107" s="76">
        <f t="shared" si="42"/>
        <v>57</v>
      </c>
      <c r="F107" s="76">
        <f t="shared" si="42"/>
        <v>68</v>
      </c>
      <c r="G107" s="76">
        <f t="shared" si="42"/>
        <v>79</v>
      </c>
      <c r="H107" s="76">
        <f t="shared" si="42"/>
        <v>91</v>
      </c>
      <c r="I107" s="76">
        <f t="shared" si="42"/>
        <v>114</v>
      </c>
      <c r="J107" s="76">
        <f t="shared" si="42"/>
        <v>136</v>
      </c>
      <c r="K107" s="182">
        <f t="shared" si="42"/>
        <v>159</v>
      </c>
      <c r="L107" s="183">
        <f t="shared" si="42"/>
        <v>0</v>
      </c>
      <c r="M107" s="159">
        <f t="shared" si="42"/>
        <v>182</v>
      </c>
      <c r="N107" s="184">
        <f t="shared" si="42"/>
        <v>0</v>
      </c>
      <c r="O107" s="161">
        <f t="shared" si="42"/>
        <v>216</v>
      </c>
      <c r="P107" s="162">
        <f t="shared" si="42"/>
        <v>250</v>
      </c>
      <c r="Q107" s="184">
        <f t="shared" si="42"/>
        <v>0</v>
      </c>
      <c r="R107" s="247">
        <f t="shared" si="42"/>
        <v>285</v>
      </c>
      <c r="S107" s="184">
        <f t="shared" si="42"/>
        <v>0</v>
      </c>
      <c r="T107" s="161">
        <f t="shared" si="42"/>
        <v>319</v>
      </c>
      <c r="U107" s="248">
        <f t="shared" si="42"/>
        <v>353</v>
      </c>
      <c r="V107" s="162">
        <f t="shared" si="42"/>
        <v>387</v>
      </c>
      <c r="W107" s="261">
        <f t="shared" si="42"/>
        <v>0</v>
      </c>
      <c r="X107" s="250">
        <f t="shared" si="42"/>
        <v>421</v>
      </c>
    </row>
    <row r="108" ht="21" customHeight="1" spans="1:24">
      <c r="A108" s="25" t="s">
        <v>206</v>
      </c>
      <c r="B108" s="25"/>
      <c r="C108" s="113">
        <f t="shared" ref="C108:X108" si="43">INT(INT(C106*1.1)*1.04)</f>
        <v>34</v>
      </c>
      <c r="D108" s="307">
        <f t="shared" si="43"/>
        <v>45</v>
      </c>
      <c r="E108" s="307">
        <f t="shared" si="43"/>
        <v>57</v>
      </c>
      <c r="F108" s="307">
        <f t="shared" si="43"/>
        <v>68</v>
      </c>
      <c r="G108" s="307">
        <f t="shared" si="43"/>
        <v>80</v>
      </c>
      <c r="H108" s="307">
        <f t="shared" si="43"/>
        <v>91</v>
      </c>
      <c r="I108" s="307">
        <f t="shared" si="43"/>
        <v>114</v>
      </c>
      <c r="J108" s="307">
        <f t="shared" si="43"/>
        <v>137</v>
      </c>
      <c r="K108" s="312">
        <f t="shared" si="43"/>
        <v>160</v>
      </c>
      <c r="L108" s="506">
        <f t="shared" si="43"/>
        <v>0</v>
      </c>
      <c r="M108" s="155">
        <f t="shared" si="43"/>
        <v>183</v>
      </c>
      <c r="N108" s="508">
        <f t="shared" si="43"/>
        <v>0</v>
      </c>
      <c r="O108" s="145">
        <f t="shared" si="43"/>
        <v>217</v>
      </c>
      <c r="P108" s="146">
        <f t="shared" si="43"/>
        <v>251</v>
      </c>
      <c r="Q108" s="508">
        <f t="shared" si="43"/>
        <v>0</v>
      </c>
      <c r="R108" s="238">
        <f t="shared" si="43"/>
        <v>286</v>
      </c>
      <c r="S108" s="508">
        <f t="shared" si="43"/>
        <v>0</v>
      </c>
      <c r="T108" s="145">
        <f t="shared" si="43"/>
        <v>320</v>
      </c>
      <c r="U108" s="239">
        <f t="shared" si="43"/>
        <v>354</v>
      </c>
      <c r="V108" s="146">
        <f t="shared" si="43"/>
        <v>388</v>
      </c>
      <c r="W108" s="424">
        <f t="shared" si="43"/>
        <v>0</v>
      </c>
      <c r="X108" s="241">
        <f t="shared" si="43"/>
        <v>423</v>
      </c>
    </row>
    <row r="109" ht="21" customHeight="1" spans="1:24">
      <c r="A109" s="73" t="s">
        <v>207</v>
      </c>
      <c r="B109" s="73"/>
      <c r="C109" s="856">
        <f t="shared" ref="C109:X109" si="44">INT(INT(C106*1.04)*1.1)</f>
        <v>34</v>
      </c>
      <c r="D109" s="76">
        <f t="shared" si="44"/>
        <v>45</v>
      </c>
      <c r="E109" s="76">
        <f t="shared" si="44"/>
        <v>57</v>
      </c>
      <c r="F109" s="76">
        <f t="shared" si="44"/>
        <v>68</v>
      </c>
      <c r="G109" s="76">
        <f t="shared" si="44"/>
        <v>79</v>
      </c>
      <c r="H109" s="76">
        <f t="shared" si="44"/>
        <v>91</v>
      </c>
      <c r="I109" s="76">
        <f t="shared" si="44"/>
        <v>114</v>
      </c>
      <c r="J109" s="76">
        <f t="shared" si="44"/>
        <v>136</v>
      </c>
      <c r="K109" s="182">
        <f t="shared" si="44"/>
        <v>159</v>
      </c>
      <c r="L109" s="511">
        <f t="shared" si="44"/>
        <v>0</v>
      </c>
      <c r="M109" s="197">
        <f t="shared" si="44"/>
        <v>182</v>
      </c>
      <c r="N109" s="513">
        <f t="shared" si="44"/>
        <v>0</v>
      </c>
      <c r="O109" s="161">
        <f t="shared" si="44"/>
        <v>216</v>
      </c>
      <c r="P109" s="162">
        <f t="shared" si="44"/>
        <v>250</v>
      </c>
      <c r="Q109" s="513">
        <f t="shared" si="44"/>
        <v>0</v>
      </c>
      <c r="R109" s="247">
        <f t="shared" si="44"/>
        <v>286</v>
      </c>
      <c r="S109" s="513">
        <f t="shared" si="44"/>
        <v>0</v>
      </c>
      <c r="T109" s="161">
        <f t="shared" si="44"/>
        <v>320</v>
      </c>
      <c r="U109" s="248">
        <f t="shared" si="44"/>
        <v>354</v>
      </c>
      <c r="V109" s="162">
        <f t="shared" si="44"/>
        <v>388</v>
      </c>
      <c r="W109" s="904">
        <f t="shared" si="44"/>
        <v>0</v>
      </c>
      <c r="X109" s="250">
        <f t="shared" si="44"/>
        <v>422</v>
      </c>
    </row>
    <row r="110" ht="21" spans="1:24">
      <c r="A110" s="25" t="s">
        <v>112</v>
      </c>
      <c r="B110" s="25"/>
      <c r="C110" s="113">
        <f t="shared" ref="C110:X110" si="45">INT(C106*1.1*1.04)</f>
        <v>34</v>
      </c>
      <c r="D110" s="307">
        <f t="shared" si="45"/>
        <v>45</v>
      </c>
      <c r="E110" s="307">
        <f t="shared" si="45"/>
        <v>57</v>
      </c>
      <c r="F110" s="307">
        <f t="shared" si="45"/>
        <v>68</v>
      </c>
      <c r="G110" s="307">
        <f t="shared" si="45"/>
        <v>80</v>
      </c>
      <c r="H110" s="307">
        <f t="shared" si="45"/>
        <v>91</v>
      </c>
      <c r="I110" s="307">
        <f t="shared" si="45"/>
        <v>114</v>
      </c>
      <c r="J110" s="307">
        <f t="shared" si="45"/>
        <v>137</v>
      </c>
      <c r="K110" s="312">
        <f t="shared" si="45"/>
        <v>160</v>
      </c>
      <c r="L110" s="506">
        <f t="shared" si="45"/>
        <v>0</v>
      </c>
      <c r="M110" s="155">
        <f t="shared" si="45"/>
        <v>183</v>
      </c>
      <c r="N110" s="508">
        <f t="shared" si="45"/>
        <v>0</v>
      </c>
      <c r="O110" s="145">
        <f t="shared" si="45"/>
        <v>217</v>
      </c>
      <c r="P110" s="146">
        <f t="shared" si="45"/>
        <v>251</v>
      </c>
      <c r="Q110" s="508">
        <f t="shared" si="45"/>
        <v>0</v>
      </c>
      <c r="R110" s="238">
        <f t="shared" si="45"/>
        <v>286</v>
      </c>
      <c r="S110" s="508">
        <f t="shared" si="45"/>
        <v>0</v>
      </c>
      <c r="T110" s="145">
        <f t="shared" si="45"/>
        <v>320</v>
      </c>
      <c r="U110" s="239">
        <f t="shared" si="45"/>
        <v>354</v>
      </c>
      <c r="V110" s="146">
        <f t="shared" si="45"/>
        <v>388</v>
      </c>
      <c r="W110" s="424">
        <f t="shared" si="45"/>
        <v>0</v>
      </c>
      <c r="X110" s="241">
        <f t="shared" si="45"/>
        <v>423</v>
      </c>
    </row>
  </sheetData>
  <sheetProtection formatCells="0" insertHyperlinks="0" autoFilter="0"/>
  <mergeCells count="159">
    <mergeCell ref="A1:C1"/>
    <mergeCell ref="D1:T1"/>
    <mergeCell ref="U1:X1"/>
    <mergeCell ref="B2:D2"/>
    <mergeCell ref="F2:H2"/>
    <mergeCell ref="J2:V2"/>
    <mergeCell ref="W2:X2"/>
    <mergeCell ref="A3:X3"/>
    <mergeCell ref="G4:O4"/>
    <mergeCell ref="P4:X4"/>
    <mergeCell ref="A5:X5"/>
    <mergeCell ref="A6:B6"/>
    <mergeCell ref="L6:N6"/>
    <mergeCell ref="Q6:S6"/>
    <mergeCell ref="W6:X6"/>
    <mergeCell ref="A7:B7"/>
    <mergeCell ref="A8:B8"/>
    <mergeCell ref="A9:B9"/>
    <mergeCell ref="A10:B10"/>
    <mergeCell ref="A11:B11"/>
    <mergeCell ref="L11:X11"/>
    <mergeCell ref="A12:B12"/>
    <mergeCell ref="L12:X12"/>
    <mergeCell ref="A13:X13"/>
    <mergeCell ref="A14:B14"/>
    <mergeCell ref="A15:B15"/>
    <mergeCell ref="A16:B16"/>
    <mergeCell ref="A17:B17"/>
    <mergeCell ref="A18:B18"/>
    <mergeCell ref="L18:X18"/>
    <mergeCell ref="A19:B19"/>
    <mergeCell ref="L19:X19"/>
    <mergeCell ref="B20:K20"/>
    <mergeCell ref="L20:X20"/>
    <mergeCell ref="L30:X30"/>
    <mergeCell ref="A31:X31"/>
    <mergeCell ref="G32:O32"/>
    <mergeCell ref="A33:X33"/>
    <mergeCell ref="A34:B34"/>
    <mergeCell ref="L34:N34"/>
    <mergeCell ref="Q34:S34"/>
    <mergeCell ref="W34:X34"/>
    <mergeCell ref="A35:B35"/>
    <mergeCell ref="A36:B36"/>
    <mergeCell ref="A37:B37"/>
    <mergeCell ref="A38:B38"/>
    <mergeCell ref="A39:B39"/>
    <mergeCell ref="A40:B40"/>
    <mergeCell ref="A41:B41"/>
    <mergeCell ref="A42:B42"/>
    <mergeCell ref="A43:X43"/>
    <mergeCell ref="A44:X44"/>
    <mergeCell ref="A45:B45"/>
    <mergeCell ref="A46:B46"/>
    <mergeCell ref="A47:B47"/>
    <mergeCell ref="A48:B48"/>
    <mergeCell ref="A49:B49"/>
    <mergeCell ref="A50:B50"/>
    <mergeCell ref="A51:B51"/>
    <mergeCell ref="A52:B52"/>
    <mergeCell ref="L52:X52"/>
    <mergeCell ref="A53:B53"/>
    <mergeCell ref="L53:X53"/>
    <mergeCell ref="A54:B54"/>
    <mergeCell ref="L54:X54"/>
    <mergeCell ref="A55:B55"/>
    <mergeCell ref="L55:X55"/>
    <mergeCell ref="A56:B56"/>
    <mergeCell ref="L56:X56"/>
    <mergeCell ref="A57:B57"/>
    <mergeCell ref="L57:X57"/>
    <mergeCell ref="A58:B58"/>
    <mergeCell ref="L58:X58"/>
    <mergeCell ref="A59:B59"/>
    <mergeCell ref="L59:X59"/>
    <mergeCell ref="A60:B60"/>
    <mergeCell ref="L60:X60"/>
    <mergeCell ref="A61:B61"/>
    <mergeCell ref="L61:X61"/>
    <mergeCell ref="A62:X62"/>
    <mergeCell ref="A63:X63"/>
    <mergeCell ref="A64:B64"/>
    <mergeCell ref="A65:B65"/>
    <mergeCell ref="A66:B66"/>
    <mergeCell ref="A67:B67"/>
    <mergeCell ref="L67:X67"/>
    <mergeCell ref="A68:B68"/>
    <mergeCell ref="L68:X68"/>
    <mergeCell ref="A69:B69"/>
    <mergeCell ref="L69:X69"/>
    <mergeCell ref="A70:B70"/>
    <mergeCell ref="L70:X70"/>
    <mergeCell ref="A71:B71"/>
    <mergeCell ref="L71:X71"/>
    <mergeCell ref="A72:X72"/>
    <mergeCell ref="G73:O73"/>
    <mergeCell ref="P73:X73"/>
    <mergeCell ref="A74:X74"/>
    <mergeCell ref="A75:B75"/>
    <mergeCell ref="L75:N75"/>
    <mergeCell ref="Q75:S75"/>
    <mergeCell ref="W75:X75"/>
    <mergeCell ref="A76:B76"/>
    <mergeCell ref="A77:B77"/>
    <mergeCell ref="A78:X78"/>
    <mergeCell ref="A79:B79"/>
    <mergeCell ref="A80:B80"/>
    <mergeCell ref="A81:B81"/>
    <mergeCell ref="A82:B82"/>
    <mergeCell ref="A83:B83"/>
    <mergeCell ref="L83:X83"/>
    <mergeCell ref="A84:X84"/>
    <mergeCell ref="A85:B85"/>
    <mergeCell ref="A86:B86"/>
    <mergeCell ref="A87:B87"/>
    <mergeCell ref="L87:X87"/>
    <mergeCell ref="A88:B88"/>
    <mergeCell ref="L88:N88"/>
    <mergeCell ref="Q88:S88"/>
    <mergeCell ref="W88:X88"/>
    <mergeCell ref="A89:B89"/>
    <mergeCell ref="A90:B90"/>
    <mergeCell ref="A91:B91"/>
    <mergeCell ref="A92:B92"/>
    <mergeCell ref="L92:X92"/>
    <mergeCell ref="A93:B93"/>
    <mergeCell ref="L93:X93"/>
    <mergeCell ref="A94:B94"/>
    <mergeCell ref="A95:B95"/>
    <mergeCell ref="A96:X96"/>
    <mergeCell ref="G97:O97"/>
    <mergeCell ref="P97:X97"/>
    <mergeCell ref="A98:X98"/>
    <mergeCell ref="A99:B99"/>
    <mergeCell ref="L99:N99"/>
    <mergeCell ref="Q99:S99"/>
    <mergeCell ref="W99:X99"/>
    <mergeCell ref="A100:B100"/>
    <mergeCell ref="A101:B101"/>
    <mergeCell ref="A102:B102"/>
    <mergeCell ref="L102:X102"/>
    <mergeCell ref="A103:B103"/>
    <mergeCell ref="L103:X103"/>
    <mergeCell ref="A104:B104"/>
    <mergeCell ref="L104:X104"/>
    <mergeCell ref="A105:B105"/>
    <mergeCell ref="L105:N105"/>
    <mergeCell ref="Q105:S105"/>
    <mergeCell ref="W105:X105"/>
    <mergeCell ref="A106:B106"/>
    <mergeCell ref="A107:B107"/>
    <mergeCell ref="A108:B108"/>
    <mergeCell ref="A109:B109"/>
    <mergeCell ref="A110:B110"/>
    <mergeCell ref="A21:A30"/>
    <mergeCell ref="L21:X22"/>
    <mergeCell ref="L23:X29"/>
    <mergeCell ref="L81:X82"/>
    <mergeCell ref="L94:X95"/>
  </mergeCells>
  <pageMargins left="0.75" right="0.75" top="1" bottom="1" header="0.5" footer="0.5"/>
  <headerFooter/>
  <pictur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2"/>
  <sheetViews>
    <sheetView workbookViewId="0">
      <selection activeCell="I7" sqref="I7"/>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3</v>
      </c>
      <c r="B1" s="2"/>
      <c r="C1" s="2"/>
      <c r="D1" s="3" t="s">
        <v>208</v>
      </c>
      <c r="E1" s="2"/>
      <c r="F1" s="2"/>
      <c r="G1" s="2"/>
      <c r="H1" s="2"/>
      <c r="I1" s="2"/>
      <c r="J1" s="2"/>
      <c r="K1" s="2"/>
      <c r="L1" s="2"/>
      <c r="M1" s="2"/>
      <c r="N1" s="2"/>
      <c r="O1" s="2"/>
      <c r="P1" s="2"/>
      <c r="Q1" s="2"/>
      <c r="R1" s="2"/>
      <c r="S1" s="2"/>
      <c r="T1" s="2"/>
      <c r="U1" s="2">
        <v>3</v>
      </c>
      <c r="V1" s="2"/>
      <c r="W1" s="2"/>
      <c r="X1" s="2"/>
    </row>
    <row r="2" ht="21" customHeight="1" spans="1:24">
      <c r="A2" s="5"/>
      <c r="B2" s="6" t="s">
        <v>1</v>
      </c>
      <c r="C2" s="7"/>
      <c r="D2" s="8"/>
      <c r="E2" s="9"/>
      <c r="F2" s="6" t="s">
        <v>209</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14" t="str">
        <f>_xlfn.DISPIMG("ID_9B543EDFF211464E86D8E714A465955C",1)</f>
        <v>=DISPIMG("ID_9B543EDFF211464E86D8E714A465955C",1)</v>
      </c>
      <c r="B5" s="15" t="str">
        <f>_xlfn.DISPIMG("ID_F2A7878A12664437BEB0BFA254BE4D7E",1)</f>
        <v>=DISPIMG("ID_F2A7878A12664437BEB0BFA254BE4D7E",1)</v>
      </c>
      <c r="C5" s="15" t="str">
        <f>_xlfn.DISPIMG("ID_608704E6EFF84F9EAA41E55991354439",1)</f>
        <v>=DISPIMG("ID_608704E6EFF84F9EAA41E55991354439",1)</v>
      </c>
      <c r="D5" s="15" t="str">
        <f>_xlfn.DISPIMG("ID_2ADD49AAC0DF4D5E866D67A539098D57",1)</f>
        <v>=DISPIMG("ID_2ADD49AAC0DF4D5E866D67A539098D57",1)</v>
      </c>
      <c r="E5" s="15" t="str">
        <f>_xlfn.DISPIMG("ID_D5542EDE35B34EA2A4133D96C8112FE7",1)</f>
        <v>=DISPIMG("ID_D5542EDE35B34EA2A4133D96C8112FE7",1)</v>
      </c>
      <c r="F5" s="16" t="str">
        <f>_xlfn.DISPIMG("ID_73F023D2839D4319A6F28E1FAB872C28",1)</f>
        <v>=DISPIMG("ID_73F023D2839D4319A6F28E1FAB872C28",1)</v>
      </c>
      <c r="G5" s="334" t="s">
        <v>211</v>
      </c>
      <c r="H5" s="335"/>
      <c r="I5" s="335"/>
      <c r="J5" s="335"/>
      <c r="K5" s="335"/>
      <c r="L5" s="335"/>
      <c r="M5" s="335"/>
      <c r="N5" s="335"/>
      <c r="O5" s="374"/>
      <c r="P5" s="14"/>
      <c r="Q5" s="15"/>
      <c r="R5" s="15"/>
      <c r="S5" s="15"/>
      <c r="T5" s="15"/>
      <c r="U5" s="15"/>
      <c r="V5" s="15"/>
      <c r="W5" s="15"/>
      <c r="X5" s="16"/>
    </row>
    <row r="6" ht="21" customHeight="1" spans="1:24">
      <c r="A6" s="714"/>
      <c r="B6" s="715"/>
      <c r="C6" s="715"/>
      <c r="D6" s="715"/>
      <c r="E6" s="715"/>
      <c r="F6" s="715"/>
      <c r="G6" s="715"/>
      <c r="H6" s="715"/>
      <c r="I6" s="715"/>
      <c r="J6" s="715"/>
      <c r="K6" s="715"/>
      <c r="L6" s="715"/>
      <c r="M6" s="715"/>
      <c r="N6" s="715"/>
      <c r="O6" s="715"/>
      <c r="P6" s="715"/>
      <c r="Q6" s="715"/>
      <c r="R6" s="715"/>
      <c r="S6" s="715"/>
      <c r="T6" s="715"/>
      <c r="U6" s="715"/>
      <c r="V6" s="715"/>
      <c r="W6" s="715"/>
      <c r="X6" s="749"/>
    </row>
    <row r="7" ht="21" customHeight="1" spans="1:24">
      <c r="A7" s="21" t="s">
        <v>8</v>
      </c>
      <c r="B7" s="22"/>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73" t="s">
        <v>212</v>
      </c>
      <c r="B8" s="74"/>
      <c r="C8" s="321">
        <v>50</v>
      </c>
      <c r="D8" s="322">
        <v>60</v>
      </c>
      <c r="E8" s="322">
        <v>70</v>
      </c>
      <c r="F8" s="322">
        <v>80</v>
      </c>
      <c r="G8" s="322">
        <v>100</v>
      </c>
      <c r="H8" s="322">
        <v>120</v>
      </c>
      <c r="I8" s="322">
        <v>140</v>
      </c>
      <c r="J8" s="322">
        <v>170</v>
      </c>
      <c r="K8" s="361">
        <v>200</v>
      </c>
      <c r="L8" s="362"/>
      <c r="M8" s="159">
        <v>230</v>
      </c>
      <c r="N8" s="160"/>
      <c r="O8" s="161">
        <v>280</v>
      </c>
      <c r="P8" s="162">
        <v>360</v>
      </c>
      <c r="Q8" s="160"/>
      <c r="R8" s="247">
        <v>460</v>
      </c>
      <c r="S8" s="160"/>
      <c r="T8" s="161">
        <v>570</v>
      </c>
      <c r="U8" s="248">
        <v>690</v>
      </c>
      <c r="V8" s="162">
        <v>820</v>
      </c>
      <c r="W8" s="249"/>
      <c r="X8" s="250">
        <v>970</v>
      </c>
    </row>
    <row r="9" ht="21" customHeight="1" spans="1:24">
      <c r="A9" s="26" t="s">
        <v>213</v>
      </c>
      <c r="B9" s="315"/>
      <c r="C9" s="323">
        <f t="shared" ref="C9:K9" si="0">C8+5</f>
        <v>55</v>
      </c>
      <c r="D9" s="324">
        <f t="shared" si="0"/>
        <v>65</v>
      </c>
      <c r="E9" s="324">
        <f t="shared" si="0"/>
        <v>75</v>
      </c>
      <c r="F9" s="324">
        <f t="shared" si="0"/>
        <v>85</v>
      </c>
      <c r="G9" s="324">
        <f t="shared" si="0"/>
        <v>105</v>
      </c>
      <c r="H9" s="324">
        <f t="shared" si="0"/>
        <v>125</v>
      </c>
      <c r="I9" s="324">
        <f t="shared" si="0"/>
        <v>145</v>
      </c>
      <c r="J9" s="324">
        <f t="shared" si="0"/>
        <v>175</v>
      </c>
      <c r="K9" s="363">
        <f t="shared" si="0"/>
        <v>205</v>
      </c>
      <c r="L9" s="364"/>
      <c r="M9" s="143">
        <f t="shared" ref="M9:P9" si="1">M8+5</f>
        <v>235</v>
      </c>
      <c r="N9" s="144"/>
      <c r="O9" s="145">
        <f t="shared" si="1"/>
        <v>285</v>
      </c>
      <c r="P9" s="146">
        <f t="shared" si="1"/>
        <v>365</v>
      </c>
      <c r="Q9" s="144"/>
      <c r="R9" s="238">
        <v>470</v>
      </c>
      <c r="S9" s="144"/>
      <c r="T9" s="145">
        <v>580</v>
      </c>
      <c r="U9" s="239">
        <v>700</v>
      </c>
      <c r="V9" s="146">
        <v>830</v>
      </c>
      <c r="W9" s="240"/>
      <c r="X9" s="241">
        <v>980</v>
      </c>
    </row>
    <row r="10" ht="21" customHeight="1" spans="1:24">
      <c r="A10" s="29" t="s">
        <v>214</v>
      </c>
      <c r="B10" s="30"/>
      <c r="C10" s="559">
        <f t="shared" ref="C10:K10" si="2">INT(C9*1.1)</f>
        <v>60</v>
      </c>
      <c r="D10" s="560">
        <f t="shared" si="2"/>
        <v>71</v>
      </c>
      <c r="E10" s="560">
        <f t="shared" si="2"/>
        <v>82</v>
      </c>
      <c r="F10" s="560">
        <f t="shared" si="2"/>
        <v>93</v>
      </c>
      <c r="G10" s="560">
        <f t="shared" si="2"/>
        <v>115</v>
      </c>
      <c r="H10" s="560">
        <f t="shared" si="2"/>
        <v>137</v>
      </c>
      <c r="I10" s="560">
        <f t="shared" si="2"/>
        <v>159</v>
      </c>
      <c r="J10" s="560">
        <f t="shared" si="2"/>
        <v>192</v>
      </c>
      <c r="K10" s="570">
        <f t="shared" si="2"/>
        <v>225</v>
      </c>
      <c r="L10" s="170"/>
      <c r="M10" s="149">
        <f t="shared" ref="M10:P10" si="3">INT(M9*1.1)</f>
        <v>258</v>
      </c>
      <c r="N10" s="150"/>
      <c r="O10" s="151">
        <f t="shared" si="3"/>
        <v>313</v>
      </c>
      <c r="P10" s="152">
        <f t="shared" si="3"/>
        <v>401</v>
      </c>
      <c r="Q10" s="150"/>
      <c r="R10" s="242">
        <f t="shared" ref="R10:V10" si="4">INT(R9*1.1)</f>
        <v>517</v>
      </c>
      <c r="S10" s="150"/>
      <c r="T10" s="151">
        <f t="shared" si="4"/>
        <v>638</v>
      </c>
      <c r="U10" s="243">
        <f t="shared" si="4"/>
        <v>770</v>
      </c>
      <c r="V10" s="152">
        <f t="shared" si="4"/>
        <v>913</v>
      </c>
      <c r="W10" s="244"/>
      <c r="X10" s="245">
        <f>INT(X9*1.1)</f>
        <v>1078</v>
      </c>
    </row>
    <row r="11" ht="21" customHeight="1" spans="1:24">
      <c r="A11" s="25" t="s">
        <v>215</v>
      </c>
      <c r="B11" s="26"/>
      <c r="C11" s="35">
        <f t="shared" ref="C11:K11" si="5">C9+5</f>
        <v>60</v>
      </c>
      <c r="D11" s="36">
        <f t="shared" si="5"/>
        <v>70</v>
      </c>
      <c r="E11" s="36">
        <f t="shared" si="5"/>
        <v>80</v>
      </c>
      <c r="F11" s="36">
        <f t="shared" si="5"/>
        <v>90</v>
      </c>
      <c r="G11" s="36">
        <f t="shared" si="5"/>
        <v>110</v>
      </c>
      <c r="H11" s="36">
        <f t="shared" si="5"/>
        <v>130</v>
      </c>
      <c r="I11" s="36">
        <f t="shared" si="5"/>
        <v>150</v>
      </c>
      <c r="J11" s="36">
        <f t="shared" si="5"/>
        <v>180</v>
      </c>
      <c r="K11" s="153">
        <f t="shared" si="5"/>
        <v>210</v>
      </c>
      <c r="L11" s="154"/>
      <c r="M11" s="155">
        <v>250</v>
      </c>
      <c r="N11" s="156"/>
      <c r="O11" s="145">
        <v>300</v>
      </c>
      <c r="P11" s="146">
        <v>380</v>
      </c>
      <c r="Q11" s="156"/>
      <c r="R11" s="238">
        <v>500</v>
      </c>
      <c r="S11" s="156"/>
      <c r="T11" s="145">
        <v>610</v>
      </c>
      <c r="U11" s="239">
        <v>740</v>
      </c>
      <c r="V11" s="146">
        <v>870</v>
      </c>
      <c r="W11" s="246"/>
      <c r="X11" s="241">
        <v>1020</v>
      </c>
    </row>
    <row r="12" ht="21" customHeight="1" spans="1:24">
      <c r="A12" s="73" t="s">
        <v>216</v>
      </c>
      <c r="B12" s="74"/>
      <c r="C12" s="75">
        <f t="shared" ref="C12:K12" si="6">C11+5</f>
        <v>65</v>
      </c>
      <c r="D12" s="76">
        <f t="shared" si="6"/>
        <v>75</v>
      </c>
      <c r="E12" s="76">
        <f t="shared" si="6"/>
        <v>85</v>
      </c>
      <c r="F12" s="76">
        <f t="shared" si="6"/>
        <v>95</v>
      </c>
      <c r="G12" s="76">
        <f t="shared" si="6"/>
        <v>115</v>
      </c>
      <c r="H12" s="76">
        <f t="shared" si="6"/>
        <v>135</v>
      </c>
      <c r="I12" s="76">
        <f t="shared" si="6"/>
        <v>155</v>
      </c>
      <c r="J12" s="76">
        <f t="shared" si="6"/>
        <v>185</v>
      </c>
      <c r="K12" s="182">
        <f t="shared" si="6"/>
        <v>215</v>
      </c>
      <c r="L12" s="196"/>
      <c r="M12" s="197">
        <f t="shared" ref="M12:P12" si="7">M11+5</f>
        <v>255</v>
      </c>
      <c r="N12" s="198"/>
      <c r="O12" s="161">
        <f t="shared" si="7"/>
        <v>305</v>
      </c>
      <c r="P12" s="162">
        <f t="shared" si="7"/>
        <v>385</v>
      </c>
      <c r="Q12" s="198"/>
      <c r="R12" s="247">
        <v>510</v>
      </c>
      <c r="S12" s="198"/>
      <c r="T12" s="161">
        <v>620</v>
      </c>
      <c r="U12" s="248">
        <v>750</v>
      </c>
      <c r="V12" s="162">
        <v>880</v>
      </c>
      <c r="W12" s="271"/>
      <c r="X12" s="250">
        <v>1030</v>
      </c>
    </row>
    <row r="13" ht="21" customHeight="1" spans="1:24">
      <c r="A13" s="29" t="s">
        <v>217</v>
      </c>
      <c r="B13" s="30"/>
      <c r="C13" s="1160">
        <f t="shared" ref="C13:K13" si="8">INT(C12*1.12)</f>
        <v>72</v>
      </c>
      <c r="D13" s="1161">
        <f t="shared" si="8"/>
        <v>84</v>
      </c>
      <c r="E13" s="1161">
        <f t="shared" si="8"/>
        <v>95</v>
      </c>
      <c r="F13" s="1161">
        <f t="shared" si="8"/>
        <v>106</v>
      </c>
      <c r="G13" s="1161">
        <f t="shared" si="8"/>
        <v>128</v>
      </c>
      <c r="H13" s="1161">
        <f t="shared" si="8"/>
        <v>151</v>
      </c>
      <c r="I13" s="1161">
        <f t="shared" si="8"/>
        <v>173</v>
      </c>
      <c r="J13" s="1161">
        <f t="shared" si="8"/>
        <v>207</v>
      </c>
      <c r="K13" s="1224">
        <f t="shared" si="8"/>
        <v>240</v>
      </c>
      <c r="L13" s="571"/>
      <c r="M13" s="572">
        <f t="shared" ref="M13:P13" si="9">INT(M12*1.12)</f>
        <v>285</v>
      </c>
      <c r="N13" s="573"/>
      <c r="O13" s="151">
        <f t="shared" si="9"/>
        <v>341</v>
      </c>
      <c r="P13" s="152">
        <f t="shared" si="9"/>
        <v>431</v>
      </c>
      <c r="Q13" s="573"/>
      <c r="R13" s="242">
        <f t="shared" ref="R13:V13" si="10">INT(R12*1.12)</f>
        <v>571</v>
      </c>
      <c r="S13" s="573"/>
      <c r="T13" s="151">
        <f t="shared" si="10"/>
        <v>694</v>
      </c>
      <c r="U13" s="243">
        <f t="shared" si="10"/>
        <v>840</v>
      </c>
      <c r="V13" s="152">
        <f t="shared" si="10"/>
        <v>985</v>
      </c>
      <c r="W13" s="583"/>
      <c r="X13" s="245">
        <f>INT(X12*1.12)</f>
        <v>1153</v>
      </c>
    </row>
    <row r="14" ht="21" customHeight="1" spans="1:24">
      <c r="A14" s="59" t="s">
        <v>18</v>
      </c>
      <c r="B14" s="60"/>
      <c r="C14" s="61">
        <v>0</v>
      </c>
      <c r="D14" s="62">
        <v>1</v>
      </c>
      <c r="E14" s="62">
        <v>2</v>
      </c>
      <c r="F14" s="63">
        <v>3</v>
      </c>
      <c r="G14" s="62">
        <v>4</v>
      </c>
      <c r="H14" s="64">
        <v>5</v>
      </c>
      <c r="I14" s="62">
        <v>6</v>
      </c>
      <c r="J14" s="174">
        <v>7</v>
      </c>
      <c r="K14" s="175">
        <v>8</v>
      </c>
      <c r="L14" s="176" t="s">
        <v>218</v>
      </c>
      <c r="M14" s="177"/>
      <c r="N14" s="177"/>
      <c r="O14" s="177"/>
      <c r="P14" s="177"/>
      <c r="Q14" s="177"/>
      <c r="R14" s="177"/>
      <c r="S14" s="177"/>
      <c r="T14" s="177"/>
      <c r="U14" s="177"/>
      <c r="V14" s="177"/>
      <c r="W14" s="177"/>
      <c r="X14" s="258"/>
    </row>
    <row r="15" ht="21" customHeight="1" spans="1:24">
      <c r="A15" s="25" t="s">
        <v>212</v>
      </c>
      <c r="B15" s="25"/>
      <c r="C15" s="89">
        <v>1.3</v>
      </c>
      <c r="D15" s="90">
        <v>1.25</v>
      </c>
      <c r="E15" s="90">
        <v>1.2</v>
      </c>
      <c r="F15" s="91">
        <v>1.15</v>
      </c>
      <c r="G15" s="90">
        <v>1.1</v>
      </c>
      <c r="H15" s="92">
        <v>1.05</v>
      </c>
      <c r="I15" s="90">
        <v>1</v>
      </c>
      <c r="J15" s="206">
        <v>0.9</v>
      </c>
      <c r="K15" s="207">
        <v>0.8</v>
      </c>
      <c r="L15" s="86" t="s">
        <v>219</v>
      </c>
      <c r="M15" s="205"/>
      <c r="N15" s="205"/>
      <c r="O15" s="205"/>
      <c r="P15" s="205"/>
      <c r="Q15" s="205"/>
      <c r="R15" s="205"/>
      <c r="S15" s="205"/>
      <c r="T15" s="205"/>
      <c r="U15" s="205"/>
      <c r="V15" s="205"/>
      <c r="W15" s="205"/>
      <c r="X15" s="276"/>
    </row>
    <row r="16" ht="21" customHeight="1" spans="1:24">
      <c r="A16" s="65" t="s">
        <v>213</v>
      </c>
      <c r="B16" s="65"/>
      <c r="C16" s="66">
        <v>1.3</v>
      </c>
      <c r="D16" s="67">
        <v>1.25</v>
      </c>
      <c r="E16" s="67">
        <v>1.2</v>
      </c>
      <c r="F16" s="93">
        <v>1.15</v>
      </c>
      <c r="G16" s="67">
        <v>1.1</v>
      </c>
      <c r="H16" s="69">
        <v>1.05</v>
      </c>
      <c r="I16" s="67">
        <v>1</v>
      </c>
      <c r="J16" s="178">
        <v>0.9</v>
      </c>
      <c r="K16" s="179">
        <v>0.8</v>
      </c>
      <c r="L16" s="86" t="s">
        <v>220</v>
      </c>
      <c r="M16" s="205"/>
      <c r="N16" s="205"/>
      <c r="O16" s="205"/>
      <c r="P16" s="205"/>
      <c r="Q16" s="205"/>
      <c r="R16" s="205"/>
      <c r="S16" s="205"/>
      <c r="T16" s="205"/>
      <c r="U16" s="205"/>
      <c r="V16" s="205"/>
      <c r="W16" s="205"/>
      <c r="X16" s="276"/>
    </row>
    <row r="17" ht="21" customHeight="1" spans="1:24">
      <c r="A17" s="25" t="s">
        <v>215</v>
      </c>
      <c r="B17" s="25"/>
      <c r="C17" s="89">
        <v>1.3</v>
      </c>
      <c r="D17" s="90">
        <v>1.25</v>
      </c>
      <c r="E17" s="90">
        <v>1.2</v>
      </c>
      <c r="F17" s="91">
        <v>1.15</v>
      </c>
      <c r="G17" s="90">
        <v>1.1</v>
      </c>
      <c r="H17" s="92">
        <v>1.05</v>
      </c>
      <c r="I17" s="90">
        <v>1</v>
      </c>
      <c r="J17" s="206">
        <v>0.9</v>
      </c>
      <c r="K17" s="207">
        <v>0.8</v>
      </c>
      <c r="L17" s="86" t="s">
        <v>221</v>
      </c>
      <c r="M17" s="205"/>
      <c r="N17" s="205"/>
      <c r="O17" s="205"/>
      <c r="P17" s="205"/>
      <c r="Q17" s="205"/>
      <c r="R17" s="205"/>
      <c r="S17" s="205"/>
      <c r="T17" s="205"/>
      <c r="U17" s="205"/>
      <c r="V17" s="205"/>
      <c r="W17" s="205"/>
      <c r="X17" s="276"/>
    </row>
    <row r="18" ht="21" customHeight="1" spans="1:24">
      <c r="A18" s="65" t="s">
        <v>216</v>
      </c>
      <c r="B18" s="65"/>
      <c r="C18" s="66">
        <v>1.3</v>
      </c>
      <c r="D18" s="67">
        <v>1.25</v>
      </c>
      <c r="E18" s="67">
        <v>1.2</v>
      </c>
      <c r="F18" s="93">
        <v>1.15</v>
      </c>
      <c r="G18" s="67">
        <v>1.1</v>
      </c>
      <c r="H18" s="69">
        <v>1.05</v>
      </c>
      <c r="I18" s="67">
        <v>1</v>
      </c>
      <c r="J18" s="178">
        <v>0.9</v>
      </c>
      <c r="K18" s="378">
        <v>0.8</v>
      </c>
      <c r="L18" s="86" t="s">
        <v>222</v>
      </c>
      <c r="M18" s="205"/>
      <c r="N18" s="205"/>
      <c r="O18" s="205"/>
      <c r="P18" s="205"/>
      <c r="Q18" s="205"/>
      <c r="R18" s="205"/>
      <c r="S18" s="205"/>
      <c r="T18" s="205"/>
      <c r="U18" s="205"/>
      <c r="V18" s="205"/>
      <c r="W18" s="205"/>
      <c r="X18" s="276"/>
    </row>
    <row r="19" ht="21" customHeight="1" spans="1:24">
      <c r="A19" s="1427" t="s">
        <v>223</v>
      </c>
      <c r="B19" s="1428"/>
      <c r="C19" s="1428"/>
      <c r="D19" s="1428"/>
      <c r="E19" s="1428"/>
      <c r="F19" s="1428"/>
      <c r="G19" s="1428"/>
      <c r="H19" s="1428"/>
      <c r="I19" s="1428"/>
      <c r="J19" s="1428"/>
      <c r="K19" s="1428"/>
      <c r="L19" s="1428"/>
      <c r="M19" s="1428"/>
      <c r="N19" s="1428"/>
      <c r="O19" s="1428"/>
      <c r="P19" s="1428"/>
      <c r="Q19" s="1428"/>
      <c r="R19" s="1428"/>
      <c r="S19" s="1428"/>
      <c r="T19" s="1428"/>
      <c r="U19" s="1428"/>
      <c r="V19" s="1428"/>
      <c r="W19" s="1428"/>
      <c r="X19" s="1453"/>
    </row>
    <row r="20" ht="21" customHeight="1" spans="1:24">
      <c r="A20" s="1429" t="s">
        <v>224</v>
      </c>
      <c r="B20" s="177"/>
      <c r="C20" s="177"/>
      <c r="D20" s="177"/>
      <c r="E20" s="177"/>
      <c r="F20" s="177"/>
      <c r="G20" s="177"/>
      <c r="H20" s="177"/>
      <c r="I20" s="177"/>
      <c r="J20" s="177"/>
      <c r="K20" s="177"/>
      <c r="L20" s="177"/>
      <c r="M20" s="177"/>
      <c r="N20" s="177"/>
      <c r="O20" s="177"/>
      <c r="P20" s="177"/>
      <c r="Q20" s="177"/>
      <c r="R20" s="177"/>
      <c r="S20" s="177"/>
      <c r="T20" s="177"/>
      <c r="U20" s="177"/>
      <c r="V20" s="177"/>
      <c r="W20" s="177"/>
      <c r="X20" s="258"/>
    </row>
    <row r="21" ht="21" customHeight="1" spans="1:24">
      <c r="A21" s="550"/>
      <c r="B21" s="657"/>
      <c r="C21" s="657"/>
      <c r="D21" s="657"/>
      <c r="E21" s="657"/>
      <c r="F21" s="657"/>
      <c r="G21" s="657"/>
      <c r="H21" s="657"/>
      <c r="I21" s="657"/>
      <c r="J21" s="657"/>
      <c r="K21" s="657"/>
      <c r="L21" s="657"/>
      <c r="M21" s="657"/>
      <c r="N21" s="657"/>
      <c r="O21" s="657"/>
      <c r="P21" s="657"/>
      <c r="Q21" s="657"/>
      <c r="R21" s="657"/>
      <c r="S21" s="657"/>
      <c r="T21" s="657"/>
      <c r="U21" s="657"/>
      <c r="V21" s="657"/>
      <c r="W21" s="657"/>
      <c r="X21" s="678"/>
    </row>
    <row r="22" ht="21" customHeight="1" spans="1:24">
      <c r="A22" s="872" t="s">
        <v>8</v>
      </c>
      <c r="B22" s="873"/>
      <c r="C22" s="23">
        <v>0</v>
      </c>
      <c r="D22" s="24">
        <v>1</v>
      </c>
      <c r="E22" s="24">
        <v>2</v>
      </c>
      <c r="F22" s="24">
        <v>3</v>
      </c>
      <c r="G22" s="24">
        <v>4</v>
      </c>
      <c r="H22" s="24">
        <v>5</v>
      </c>
      <c r="I22" s="24">
        <v>6</v>
      </c>
      <c r="J22" s="24">
        <v>7</v>
      </c>
      <c r="K22" s="135">
        <v>8</v>
      </c>
      <c r="L22" s="136">
        <v>9</v>
      </c>
      <c r="M22" s="137"/>
      <c r="N22" s="138"/>
      <c r="O22" s="139">
        <v>10</v>
      </c>
      <c r="P22" s="140">
        <v>11</v>
      </c>
      <c r="Q22" s="236">
        <v>12</v>
      </c>
      <c r="R22" s="236"/>
      <c r="S22" s="236"/>
      <c r="T22" s="139">
        <v>13</v>
      </c>
      <c r="U22" s="237">
        <v>14</v>
      </c>
      <c r="V22" s="140">
        <v>15</v>
      </c>
      <c r="W22" s="137">
        <v>16</v>
      </c>
      <c r="X22" s="138"/>
    </row>
    <row r="23" ht="21" customHeight="1" spans="1:24">
      <c r="A23" s="122" t="s">
        <v>225</v>
      </c>
      <c r="B23" s="123"/>
      <c r="C23" s="336">
        <v>15</v>
      </c>
      <c r="D23" s="337">
        <v>18</v>
      </c>
      <c r="E23" s="337">
        <v>21</v>
      </c>
      <c r="F23" s="337">
        <v>24</v>
      </c>
      <c r="G23" s="337">
        <v>27</v>
      </c>
      <c r="H23" s="337">
        <v>30</v>
      </c>
      <c r="I23" s="337">
        <v>33</v>
      </c>
      <c r="J23" s="337">
        <v>39</v>
      </c>
      <c r="K23" s="379">
        <v>48</v>
      </c>
      <c r="L23" s="380"/>
      <c r="M23" s="218">
        <v>60</v>
      </c>
      <c r="N23" s="367"/>
      <c r="O23" s="203">
        <v>83</v>
      </c>
      <c r="P23" s="204">
        <v>105</v>
      </c>
      <c r="Q23" s="367"/>
      <c r="R23" s="272">
        <v>128</v>
      </c>
      <c r="S23" s="367"/>
      <c r="T23" s="203">
        <v>150</v>
      </c>
      <c r="U23" s="273">
        <v>172</v>
      </c>
      <c r="V23" s="204">
        <v>194</v>
      </c>
      <c r="W23" s="403"/>
      <c r="X23" s="275">
        <v>225</v>
      </c>
    </row>
    <row r="24" ht="21" customHeight="1" spans="1:24">
      <c r="A24" s="1430" t="s">
        <v>226</v>
      </c>
      <c r="B24" s="1431"/>
      <c r="C24" s="1431"/>
      <c r="D24" s="1431"/>
      <c r="E24" s="1431"/>
      <c r="F24" s="1431"/>
      <c r="G24" s="1431"/>
      <c r="H24" s="1431"/>
      <c r="I24" s="1431"/>
      <c r="J24" s="1431"/>
      <c r="K24" s="1431"/>
      <c r="L24" s="1431"/>
      <c r="M24" s="1431"/>
      <c r="N24" s="1431"/>
      <c r="O24" s="1431"/>
      <c r="P24" s="1431"/>
      <c r="Q24" s="1431"/>
      <c r="R24" s="1431"/>
      <c r="S24" s="1431"/>
      <c r="T24" s="1431"/>
      <c r="U24" s="1431"/>
      <c r="V24" s="1430" t="str">
        <f>_xlfn.DISPIMG("ID_9E3AEF143C2E4014BC8E19EBC589F6FA",1)</f>
        <v>=DISPIMG("ID_9E3AEF143C2E4014BC8E19EBC589F6FA",1)</v>
      </c>
      <c r="W24" s="1431"/>
      <c r="X24" s="1454"/>
    </row>
    <row r="25" ht="21" customHeight="1" spans="1:24">
      <c r="A25" s="1429" t="s">
        <v>227</v>
      </c>
      <c r="B25" s="1432"/>
      <c r="C25" s="1432"/>
      <c r="D25" s="1432"/>
      <c r="E25" s="1432"/>
      <c r="F25" s="1432"/>
      <c r="G25" s="1432"/>
      <c r="H25" s="1432"/>
      <c r="I25" s="1432"/>
      <c r="J25" s="1432"/>
      <c r="K25" s="1432"/>
      <c r="L25" s="1432"/>
      <c r="M25" s="1432"/>
      <c r="N25" s="1432"/>
      <c r="O25" s="1432"/>
      <c r="P25" s="1432"/>
      <c r="Q25" s="1432"/>
      <c r="R25" s="1432"/>
      <c r="S25" s="1432"/>
      <c r="T25" s="1432"/>
      <c r="U25" s="1432"/>
      <c r="V25" s="1455"/>
      <c r="W25" s="1456"/>
      <c r="X25" s="1457"/>
    </row>
    <row r="26" ht="21" customHeight="1" spans="1:24">
      <c r="A26" s="1433"/>
      <c r="B26" s="1434"/>
      <c r="C26" s="1434"/>
      <c r="D26" s="1434"/>
      <c r="E26" s="1434"/>
      <c r="F26" s="1434"/>
      <c r="G26" s="1434"/>
      <c r="H26" s="1434"/>
      <c r="I26" s="1434"/>
      <c r="J26" s="1434"/>
      <c r="K26" s="1434"/>
      <c r="L26" s="1434"/>
      <c r="M26" s="1434"/>
      <c r="N26" s="1434"/>
      <c r="O26" s="1434"/>
      <c r="P26" s="1434"/>
      <c r="Q26" s="1434"/>
      <c r="R26" s="1434"/>
      <c r="S26" s="1434"/>
      <c r="T26" s="1434"/>
      <c r="U26" s="1434"/>
      <c r="V26" s="1455"/>
      <c r="W26" s="1456"/>
      <c r="X26" s="1457"/>
    </row>
    <row r="27" ht="21" customHeight="1" spans="1:24">
      <c r="A27" s="1435" t="s">
        <v>228</v>
      </c>
      <c r="B27" s="1436"/>
      <c r="C27" s="1436"/>
      <c r="D27" s="1436"/>
      <c r="E27" s="1436"/>
      <c r="F27" s="1436"/>
      <c r="G27" s="1436"/>
      <c r="H27" s="1436"/>
      <c r="I27" s="1436"/>
      <c r="J27" s="1436"/>
      <c r="K27" s="1436"/>
      <c r="L27" s="1436"/>
      <c r="M27" s="1436"/>
      <c r="N27" s="1436"/>
      <c r="O27" s="1436"/>
      <c r="P27" s="1436"/>
      <c r="Q27" s="1436"/>
      <c r="R27" s="1436"/>
      <c r="S27" s="1436"/>
      <c r="T27" s="1436"/>
      <c r="U27" s="1436"/>
      <c r="V27" s="1458"/>
      <c r="W27" s="1459"/>
      <c r="X27" s="1460"/>
    </row>
    <row r="28" ht="21" customHeight="1" spans="1:24">
      <c r="A28" s="872" t="s">
        <v>8</v>
      </c>
      <c r="B28" s="873"/>
      <c r="C28" s="23">
        <v>0</v>
      </c>
      <c r="D28" s="24">
        <v>1</v>
      </c>
      <c r="E28" s="24">
        <v>2</v>
      </c>
      <c r="F28" s="24">
        <v>3</v>
      </c>
      <c r="G28" s="24">
        <v>4</v>
      </c>
      <c r="H28" s="24">
        <v>5</v>
      </c>
      <c r="I28" s="24">
        <v>6</v>
      </c>
      <c r="J28" s="24">
        <v>7</v>
      </c>
      <c r="K28" s="135">
        <v>8</v>
      </c>
      <c r="L28" s="136">
        <v>9</v>
      </c>
      <c r="M28" s="137"/>
      <c r="N28" s="138"/>
      <c r="O28" s="139">
        <v>10</v>
      </c>
      <c r="P28" s="140">
        <v>11</v>
      </c>
      <c r="Q28" s="236">
        <v>12</v>
      </c>
      <c r="R28" s="236"/>
      <c r="S28" s="236"/>
      <c r="T28" s="139">
        <v>13</v>
      </c>
      <c r="U28" s="237">
        <v>14</v>
      </c>
      <c r="V28" s="140">
        <v>15</v>
      </c>
      <c r="W28" s="137">
        <v>16</v>
      </c>
      <c r="X28" s="138"/>
    </row>
    <row r="29" ht="21" customHeight="1" spans="1:24">
      <c r="A29" s="26" t="s">
        <v>229</v>
      </c>
      <c r="B29" s="315"/>
      <c r="C29" s="323">
        <f t="shared" ref="C29:K29" si="11">C12*0.2</f>
        <v>13</v>
      </c>
      <c r="D29" s="324">
        <f t="shared" si="11"/>
        <v>15</v>
      </c>
      <c r="E29" s="324">
        <f t="shared" si="11"/>
        <v>17</v>
      </c>
      <c r="F29" s="324">
        <f t="shared" si="11"/>
        <v>19</v>
      </c>
      <c r="G29" s="324">
        <f t="shared" si="11"/>
        <v>23</v>
      </c>
      <c r="H29" s="324">
        <f t="shared" si="11"/>
        <v>27</v>
      </c>
      <c r="I29" s="324">
        <f t="shared" si="11"/>
        <v>31</v>
      </c>
      <c r="J29" s="324">
        <f t="shared" si="11"/>
        <v>37</v>
      </c>
      <c r="K29" s="363">
        <f t="shared" si="11"/>
        <v>43</v>
      </c>
      <c r="L29" s="364"/>
      <c r="M29" s="143">
        <f t="shared" ref="M29:P29" si="12">M12*0.2</f>
        <v>51</v>
      </c>
      <c r="N29" s="144"/>
      <c r="O29" s="145">
        <f t="shared" si="12"/>
        <v>61</v>
      </c>
      <c r="P29" s="146">
        <f t="shared" si="12"/>
        <v>77</v>
      </c>
      <c r="Q29" s="144"/>
      <c r="R29" s="238">
        <f t="shared" ref="R29:V29" si="13">R12*0.2</f>
        <v>102</v>
      </c>
      <c r="S29" s="144"/>
      <c r="T29" s="145">
        <f t="shared" si="13"/>
        <v>124</v>
      </c>
      <c r="U29" s="239">
        <f t="shared" si="13"/>
        <v>150</v>
      </c>
      <c r="V29" s="146">
        <f t="shared" si="13"/>
        <v>176</v>
      </c>
      <c r="W29" s="240"/>
      <c r="X29" s="241">
        <f>X12*0.2</f>
        <v>206</v>
      </c>
    </row>
    <row r="30" ht="21" customHeight="1" spans="1:24">
      <c r="A30" s="622" t="s">
        <v>230</v>
      </c>
      <c r="B30" s="622"/>
      <c r="C30" s="622"/>
      <c r="D30" s="622"/>
      <c r="E30" s="622"/>
      <c r="F30" s="622"/>
      <c r="G30" s="622"/>
      <c r="H30" s="622"/>
      <c r="I30" s="622"/>
      <c r="J30" s="622"/>
      <c r="K30" s="622"/>
      <c r="L30" s="622"/>
      <c r="M30" s="622"/>
      <c r="N30" s="622"/>
      <c r="O30" s="622"/>
      <c r="P30" s="622"/>
      <c r="Q30" s="622"/>
      <c r="R30" s="622"/>
      <c r="S30" s="622"/>
      <c r="T30" s="622"/>
      <c r="U30" s="622"/>
      <c r="V30" s="622"/>
      <c r="W30" s="622"/>
      <c r="X30" s="622"/>
    </row>
    <row r="31" ht="21" customHeight="1" spans="1:24">
      <c r="A31" s="1437" t="s">
        <v>231</v>
      </c>
      <c r="B31" s="1438"/>
      <c r="C31" s="1439">
        <f t="shared" ref="C31:K31" si="14">INT(C8*1.15)</f>
        <v>57</v>
      </c>
      <c r="D31" s="1440">
        <f t="shared" si="14"/>
        <v>69</v>
      </c>
      <c r="E31" s="1440">
        <f t="shared" si="14"/>
        <v>80</v>
      </c>
      <c r="F31" s="1440">
        <f t="shared" si="14"/>
        <v>92</v>
      </c>
      <c r="G31" s="1440">
        <f t="shared" si="14"/>
        <v>115</v>
      </c>
      <c r="H31" s="1440">
        <f t="shared" si="14"/>
        <v>138</v>
      </c>
      <c r="I31" s="1440">
        <f t="shared" si="14"/>
        <v>161</v>
      </c>
      <c r="J31" s="1440">
        <f t="shared" si="14"/>
        <v>195</v>
      </c>
      <c r="K31" s="1446">
        <f t="shared" si="14"/>
        <v>230</v>
      </c>
      <c r="L31" s="1447"/>
      <c r="M31" s="1448">
        <f t="shared" ref="M31:P31" si="15">INT(M8*1.15)</f>
        <v>264</v>
      </c>
      <c r="N31" s="1449"/>
      <c r="O31" s="1450">
        <f t="shared" si="15"/>
        <v>322</v>
      </c>
      <c r="P31" s="1451">
        <f t="shared" si="15"/>
        <v>414</v>
      </c>
      <c r="Q31" s="1449"/>
      <c r="R31" s="1461">
        <f t="shared" ref="R31:V31" si="16">INT(R8*1.15)</f>
        <v>529</v>
      </c>
      <c r="S31" s="1449"/>
      <c r="T31" s="1450">
        <f t="shared" si="16"/>
        <v>655</v>
      </c>
      <c r="U31" s="1462">
        <f t="shared" si="16"/>
        <v>793</v>
      </c>
      <c r="V31" s="1451">
        <f t="shared" si="16"/>
        <v>943</v>
      </c>
      <c r="W31" s="1463"/>
      <c r="X31" s="1464">
        <f>INT(X8*1.15)</f>
        <v>1115</v>
      </c>
    </row>
    <row r="32" ht="21" customHeight="1" spans="1:24">
      <c r="A32" s="923" t="s">
        <v>232</v>
      </c>
      <c r="B32" s="315"/>
      <c r="C32" s="323">
        <f t="shared" ref="C32:K32" si="17">INT(INT(C12*1.12)*1.15)</f>
        <v>82</v>
      </c>
      <c r="D32" s="324">
        <f t="shared" si="17"/>
        <v>96</v>
      </c>
      <c r="E32" s="324">
        <f t="shared" si="17"/>
        <v>109</v>
      </c>
      <c r="F32" s="324">
        <f t="shared" si="17"/>
        <v>121</v>
      </c>
      <c r="G32" s="324">
        <f t="shared" si="17"/>
        <v>147</v>
      </c>
      <c r="H32" s="324">
        <f t="shared" si="17"/>
        <v>173</v>
      </c>
      <c r="I32" s="324">
        <f t="shared" si="17"/>
        <v>198</v>
      </c>
      <c r="J32" s="324">
        <f t="shared" si="17"/>
        <v>238</v>
      </c>
      <c r="K32" s="363">
        <f t="shared" si="17"/>
        <v>276</v>
      </c>
      <c r="L32" s="364"/>
      <c r="M32" s="143">
        <f t="shared" ref="M32:P32" si="18">INT(INT(M12*1.12)*1.15)</f>
        <v>327</v>
      </c>
      <c r="N32" s="144"/>
      <c r="O32" s="145">
        <f t="shared" si="18"/>
        <v>392</v>
      </c>
      <c r="P32" s="146">
        <f t="shared" si="18"/>
        <v>495</v>
      </c>
      <c r="Q32" s="144"/>
      <c r="R32" s="238">
        <f t="shared" ref="R32:V32" si="19">INT(INT(R12*1.12)*1.15)</f>
        <v>656</v>
      </c>
      <c r="S32" s="144"/>
      <c r="T32" s="145">
        <f t="shared" si="19"/>
        <v>798</v>
      </c>
      <c r="U32" s="239">
        <f t="shared" si="19"/>
        <v>966</v>
      </c>
      <c r="V32" s="146">
        <f t="shared" si="19"/>
        <v>1132</v>
      </c>
      <c r="W32" s="240"/>
      <c r="X32" s="241">
        <f>INT(INT(X12*1.12)*1.15)</f>
        <v>1325</v>
      </c>
    </row>
    <row r="33" ht="21" customHeight="1" spans="1:24">
      <c r="A33" s="86" t="s">
        <v>233</v>
      </c>
      <c r="B33" s="205"/>
      <c r="C33" s="205"/>
      <c r="D33" s="205"/>
      <c r="E33" s="205"/>
      <c r="F33" s="205"/>
      <c r="G33" s="205"/>
      <c r="H33" s="205"/>
      <c r="I33" s="205"/>
      <c r="J33" s="205"/>
      <c r="K33" s="205"/>
      <c r="L33" s="205"/>
      <c r="M33" s="205"/>
      <c r="N33" s="205"/>
      <c r="O33" s="205"/>
      <c r="P33" s="205"/>
      <c r="Q33" s="205"/>
      <c r="R33" s="205"/>
      <c r="S33" s="205"/>
      <c r="T33" s="205"/>
      <c r="U33" s="205"/>
      <c r="V33" s="205"/>
      <c r="W33" s="205"/>
      <c r="X33" s="276"/>
    </row>
    <row r="34" ht="19.5" spans="1:24">
      <c r="A34" s="45"/>
      <c r="B34" s="46"/>
      <c r="C34" s="46"/>
      <c r="D34" s="46"/>
      <c r="E34" s="46"/>
      <c r="F34" s="46"/>
      <c r="G34" s="46"/>
      <c r="H34" s="46"/>
      <c r="I34" s="46"/>
      <c r="J34" s="46"/>
      <c r="K34" s="46"/>
      <c r="L34" s="46"/>
      <c r="M34" s="46"/>
      <c r="N34" s="46"/>
      <c r="O34" s="46"/>
      <c r="P34" s="46"/>
      <c r="Q34" s="46"/>
      <c r="R34" s="46"/>
      <c r="S34" s="46"/>
      <c r="T34" s="46"/>
      <c r="U34" s="46"/>
      <c r="V34" s="46"/>
      <c r="W34" s="46"/>
      <c r="X34" s="252"/>
    </row>
    <row r="35" ht="44" customHeight="1" spans="1:24">
      <c r="A35" s="353" t="str">
        <f>_xlfn.DISPIMG("ID_F21561F2AD374EDD8FAB90CE275097C4",1)</f>
        <v>=DISPIMG("ID_F21561F2AD374EDD8FAB90CE275097C4",1)</v>
      </c>
      <c r="B35" s="354"/>
      <c r="C35" s="354"/>
      <c r="D35" s="354"/>
      <c r="E35" s="354"/>
      <c r="F35" s="355"/>
      <c r="G35" s="1441" t="s">
        <v>234</v>
      </c>
      <c r="H35" s="1442"/>
      <c r="I35" s="1442"/>
      <c r="J35" s="1442"/>
      <c r="K35" s="1442"/>
      <c r="L35" s="1442"/>
      <c r="M35" s="1442"/>
      <c r="N35" s="1442"/>
      <c r="O35" s="1452"/>
      <c r="P35" s="353" t="str">
        <f>_xlfn.DISPIMG("ID_69AE383DD7BC4937AEF816CB4F6FD6FA",1)</f>
        <v>=DISPIMG("ID_69AE383DD7BC4937AEF816CB4F6FD6FA",1)</v>
      </c>
      <c r="Q35" s="354"/>
      <c r="R35" s="354"/>
      <c r="S35" s="354"/>
      <c r="T35" s="354"/>
      <c r="U35" s="354"/>
      <c r="V35" s="354"/>
      <c r="W35" s="354"/>
      <c r="X35" s="355"/>
    </row>
    <row r="36" ht="19.5" spans="1:24">
      <c r="A36" s="714"/>
      <c r="B36" s="715"/>
      <c r="C36" s="715"/>
      <c r="D36" s="715"/>
      <c r="E36" s="715"/>
      <c r="F36" s="715"/>
      <c r="G36" s="715"/>
      <c r="H36" s="715"/>
      <c r="I36" s="715"/>
      <c r="J36" s="715"/>
      <c r="K36" s="715"/>
      <c r="L36" s="715"/>
      <c r="M36" s="715"/>
      <c r="N36" s="715"/>
      <c r="O36" s="715"/>
      <c r="P36" s="715"/>
      <c r="Q36" s="715"/>
      <c r="R36" s="715"/>
      <c r="S36" s="715"/>
      <c r="T36" s="715"/>
      <c r="U36" s="715"/>
      <c r="V36" s="715"/>
      <c r="W36" s="715"/>
      <c r="X36" s="749"/>
    </row>
    <row r="37" ht="21" customHeight="1" spans="1:24">
      <c r="A37" s="21" t="s">
        <v>8</v>
      </c>
      <c r="B37" s="22"/>
      <c r="C37" s="23">
        <v>0</v>
      </c>
      <c r="D37" s="24">
        <v>1</v>
      </c>
      <c r="E37" s="24">
        <v>2</v>
      </c>
      <c r="F37" s="24">
        <v>3</v>
      </c>
      <c r="G37" s="24">
        <v>4</v>
      </c>
      <c r="H37" s="24">
        <v>5</v>
      </c>
      <c r="I37" s="24">
        <v>6</v>
      </c>
      <c r="J37" s="24">
        <v>7</v>
      </c>
      <c r="K37" s="135">
        <v>8</v>
      </c>
      <c r="L37" s="136">
        <v>9</v>
      </c>
      <c r="M37" s="137"/>
      <c r="N37" s="138"/>
      <c r="O37" s="139">
        <v>10</v>
      </c>
      <c r="P37" s="140">
        <v>11</v>
      </c>
      <c r="Q37" s="236">
        <v>12</v>
      </c>
      <c r="R37" s="236"/>
      <c r="S37" s="236"/>
      <c r="T37" s="139">
        <v>13</v>
      </c>
      <c r="U37" s="237">
        <v>14</v>
      </c>
      <c r="V37" s="140">
        <v>15</v>
      </c>
      <c r="W37" s="137">
        <v>16</v>
      </c>
      <c r="X37" s="138"/>
    </row>
    <row r="38" ht="21" customHeight="1" spans="1:24">
      <c r="A38" s="549" t="s">
        <v>235</v>
      </c>
      <c r="B38" s="550"/>
      <c r="C38" s="359">
        <v>60</v>
      </c>
      <c r="D38" s="360">
        <v>70</v>
      </c>
      <c r="E38" s="360">
        <v>80</v>
      </c>
      <c r="F38" s="360">
        <v>90</v>
      </c>
      <c r="G38" s="360">
        <v>110</v>
      </c>
      <c r="H38" s="360">
        <v>130</v>
      </c>
      <c r="I38" s="360">
        <v>150</v>
      </c>
      <c r="J38" s="360">
        <v>180</v>
      </c>
      <c r="K38" s="397">
        <v>210</v>
      </c>
      <c r="L38" s="200"/>
      <c r="M38" s="399">
        <v>250</v>
      </c>
      <c r="N38" s="202"/>
      <c r="O38" s="401">
        <v>300</v>
      </c>
      <c r="P38" s="402">
        <v>380</v>
      </c>
      <c r="Q38" s="202"/>
      <c r="R38" s="429">
        <v>500</v>
      </c>
      <c r="S38" s="202"/>
      <c r="T38" s="401">
        <v>610</v>
      </c>
      <c r="U38" s="430">
        <v>740</v>
      </c>
      <c r="V38" s="402">
        <v>870</v>
      </c>
      <c r="W38" s="274"/>
      <c r="X38" s="432">
        <v>1020</v>
      </c>
    </row>
    <row r="39" ht="21" customHeight="1" spans="1:24">
      <c r="A39" s="549" t="s">
        <v>236</v>
      </c>
      <c r="B39" s="550"/>
      <c r="C39" s="359">
        <v>32</v>
      </c>
      <c r="D39" s="360">
        <v>39</v>
      </c>
      <c r="E39" s="360">
        <v>45</v>
      </c>
      <c r="F39" s="360">
        <v>52</v>
      </c>
      <c r="G39" s="360">
        <v>65</v>
      </c>
      <c r="H39" s="360">
        <v>78</v>
      </c>
      <c r="I39" s="360">
        <v>91</v>
      </c>
      <c r="J39" s="360">
        <v>110</v>
      </c>
      <c r="K39" s="397">
        <v>130</v>
      </c>
      <c r="L39" s="200"/>
      <c r="M39" s="399">
        <v>149</v>
      </c>
      <c r="N39" s="202"/>
      <c r="O39" s="401">
        <v>182</v>
      </c>
      <c r="P39" s="402">
        <v>234</v>
      </c>
      <c r="Q39" s="202"/>
      <c r="R39" s="429">
        <v>299</v>
      </c>
      <c r="S39" s="202"/>
      <c r="T39" s="401">
        <v>370</v>
      </c>
      <c r="U39" s="430">
        <v>448</v>
      </c>
      <c r="V39" s="402">
        <v>533</v>
      </c>
      <c r="W39" s="274"/>
      <c r="X39" s="432">
        <v>630</v>
      </c>
    </row>
    <row r="40" ht="21" customHeight="1" spans="1:24">
      <c r="A40" s="59" t="s">
        <v>18</v>
      </c>
      <c r="B40" s="60"/>
      <c r="C40" s="61">
        <v>0</v>
      </c>
      <c r="D40" s="62">
        <v>1</v>
      </c>
      <c r="E40" s="62">
        <v>2</v>
      </c>
      <c r="F40" s="63">
        <v>3</v>
      </c>
      <c r="G40" s="62">
        <v>4</v>
      </c>
      <c r="H40" s="64">
        <v>5</v>
      </c>
      <c r="I40" s="62">
        <v>6</v>
      </c>
      <c r="J40" s="174">
        <v>7</v>
      </c>
      <c r="K40" s="175">
        <v>8</v>
      </c>
      <c r="L40" s="176" t="s">
        <v>237</v>
      </c>
      <c r="M40" s="177"/>
      <c r="N40" s="177"/>
      <c r="O40" s="177"/>
      <c r="P40" s="177"/>
      <c r="Q40" s="177"/>
      <c r="R40" s="177"/>
      <c r="S40" s="177"/>
      <c r="T40" s="177"/>
      <c r="U40" s="177"/>
      <c r="V40" s="177"/>
      <c r="W40" s="177"/>
      <c r="X40" s="258"/>
    </row>
    <row r="41" ht="21" customHeight="1" spans="1:24">
      <c r="A41" s="122" t="s">
        <v>235</v>
      </c>
      <c r="B41" s="122"/>
      <c r="C41" s="41">
        <v>1.3</v>
      </c>
      <c r="D41" s="42">
        <v>1.25</v>
      </c>
      <c r="E41" s="42">
        <v>1.2</v>
      </c>
      <c r="F41" s="43">
        <v>1.15</v>
      </c>
      <c r="G41" s="42">
        <v>1.1</v>
      </c>
      <c r="H41" s="44">
        <v>1.05</v>
      </c>
      <c r="I41" s="42">
        <v>1</v>
      </c>
      <c r="J41" s="163">
        <v>0.9</v>
      </c>
      <c r="K41" s="164">
        <v>0.8</v>
      </c>
      <c r="L41" s="122" t="s">
        <v>238</v>
      </c>
      <c r="M41" s="122"/>
      <c r="N41" s="122"/>
      <c r="O41" s="122"/>
      <c r="P41" s="122"/>
      <c r="Q41" s="122"/>
      <c r="R41" s="122"/>
      <c r="S41" s="122"/>
      <c r="T41" s="122"/>
      <c r="U41" s="122"/>
      <c r="V41" s="122"/>
      <c r="W41" s="122"/>
      <c r="X41" s="122"/>
    </row>
    <row r="42" ht="21" customHeight="1" spans="1:24">
      <c r="A42" s="122" t="s">
        <v>236</v>
      </c>
      <c r="B42" s="122"/>
      <c r="C42" s="41">
        <v>1.5</v>
      </c>
      <c r="D42" s="42">
        <v>1.45</v>
      </c>
      <c r="E42" s="42">
        <v>1.4</v>
      </c>
      <c r="F42" s="43">
        <v>1.35</v>
      </c>
      <c r="G42" s="42">
        <v>1.3</v>
      </c>
      <c r="H42" s="44">
        <v>1.25</v>
      </c>
      <c r="I42" s="42">
        <v>1.2</v>
      </c>
      <c r="J42" s="163">
        <v>1.15</v>
      </c>
      <c r="K42" s="164">
        <v>1.05</v>
      </c>
      <c r="L42" s="122" t="s">
        <v>239</v>
      </c>
      <c r="M42" s="122"/>
      <c r="N42" s="122"/>
      <c r="O42" s="122"/>
      <c r="P42" s="122"/>
      <c r="Q42" s="122"/>
      <c r="R42" s="122"/>
      <c r="S42" s="122"/>
      <c r="T42" s="122"/>
      <c r="U42" s="122"/>
      <c r="V42" s="122"/>
      <c r="W42" s="122"/>
      <c r="X42" s="122"/>
    </row>
    <row r="43" ht="21" customHeight="1" spans="1:24">
      <c r="A43" s="86" t="s">
        <v>240</v>
      </c>
      <c r="B43" s="205"/>
      <c r="C43" s="205"/>
      <c r="D43" s="205"/>
      <c r="E43" s="205"/>
      <c r="F43" s="205"/>
      <c r="G43" s="205"/>
      <c r="H43" s="205"/>
      <c r="I43" s="205"/>
      <c r="J43" s="205"/>
      <c r="K43" s="205"/>
      <c r="L43" s="205"/>
      <c r="M43" s="205"/>
      <c r="N43" s="205"/>
      <c r="O43" s="205"/>
      <c r="P43" s="205"/>
      <c r="Q43" s="205"/>
      <c r="R43" s="205"/>
      <c r="S43" s="205"/>
      <c r="T43" s="205"/>
      <c r="U43" s="205"/>
      <c r="V43" s="205"/>
      <c r="W43" s="205"/>
      <c r="X43" s="276"/>
    </row>
    <row r="44" ht="21" customHeight="1" spans="1:24">
      <c r="A44" s="45"/>
      <c r="B44" s="46"/>
      <c r="C44" s="46"/>
      <c r="D44" s="46"/>
      <c r="E44" s="46"/>
      <c r="F44" s="46"/>
      <c r="G44" s="46"/>
      <c r="H44" s="46"/>
      <c r="I44" s="46"/>
      <c r="J44" s="46"/>
      <c r="K44" s="46"/>
      <c r="L44" s="46"/>
      <c r="M44" s="46"/>
      <c r="N44" s="46"/>
      <c r="O44" s="46"/>
      <c r="P44" s="46"/>
      <c r="Q44" s="46"/>
      <c r="R44" s="46"/>
      <c r="S44" s="46"/>
      <c r="T44" s="46"/>
      <c r="U44" s="46"/>
      <c r="V44" s="46"/>
      <c r="W44" s="46"/>
      <c r="X44" s="252"/>
    </row>
    <row r="45" ht="44" customHeight="1" spans="1:24">
      <c r="A45" s="14" t="str">
        <f>_xlfn.DISPIMG("ID_8FE8662A61704457AE8B558C0786ACEC",1)</f>
        <v>=DISPIMG("ID_8FE8662A61704457AE8B558C0786ACEC",1)</v>
      </c>
      <c r="B45" s="15" t="str">
        <f>_xlfn.DISPIMG("ID_059086BA15204467ACB4E5AE587F97EC",1)</f>
        <v>=DISPIMG("ID_059086BA15204467ACB4E5AE587F97EC",1)</v>
      </c>
      <c r="C45" s="15" t="str">
        <f>_xlfn.DISPIMG("ID_618161E019514C638E907EBC2B7985D9",1)</f>
        <v>=DISPIMG("ID_618161E019514C638E907EBC2B7985D9",1)</v>
      </c>
      <c r="D45" s="15" t="str">
        <f>_xlfn.DISPIMG("ID_7AA31508B50A49ADA1312A739AEDE5F7",1)</f>
        <v>=DISPIMG("ID_7AA31508B50A49ADA1312A739AEDE5F7",1)</v>
      </c>
      <c r="E45" s="15" t="str">
        <f>_xlfn.DISPIMG("ID_EF5E953F68984A869BF56B2ECBA64C04",1)</f>
        <v>=DISPIMG("ID_EF5E953F68984A869BF56B2ECBA64C04",1)</v>
      </c>
      <c r="F45" s="16"/>
      <c r="G45" s="340" t="s">
        <v>241</v>
      </c>
      <c r="H45" s="341"/>
      <c r="I45" s="341"/>
      <c r="J45" s="341"/>
      <c r="K45" s="341"/>
      <c r="L45" s="341"/>
      <c r="M45" s="341"/>
      <c r="N45" s="341"/>
      <c r="O45" s="384"/>
      <c r="P45" s="14"/>
      <c r="Q45" s="15"/>
      <c r="R45" s="15"/>
      <c r="S45" s="15"/>
      <c r="T45" s="15" t="str">
        <f>_xlfn.DISPIMG("ID_5100732683C846E8BEEC7ADC28C07771",1)</f>
        <v>=DISPIMG("ID_5100732683C846E8BEEC7ADC28C07771",1)</v>
      </c>
      <c r="U45" s="15" t="str">
        <f>_xlfn.DISPIMG("ID_C0929E4AD73D4F7BAB0F13842D08E222",1)</f>
        <v>=DISPIMG("ID_C0929E4AD73D4F7BAB0F13842D08E222",1)</v>
      </c>
      <c r="V45" s="15"/>
      <c r="W45" s="15"/>
      <c r="X45" s="16"/>
    </row>
    <row r="46" ht="21" customHeight="1" spans="1:24">
      <c r="A46" s="714"/>
      <c r="B46" s="715"/>
      <c r="C46" s="715"/>
      <c r="D46" s="715"/>
      <c r="E46" s="715"/>
      <c r="F46" s="715"/>
      <c r="G46" s="715"/>
      <c r="H46" s="715"/>
      <c r="I46" s="715"/>
      <c r="J46" s="715"/>
      <c r="K46" s="715"/>
      <c r="L46" s="715"/>
      <c r="M46" s="715"/>
      <c r="N46" s="715"/>
      <c r="O46" s="715"/>
      <c r="P46" s="715"/>
      <c r="Q46" s="715"/>
      <c r="R46" s="715"/>
      <c r="S46" s="715"/>
      <c r="T46" s="715"/>
      <c r="U46" s="715"/>
      <c r="V46" s="715"/>
      <c r="W46" s="715"/>
      <c r="X46" s="749"/>
    </row>
    <row r="47" ht="21" customHeight="1" spans="1:24">
      <c r="A47" s="21" t="s">
        <v>8</v>
      </c>
      <c r="B47" s="22"/>
      <c r="C47" s="23">
        <v>0</v>
      </c>
      <c r="D47" s="24">
        <v>1</v>
      </c>
      <c r="E47" s="24">
        <v>2</v>
      </c>
      <c r="F47" s="24">
        <v>3</v>
      </c>
      <c r="G47" s="24">
        <v>4</v>
      </c>
      <c r="H47" s="24">
        <v>5</v>
      </c>
      <c r="I47" s="24">
        <v>6</v>
      </c>
      <c r="J47" s="24">
        <v>7</v>
      </c>
      <c r="K47" s="135">
        <v>8</v>
      </c>
      <c r="L47" s="136">
        <v>9</v>
      </c>
      <c r="M47" s="137"/>
      <c r="N47" s="138"/>
      <c r="O47" s="139">
        <v>10</v>
      </c>
      <c r="P47" s="140">
        <v>11</v>
      </c>
      <c r="Q47" s="236">
        <v>12</v>
      </c>
      <c r="R47" s="236"/>
      <c r="S47" s="236"/>
      <c r="T47" s="139">
        <v>13</v>
      </c>
      <c r="U47" s="237">
        <v>14</v>
      </c>
      <c r="V47" s="140">
        <v>15</v>
      </c>
      <c r="W47" s="137">
        <v>16</v>
      </c>
      <c r="X47" s="138"/>
    </row>
    <row r="48" ht="21" customHeight="1" spans="1:24">
      <c r="A48" s="73" t="s">
        <v>242</v>
      </c>
      <c r="B48" s="74"/>
      <c r="C48" s="321">
        <v>10</v>
      </c>
      <c r="D48" s="322">
        <v>11</v>
      </c>
      <c r="E48" s="322">
        <v>12</v>
      </c>
      <c r="F48" s="322">
        <v>13</v>
      </c>
      <c r="G48" s="322">
        <v>14</v>
      </c>
      <c r="H48" s="322">
        <v>16</v>
      </c>
      <c r="I48" s="322">
        <v>20</v>
      </c>
      <c r="J48" s="322">
        <v>24</v>
      </c>
      <c r="K48" s="361">
        <v>32</v>
      </c>
      <c r="L48" s="362"/>
      <c r="M48" s="159">
        <v>40</v>
      </c>
      <c r="N48" s="160"/>
      <c r="O48" s="161">
        <v>60</v>
      </c>
      <c r="P48" s="162">
        <v>75</v>
      </c>
      <c r="Q48" s="160"/>
      <c r="R48" s="247">
        <v>90</v>
      </c>
      <c r="S48" s="160"/>
      <c r="T48" s="161">
        <v>105</v>
      </c>
      <c r="U48" s="248">
        <v>120</v>
      </c>
      <c r="V48" s="162">
        <v>135</v>
      </c>
      <c r="W48" s="249"/>
      <c r="X48" s="250">
        <v>150</v>
      </c>
    </row>
    <row r="49" ht="21" customHeight="1" spans="1:24">
      <c r="A49" s="25" t="s">
        <v>243</v>
      </c>
      <c r="B49" s="26"/>
      <c r="C49" s="336">
        <v>12</v>
      </c>
      <c r="D49" s="337">
        <v>13</v>
      </c>
      <c r="E49" s="337">
        <v>14</v>
      </c>
      <c r="F49" s="337">
        <v>15</v>
      </c>
      <c r="G49" s="337">
        <v>16</v>
      </c>
      <c r="H49" s="337">
        <v>18</v>
      </c>
      <c r="I49" s="337">
        <v>19</v>
      </c>
      <c r="J49" s="337">
        <v>21</v>
      </c>
      <c r="K49" s="379">
        <v>23</v>
      </c>
      <c r="L49" s="380"/>
      <c r="M49" s="218">
        <v>28</v>
      </c>
      <c r="N49" s="367"/>
      <c r="O49" s="203">
        <v>35</v>
      </c>
      <c r="P49" s="204">
        <v>44</v>
      </c>
      <c r="Q49" s="367"/>
      <c r="R49" s="272">
        <v>53</v>
      </c>
      <c r="S49" s="367"/>
      <c r="T49" s="203">
        <v>65</v>
      </c>
      <c r="U49" s="273">
        <v>80</v>
      </c>
      <c r="V49" s="204">
        <v>95</v>
      </c>
      <c r="W49" s="403"/>
      <c r="X49" s="1465">
        <v>10</v>
      </c>
    </row>
    <row r="50" ht="21" customHeight="1" spans="1:24">
      <c r="A50" s="1443" t="s">
        <v>244</v>
      </c>
      <c r="B50" s="30"/>
      <c r="C50" s="53">
        <f t="shared" ref="C50:K50" si="20">INT(C49*1.5)</f>
        <v>18</v>
      </c>
      <c r="D50" s="54">
        <f t="shared" si="20"/>
        <v>19</v>
      </c>
      <c r="E50" s="54">
        <f t="shared" si="20"/>
        <v>21</v>
      </c>
      <c r="F50" s="54">
        <f t="shared" si="20"/>
        <v>22</v>
      </c>
      <c r="G50" s="54">
        <f t="shared" si="20"/>
        <v>24</v>
      </c>
      <c r="H50" s="54">
        <f t="shared" si="20"/>
        <v>27</v>
      </c>
      <c r="I50" s="54">
        <f t="shared" si="20"/>
        <v>28</v>
      </c>
      <c r="J50" s="54">
        <f t="shared" si="20"/>
        <v>31</v>
      </c>
      <c r="K50" s="169">
        <f t="shared" si="20"/>
        <v>34</v>
      </c>
      <c r="L50" s="170"/>
      <c r="M50" s="149">
        <f t="shared" ref="M50:P50" si="21">INT(M49*1.5)</f>
        <v>42</v>
      </c>
      <c r="N50" s="150"/>
      <c r="O50" s="151">
        <f t="shared" si="21"/>
        <v>52</v>
      </c>
      <c r="P50" s="152">
        <f t="shared" si="21"/>
        <v>66</v>
      </c>
      <c r="Q50" s="150"/>
      <c r="R50" s="242">
        <f t="shared" ref="R50:V50" si="22">INT(R49*1.5)</f>
        <v>79</v>
      </c>
      <c r="S50" s="150"/>
      <c r="T50" s="151">
        <f t="shared" si="22"/>
        <v>97</v>
      </c>
      <c r="U50" s="243">
        <f t="shared" si="22"/>
        <v>120</v>
      </c>
      <c r="V50" s="152">
        <f t="shared" si="22"/>
        <v>142</v>
      </c>
      <c r="W50" s="244"/>
      <c r="X50" s="1299">
        <f>INT(X49*1.5)</f>
        <v>15</v>
      </c>
    </row>
    <row r="51" ht="21" customHeight="1" spans="1:24">
      <c r="A51" s="25" t="s">
        <v>245</v>
      </c>
      <c r="B51" s="26"/>
      <c r="C51" s="336">
        <v>10</v>
      </c>
      <c r="D51" s="337">
        <v>12</v>
      </c>
      <c r="E51" s="337">
        <v>14</v>
      </c>
      <c r="F51" s="337">
        <v>16</v>
      </c>
      <c r="G51" s="337">
        <v>18</v>
      </c>
      <c r="H51" s="337">
        <v>20</v>
      </c>
      <c r="I51" s="337">
        <v>22</v>
      </c>
      <c r="J51" s="337">
        <v>26</v>
      </c>
      <c r="K51" s="379">
        <v>32</v>
      </c>
      <c r="L51" s="380"/>
      <c r="M51" s="218">
        <v>40</v>
      </c>
      <c r="N51" s="367"/>
      <c r="O51" s="203">
        <v>55</v>
      </c>
      <c r="P51" s="204">
        <v>70</v>
      </c>
      <c r="Q51" s="367"/>
      <c r="R51" s="272">
        <v>85</v>
      </c>
      <c r="S51" s="367"/>
      <c r="T51" s="203">
        <v>100</v>
      </c>
      <c r="U51" s="273">
        <v>115</v>
      </c>
      <c r="V51" s="204">
        <v>130</v>
      </c>
      <c r="W51" s="403"/>
      <c r="X51" s="275">
        <v>145</v>
      </c>
    </row>
    <row r="52" ht="21" customHeight="1" spans="1:24">
      <c r="A52" s="1444" t="s">
        <v>246</v>
      </c>
      <c r="B52" s="1445"/>
      <c r="C52" s="1445"/>
      <c r="D52" s="1445"/>
      <c r="E52" s="1445"/>
      <c r="F52" s="1445"/>
      <c r="G52" s="1445"/>
      <c r="H52" s="1445"/>
      <c r="I52" s="1445"/>
      <c r="J52" s="1445"/>
      <c r="K52" s="1445"/>
      <c r="L52" s="1445"/>
      <c r="M52" s="1445"/>
      <c r="N52" s="1445"/>
      <c r="O52" s="1445"/>
      <c r="P52" s="1445"/>
      <c r="Q52" s="1445"/>
      <c r="R52" s="1445"/>
      <c r="S52" s="1445"/>
      <c r="T52" s="1445"/>
      <c r="U52" s="1445"/>
      <c r="V52" s="1445"/>
      <c r="W52" s="1445"/>
      <c r="X52" s="1466"/>
    </row>
    <row r="53" ht="21" customHeight="1" spans="1:24">
      <c r="A53" s="25" t="s">
        <v>247</v>
      </c>
      <c r="B53" s="26"/>
      <c r="C53" s="27">
        <v>10</v>
      </c>
      <c r="D53" s="28">
        <v>11</v>
      </c>
      <c r="E53" s="28">
        <v>12</v>
      </c>
      <c r="F53" s="28">
        <v>13</v>
      </c>
      <c r="G53" s="28">
        <v>14</v>
      </c>
      <c r="H53" s="28">
        <v>15</v>
      </c>
      <c r="I53" s="28">
        <v>16</v>
      </c>
      <c r="J53" s="28">
        <v>17</v>
      </c>
      <c r="K53" s="141">
        <v>20</v>
      </c>
      <c r="L53" s="142"/>
      <c r="M53" s="143">
        <v>24</v>
      </c>
      <c r="N53" s="144"/>
      <c r="O53" s="145">
        <v>30</v>
      </c>
      <c r="P53" s="146">
        <v>38</v>
      </c>
      <c r="Q53" s="144"/>
      <c r="R53" s="238">
        <v>49</v>
      </c>
      <c r="S53" s="144"/>
      <c r="T53" s="145">
        <v>60</v>
      </c>
      <c r="U53" s="239">
        <v>71</v>
      </c>
      <c r="V53" s="146">
        <v>82</v>
      </c>
      <c r="W53" s="240"/>
      <c r="X53" s="241">
        <v>93</v>
      </c>
    </row>
    <row r="54" ht="21" customHeight="1" spans="1:24">
      <c r="A54" s="29" t="s">
        <v>248</v>
      </c>
      <c r="B54" s="30"/>
      <c r="C54" s="53">
        <f t="shared" ref="C54:K54" si="23">INT(C53*1.1)</f>
        <v>11</v>
      </c>
      <c r="D54" s="54">
        <f t="shared" si="23"/>
        <v>12</v>
      </c>
      <c r="E54" s="54">
        <f t="shared" si="23"/>
        <v>13</v>
      </c>
      <c r="F54" s="54">
        <f t="shared" si="23"/>
        <v>14</v>
      </c>
      <c r="G54" s="54">
        <f t="shared" si="23"/>
        <v>15</v>
      </c>
      <c r="H54" s="54">
        <f t="shared" si="23"/>
        <v>16</v>
      </c>
      <c r="I54" s="54">
        <f t="shared" si="23"/>
        <v>17</v>
      </c>
      <c r="J54" s="54">
        <f t="shared" si="23"/>
        <v>18</v>
      </c>
      <c r="K54" s="169">
        <f t="shared" si="23"/>
        <v>22</v>
      </c>
      <c r="L54" s="170"/>
      <c r="M54" s="149">
        <f t="shared" ref="M54:P54" si="24">INT(M53*1.1)</f>
        <v>26</v>
      </c>
      <c r="N54" s="150"/>
      <c r="O54" s="151">
        <f t="shared" si="24"/>
        <v>33</v>
      </c>
      <c r="P54" s="152">
        <f t="shared" si="24"/>
        <v>41</v>
      </c>
      <c r="Q54" s="150"/>
      <c r="R54" s="242">
        <f t="shared" ref="R54:V54" si="25">INT(R53*1.1)</f>
        <v>53</v>
      </c>
      <c r="S54" s="150"/>
      <c r="T54" s="151">
        <f t="shared" si="25"/>
        <v>66</v>
      </c>
      <c r="U54" s="243">
        <f t="shared" si="25"/>
        <v>78</v>
      </c>
      <c r="V54" s="152">
        <f t="shared" si="25"/>
        <v>90</v>
      </c>
      <c r="W54" s="244"/>
      <c r="X54" s="245">
        <f>INT(X53*1.1)</f>
        <v>102</v>
      </c>
    </row>
    <row r="55" ht="21" customHeight="1" spans="1:24">
      <c r="A55" s="25" t="s">
        <v>249</v>
      </c>
      <c r="B55" s="26"/>
      <c r="C55" s="27">
        <v>12</v>
      </c>
      <c r="D55" s="28">
        <v>13</v>
      </c>
      <c r="E55" s="28">
        <v>14</v>
      </c>
      <c r="F55" s="28">
        <v>15</v>
      </c>
      <c r="G55" s="28">
        <v>16</v>
      </c>
      <c r="H55" s="28">
        <v>18</v>
      </c>
      <c r="I55" s="28">
        <v>19</v>
      </c>
      <c r="J55" s="28">
        <v>21</v>
      </c>
      <c r="K55" s="141">
        <v>23</v>
      </c>
      <c r="L55" s="142"/>
      <c r="M55" s="143">
        <v>28</v>
      </c>
      <c r="N55" s="144"/>
      <c r="O55" s="145">
        <v>35</v>
      </c>
      <c r="P55" s="146">
        <v>44</v>
      </c>
      <c r="Q55" s="144"/>
      <c r="R55" s="238">
        <v>53</v>
      </c>
      <c r="S55" s="144"/>
      <c r="T55" s="145">
        <v>65</v>
      </c>
      <c r="U55" s="239">
        <v>80</v>
      </c>
      <c r="V55" s="146">
        <v>95</v>
      </c>
      <c r="W55" s="240"/>
      <c r="X55" s="470">
        <v>10</v>
      </c>
    </row>
    <row r="56" ht="21" customHeight="1" spans="1:24">
      <c r="A56" s="21" t="s">
        <v>250</v>
      </c>
      <c r="B56" s="22"/>
      <c r="C56" s="23">
        <v>0</v>
      </c>
      <c r="D56" s="24">
        <v>1</v>
      </c>
      <c r="E56" s="24">
        <v>2</v>
      </c>
      <c r="F56" s="24">
        <v>3</v>
      </c>
      <c r="G56" s="24">
        <v>4</v>
      </c>
      <c r="H56" s="24">
        <v>5</v>
      </c>
      <c r="I56" s="24">
        <v>6</v>
      </c>
      <c r="J56" s="24">
        <v>7</v>
      </c>
      <c r="K56" s="135">
        <v>8</v>
      </c>
      <c r="L56" s="136">
        <v>9</v>
      </c>
      <c r="M56" s="137"/>
      <c r="N56" s="138"/>
      <c r="O56" s="139">
        <v>10</v>
      </c>
      <c r="P56" s="140">
        <v>11</v>
      </c>
      <c r="Q56" s="236">
        <v>12</v>
      </c>
      <c r="R56" s="236"/>
      <c r="S56" s="236"/>
      <c r="T56" s="139">
        <v>13</v>
      </c>
      <c r="U56" s="237">
        <v>14</v>
      </c>
      <c r="V56" s="140">
        <v>15</v>
      </c>
      <c r="W56" s="137">
        <v>16</v>
      </c>
      <c r="X56" s="138"/>
    </row>
    <row r="57" ht="21" customHeight="1" spans="1:24">
      <c r="A57" s="122" t="s">
        <v>251</v>
      </c>
      <c r="B57" s="123"/>
      <c r="C57" s="336">
        <v>300</v>
      </c>
      <c r="D57" s="337">
        <v>350</v>
      </c>
      <c r="E57" s="337">
        <v>400</v>
      </c>
      <c r="F57" s="337">
        <v>450</v>
      </c>
      <c r="G57" s="337">
        <v>500</v>
      </c>
      <c r="H57" s="337">
        <v>550</v>
      </c>
      <c r="I57" s="337">
        <v>600</v>
      </c>
      <c r="J57" s="337">
        <v>650</v>
      </c>
      <c r="K57" s="379">
        <v>700</v>
      </c>
      <c r="L57" s="380"/>
      <c r="M57" s="218">
        <v>750</v>
      </c>
      <c r="N57" s="367"/>
      <c r="O57" s="203">
        <v>800</v>
      </c>
      <c r="P57" s="204">
        <v>850</v>
      </c>
      <c r="Q57" s="367"/>
      <c r="R57" s="272">
        <v>900</v>
      </c>
      <c r="S57" s="367"/>
      <c r="T57" s="203">
        <v>1000</v>
      </c>
      <c r="U57" s="273">
        <v>1100</v>
      </c>
      <c r="V57" s="204">
        <v>1200</v>
      </c>
      <c r="W57" s="403"/>
      <c r="X57" s="275">
        <v>1300</v>
      </c>
    </row>
    <row r="58" ht="21" customHeight="1" spans="1:24">
      <c r="A58" s="29" t="s">
        <v>252</v>
      </c>
      <c r="B58" s="30"/>
      <c r="C58" s="559">
        <f t="shared" ref="C58:K58" si="26">INT(C57*1.1)</f>
        <v>330</v>
      </c>
      <c r="D58" s="560">
        <f t="shared" si="26"/>
        <v>385</v>
      </c>
      <c r="E58" s="560">
        <f t="shared" si="26"/>
        <v>440</v>
      </c>
      <c r="F58" s="560">
        <f t="shared" si="26"/>
        <v>495</v>
      </c>
      <c r="G58" s="560">
        <f t="shared" si="26"/>
        <v>550</v>
      </c>
      <c r="H58" s="560">
        <f t="shared" si="26"/>
        <v>605</v>
      </c>
      <c r="I58" s="560">
        <f t="shared" si="26"/>
        <v>660</v>
      </c>
      <c r="J58" s="560">
        <f t="shared" si="26"/>
        <v>715</v>
      </c>
      <c r="K58" s="570">
        <f t="shared" si="26"/>
        <v>770</v>
      </c>
      <c r="L58" s="571"/>
      <c r="M58" s="572">
        <f t="shared" ref="M58:P58" si="27">INT(M57*1.1)</f>
        <v>825</v>
      </c>
      <c r="N58" s="573"/>
      <c r="O58" s="151">
        <f t="shared" si="27"/>
        <v>880</v>
      </c>
      <c r="P58" s="152">
        <f t="shared" si="27"/>
        <v>935</v>
      </c>
      <c r="Q58" s="573"/>
      <c r="R58" s="242">
        <f t="shared" ref="R58:V58" si="28">INT(R57*1.1)</f>
        <v>990</v>
      </c>
      <c r="S58" s="573"/>
      <c r="T58" s="151">
        <f t="shared" si="28"/>
        <v>1100</v>
      </c>
      <c r="U58" s="243">
        <f t="shared" si="28"/>
        <v>1210</v>
      </c>
      <c r="V58" s="152">
        <f t="shared" si="28"/>
        <v>1320</v>
      </c>
      <c r="W58" s="583"/>
      <c r="X58" s="245">
        <f>INT(X57*1.1)</f>
        <v>1430</v>
      </c>
    </row>
    <row r="59" ht="21" customHeight="1" spans="1:24">
      <c r="A59" s="122" t="s">
        <v>253</v>
      </c>
      <c r="B59" s="123"/>
      <c r="C59" s="336">
        <v>350</v>
      </c>
      <c r="D59" s="337">
        <v>400</v>
      </c>
      <c r="E59" s="337">
        <v>450</v>
      </c>
      <c r="F59" s="337">
        <v>500</v>
      </c>
      <c r="G59" s="337">
        <v>550</v>
      </c>
      <c r="H59" s="337">
        <v>600</v>
      </c>
      <c r="I59" s="337">
        <v>650</v>
      </c>
      <c r="J59" s="337">
        <v>700</v>
      </c>
      <c r="K59" s="379">
        <v>750</v>
      </c>
      <c r="L59" s="380"/>
      <c r="M59" s="218">
        <v>850</v>
      </c>
      <c r="N59" s="367"/>
      <c r="O59" s="203">
        <v>950</v>
      </c>
      <c r="P59" s="204">
        <v>1050</v>
      </c>
      <c r="Q59" s="367"/>
      <c r="R59" s="272">
        <v>1150</v>
      </c>
      <c r="S59" s="367"/>
      <c r="T59" s="203">
        <v>1250</v>
      </c>
      <c r="U59" s="273">
        <v>1350</v>
      </c>
      <c r="V59" s="204">
        <v>1450</v>
      </c>
      <c r="W59" s="403"/>
      <c r="X59" s="1465">
        <v>350</v>
      </c>
    </row>
    <row r="60" ht="21" customHeight="1" spans="1:24">
      <c r="A60" s="456" t="s">
        <v>254</v>
      </c>
      <c r="B60" s="30"/>
      <c r="C60" s="53">
        <v>300</v>
      </c>
      <c r="D60" s="54">
        <v>350</v>
      </c>
      <c r="E60" s="54">
        <v>400</v>
      </c>
      <c r="F60" s="54">
        <v>450</v>
      </c>
      <c r="G60" s="54">
        <v>500</v>
      </c>
      <c r="H60" s="54">
        <v>550</v>
      </c>
      <c r="I60" s="54">
        <v>600</v>
      </c>
      <c r="J60" s="54">
        <v>650</v>
      </c>
      <c r="K60" s="169">
        <v>700</v>
      </c>
      <c r="L60" s="170"/>
      <c r="M60" s="149">
        <v>750</v>
      </c>
      <c r="N60" s="150"/>
      <c r="O60" s="151">
        <v>800</v>
      </c>
      <c r="P60" s="152">
        <v>850</v>
      </c>
      <c r="Q60" s="150"/>
      <c r="R60" s="242">
        <v>900</v>
      </c>
      <c r="S60" s="150"/>
      <c r="T60" s="151">
        <v>1000</v>
      </c>
      <c r="U60" s="243">
        <v>1100</v>
      </c>
      <c r="V60" s="152">
        <v>1200</v>
      </c>
      <c r="W60" s="244"/>
      <c r="X60" s="1299">
        <v>300</v>
      </c>
    </row>
    <row r="61" ht="21" customHeight="1" spans="1:24">
      <c r="A61" s="123" t="s">
        <v>255</v>
      </c>
      <c r="B61" s="333"/>
      <c r="C61" s="333"/>
      <c r="D61" s="333"/>
      <c r="E61" s="333"/>
      <c r="F61" s="333"/>
      <c r="G61" s="333"/>
      <c r="H61" s="333"/>
      <c r="I61" s="333"/>
      <c r="J61" s="333"/>
      <c r="K61" s="333"/>
      <c r="L61" s="333"/>
      <c r="M61" s="333"/>
      <c r="N61" s="333"/>
      <c r="O61" s="333"/>
      <c r="P61" s="333"/>
      <c r="Q61" s="333"/>
      <c r="R61" s="333"/>
      <c r="S61" s="333"/>
      <c r="T61" s="333"/>
      <c r="U61" s="333"/>
      <c r="V61" s="333"/>
      <c r="W61" s="333"/>
      <c r="X61" s="408"/>
    </row>
    <row r="62" spans="1:24">
      <c r="A62" s="959"/>
      <c r="B62" s="959"/>
      <c r="C62" s="959"/>
      <c r="D62" s="959"/>
      <c r="E62" s="959"/>
      <c r="F62" s="959"/>
      <c r="G62" s="959"/>
      <c r="H62" s="959"/>
      <c r="I62" s="959"/>
      <c r="J62" s="959"/>
      <c r="K62" s="959"/>
      <c r="L62" s="959"/>
      <c r="M62" s="959"/>
      <c r="N62" s="959"/>
      <c r="O62" s="959"/>
      <c r="P62" s="959"/>
      <c r="Q62" s="959"/>
      <c r="R62" s="959"/>
      <c r="S62" s="959"/>
      <c r="T62" s="959"/>
      <c r="U62" s="959"/>
      <c r="V62" s="959"/>
      <c r="W62" s="959"/>
      <c r="X62" s="959"/>
    </row>
  </sheetData>
  <sheetProtection formatCells="0" insertHyperlinks="0" autoFilter="0"/>
  <mergeCells count="93">
    <mergeCell ref="A1:C1"/>
    <mergeCell ref="D1:T1"/>
    <mergeCell ref="U1:X1"/>
    <mergeCell ref="B2:D2"/>
    <mergeCell ref="F2:H2"/>
    <mergeCell ref="J2:V2"/>
    <mergeCell ref="W2:X2"/>
    <mergeCell ref="A3:X3"/>
    <mergeCell ref="A4:X4"/>
    <mergeCell ref="G5:O5"/>
    <mergeCell ref="A6:X6"/>
    <mergeCell ref="A7:B7"/>
    <mergeCell ref="L7:N7"/>
    <mergeCell ref="Q7:S7"/>
    <mergeCell ref="W7:X7"/>
    <mergeCell ref="A8:B8"/>
    <mergeCell ref="A9:B9"/>
    <mergeCell ref="A10:B10"/>
    <mergeCell ref="A11:B11"/>
    <mergeCell ref="A12:B12"/>
    <mergeCell ref="A13:B13"/>
    <mergeCell ref="A14:B14"/>
    <mergeCell ref="L14:X14"/>
    <mergeCell ref="A15:B15"/>
    <mergeCell ref="L15:X15"/>
    <mergeCell ref="A16:B16"/>
    <mergeCell ref="L16:X16"/>
    <mergeCell ref="A17:B17"/>
    <mergeCell ref="L17:X17"/>
    <mergeCell ref="A18:B18"/>
    <mergeCell ref="L18:X18"/>
    <mergeCell ref="A19:X19"/>
    <mergeCell ref="A22:B22"/>
    <mergeCell ref="L22:N22"/>
    <mergeCell ref="Q22:S22"/>
    <mergeCell ref="W22:X22"/>
    <mergeCell ref="A23:B23"/>
    <mergeCell ref="A24:U24"/>
    <mergeCell ref="A27:U27"/>
    <mergeCell ref="A28:B28"/>
    <mergeCell ref="L28:N28"/>
    <mergeCell ref="Q28:S28"/>
    <mergeCell ref="W28:X28"/>
    <mergeCell ref="A29:B29"/>
    <mergeCell ref="A30:X30"/>
    <mergeCell ref="A31:B31"/>
    <mergeCell ref="A32:B32"/>
    <mergeCell ref="A33:X33"/>
    <mergeCell ref="A34:X34"/>
    <mergeCell ref="A35:F35"/>
    <mergeCell ref="G35:O35"/>
    <mergeCell ref="P35:X35"/>
    <mergeCell ref="A36:X36"/>
    <mergeCell ref="A37:B37"/>
    <mergeCell ref="L37:N37"/>
    <mergeCell ref="Q37:S37"/>
    <mergeCell ref="W37:X37"/>
    <mergeCell ref="A38:B38"/>
    <mergeCell ref="A39:B39"/>
    <mergeCell ref="A40:B40"/>
    <mergeCell ref="L40:X40"/>
    <mergeCell ref="A41:B41"/>
    <mergeCell ref="L41:X41"/>
    <mergeCell ref="A42:B42"/>
    <mergeCell ref="L42:X42"/>
    <mergeCell ref="A43:X43"/>
    <mergeCell ref="A44:X44"/>
    <mergeCell ref="G45:O45"/>
    <mergeCell ref="A46:X46"/>
    <mergeCell ref="A47:B47"/>
    <mergeCell ref="L47:N47"/>
    <mergeCell ref="Q47:S47"/>
    <mergeCell ref="W47:X47"/>
    <mergeCell ref="A48:B48"/>
    <mergeCell ref="A49:B49"/>
    <mergeCell ref="A50:B50"/>
    <mergeCell ref="A51:B51"/>
    <mergeCell ref="A52:X52"/>
    <mergeCell ref="A53:B53"/>
    <mergeCell ref="A54:B54"/>
    <mergeCell ref="A55:B55"/>
    <mergeCell ref="A56:B56"/>
    <mergeCell ref="L56:N56"/>
    <mergeCell ref="Q56:S56"/>
    <mergeCell ref="W56:X56"/>
    <mergeCell ref="A57:B57"/>
    <mergeCell ref="A58:B58"/>
    <mergeCell ref="A59:B59"/>
    <mergeCell ref="A60:B60"/>
    <mergeCell ref="A61:X61"/>
    <mergeCell ref="A20:X21"/>
    <mergeCell ref="V24:X27"/>
    <mergeCell ref="A25:U26"/>
  </mergeCells>
  <pageMargins left="0.75" right="0.75" top="1" bottom="1" header="0.5" footer="0.5"/>
  <headerFooter/>
  <pictur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
  <sheetViews>
    <sheetView workbookViewId="0">
      <selection activeCell="G9" sqref="G9"/>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8.025" style="1" customWidth="1"/>
    <col min="17" max="17" width="0.241666666666667" style="1" customWidth="1"/>
    <col min="18" max="18" width="7.625" style="1" customWidth="1"/>
    <col min="19" max="19" width="0.241666666666667" style="1" customWidth="1"/>
    <col min="20" max="22" width="8.025" style="1" customWidth="1"/>
    <col min="23" max="23" width="0.241666666666667" style="1" customWidth="1"/>
    <col min="24" max="24" width="7.625" style="1" customWidth="1"/>
    <col min="25" max="16382" width="9" style="1"/>
  </cols>
  <sheetData>
    <row r="1" ht="85" customHeight="1" spans="1:24">
      <c r="A1" s="2">
        <v>4</v>
      </c>
      <c r="B1" s="2"/>
      <c r="C1" s="2"/>
      <c r="D1" s="3" t="s">
        <v>256</v>
      </c>
      <c r="E1" s="2"/>
      <c r="F1" s="2"/>
      <c r="G1" s="2"/>
      <c r="H1" s="2"/>
      <c r="I1" s="2"/>
      <c r="J1" s="2"/>
      <c r="K1" s="2"/>
      <c r="L1" s="2"/>
      <c r="M1" s="2"/>
      <c r="N1" s="2"/>
      <c r="O1" s="2"/>
      <c r="P1" s="2"/>
      <c r="Q1" s="2"/>
      <c r="R1" s="2"/>
      <c r="S1" s="2"/>
      <c r="T1" s="2"/>
      <c r="U1" s="2">
        <v>4</v>
      </c>
      <c r="V1" s="2"/>
      <c r="W1" s="2"/>
      <c r="X1" s="2"/>
    </row>
    <row r="2" ht="21" customHeight="1" spans="1:24">
      <c r="A2" s="5"/>
      <c r="B2" s="590" t="s">
        <v>1</v>
      </c>
      <c r="C2" s="591"/>
      <c r="D2" s="592"/>
      <c r="E2" s="9"/>
      <c r="F2" s="6" t="s">
        <v>33</v>
      </c>
      <c r="G2" s="7"/>
      <c r="H2" s="8"/>
      <c r="I2" s="9"/>
      <c r="J2" s="1218" t="s">
        <v>34</v>
      </c>
      <c r="K2" s="1219"/>
      <c r="L2" s="1219"/>
      <c r="M2" s="1219"/>
      <c r="N2" s="1219"/>
      <c r="O2" s="1219"/>
      <c r="P2" s="1219"/>
      <c r="Q2" s="1219"/>
      <c r="R2" s="1219"/>
      <c r="S2" s="1219"/>
      <c r="T2" s="1219"/>
      <c r="U2" s="1219"/>
      <c r="V2" s="1284"/>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45" t="s">
        <v>257</v>
      </c>
      <c r="B4" s="46"/>
      <c r="C4" s="46"/>
      <c r="D4" s="46"/>
      <c r="E4" s="46"/>
      <c r="F4" s="46"/>
      <c r="G4" s="46"/>
      <c r="H4" s="46"/>
      <c r="I4" s="46"/>
      <c r="J4" s="46"/>
      <c r="K4" s="46"/>
      <c r="L4" s="46"/>
      <c r="M4" s="46"/>
      <c r="N4" s="46"/>
      <c r="O4" s="46"/>
      <c r="P4" s="46"/>
      <c r="Q4" s="46"/>
      <c r="R4" s="46"/>
      <c r="S4" s="46"/>
      <c r="T4" s="46"/>
      <c r="U4" s="46"/>
      <c r="V4" s="46"/>
      <c r="W4" s="46"/>
      <c r="X4" s="252"/>
    </row>
    <row r="5" ht="44" customHeight="1" spans="1:24">
      <c r="A5" s="14"/>
      <c r="B5" s="15" t="str">
        <f>_xlfn.DISPIMG("ID_C6EAD150E1794B5495C6BD4A720B081E",1)</f>
        <v>=DISPIMG("ID_C6EAD150E1794B5495C6BD4A720B081E",1)</v>
      </c>
      <c r="C5" s="15" t="str">
        <f>_xlfn.DISPIMG("ID_B02A4A6D03424117BB8904D6238812B0",1)</f>
        <v>=DISPIMG("ID_B02A4A6D03424117BB8904D6238812B0",1)</v>
      </c>
      <c r="D5" s="15" t="str">
        <f>_xlfn.DISPIMG("ID_F2370A9EFCAD4D6781301B3CF02F0BA2",1)</f>
        <v>=DISPIMG("ID_F2370A9EFCAD4D6781301B3CF02F0BA2",1)</v>
      </c>
      <c r="E5" s="15" t="str">
        <f>_xlfn.DISPIMG("ID_476B14BF7E9C495BACF9A7A4449453E3",1)</f>
        <v>=DISPIMG("ID_476B14BF7E9C495BACF9A7A4449453E3",1)</v>
      </c>
      <c r="F5" s="16"/>
      <c r="G5" s="936" t="s">
        <v>258</v>
      </c>
      <c r="H5" s="937"/>
      <c r="I5" s="937"/>
      <c r="J5" s="937"/>
      <c r="K5" s="937"/>
      <c r="L5" s="937"/>
      <c r="M5" s="937"/>
      <c r="N5" s="937"/>
      <c r="O5" s="960"/>
      <c r="P5" s="14"/>
      <c r="Q5" s="15"/>
      <c r="R5" s="15" t="str">
        <f>_xlfn.DISPIMG("ID_252549DFAF6A4BACA10C8B7EE4231D00",1)</f>
        <v>=DISPIMG("ID_252549DFAF6A4BACA10C8B7EE4231D00",1)</v>
      </c>
      <c r="S5" s="15"/>
      <c r="T5" s="15" t="str">
        <f>_xlfn.DISPIMG("ID_878350DAC8BA48FA9D73EBFB59A9914B",1)</f>
        <v>=DISPIMG("ID_878350DAC8BA48FA9D73EBFB59A9914B",1)</v>
      </c>
      <c r="U5" s="15" t="str">
        <f>_xlfn.DISPIMG("ID_B4EB458107BA451686BCC70A2E5EA375",1)</f>
        <v>=DISPIMG("ID_B4EB458107BA451686BCC70A2E5EA375",1)</v>
      </c>
      <c r="V5" s="15" t="str">
        <f>_xlfn.DISPIMG("ID_5A57F67B56874BE1BB01C8B5BAD70012",1)</f>
        <v>=DISPIMG("ID_5A57F67B56874BE1BB01C8B5BAD70012",1)</v>
      </c>
      <c r="W5" s="15"/>
      <c r="X5" s="16"/>
    </row>
    <row r="6" ht="21" customHeight="1" spans="1:24">
      <c r="A6" s="1153" t="s">
        <v>35</v>
      </c>
      <c r="B6" s="109"/>
      <c r="C6" s="109"/>
      <c r="D6" s="109"/>
      <c r="E6" s="109"/>
      <c r="F6" s="109"/>
      <c r="G6" s="109"/>
      <c r="H6" s="109"/>
      <c r="I6" s="109"/>
      <c r="J6" s="109"/>
      <c r="K6" s="109"/>
      <c r="L6" s="109"/>
      <c r="M6" s="109"/>
      <c r="N6" s="109"/>
      <c r="O6" s="109"/>
      <c r="P6" s="109"/>
      <c r="Q6" s="109"/>
      <c r="R6" s="109"/>
      <c r="S6" s="109"/>
      <c r="T6" s="109"/>
      <c r="U6" s="109"/>
      <c r="V6" s="109"/>
      <c r="W6" s="109"/>
      <c r="X6" s="1285"/>
    </row>
    <row r="7" ht="21" customHeight="1" spans="1:24">
      <c r="A7" s="1154" t="s">
        <v>259</v>
      </c>
      <c r="B7" s="1155"/>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25" t="s">
        <v>260</v>
      </c>
      <c r="B8" s="26"/>
      <c r="C8" s="113">
        <v>1.5</v>
      </c>
      <c r="D8" s="307">
        <v>1.5</v>
      </c>
      <c r="E8" s="307">
        <v>1.6</v>
      </c>
      <c r="F8" s="307">
        <v>1.6</v>
      </c>
      <c r="G8" s="307">
        <v>1.7</v>
      </c>
      <c r="H8" s="307">
        <v>1.7</v>
      </c>
      <c r="I8" s="307">
        <v>1.8</v>
      </c>
      <c r="J8" s="307">
        <v>1.8</v>
      </c>
      <c r="K8" s="312">
        <v>1.9</v>
      </c>
      <c r="L8" s="313"/>
      <c r="M8" s="155">
        <v>2</v>
      </c>
      <c r="N8" s="314"/>
      <c r="O8" s="145">
        <v>2.2</v>
      </c>
      <c r="P8" s="146">
        <v>2.4</v>
      </c>
      <c r="Q8" s="314"/>
      <c r="R8" s="238">
        <v>2.6</v>
      </c>
      <c r="S8" s="314"/>
      <c r="T8" s="145">
        <v>2.8</v>
      </c>
      <c r="U8" s="239">
        <v>3</v>
      </c>
      <c r="V8" s="146">
        <v>3.2</v>
      </c>
      <c r="W8" s="318"/>
      <c r="X8" s="470">
        <v>3.4</v>
      </c>
    </row>
    <row r="9" ht="21" customHeight="1" spans="1:24">
      <c r="A9" s="1156" t="s">
        <v>261</v>
      </c>
      <c r="B9" s="1157"/>
      <c r="C9" s="1158">
        <f t="shared" ref="C9:K9" si="0">C8+0.1</f>
        <v>1.6</v>
      </c>
      <c r="D9" s="1159">
        <f t="shared" si="0"/>
        <v>1.6</v>
      </c>
      <c r="E9" s="1159">
        <f t="shared" si="0"/>
        <v>1.7</v>
      </c>
      <c r="F9" s="1159">
        <f t="shared" si="0"/>
        <v>1.7</v>
      </c>
      <c r="G9" s="1159">
        <f t="shared" si="0"/>
        <v>1.8</v>
      </c>
      <c r="H9" s="1159">
        <f t="shared" si="0"/>
        <v>1.8</v>
      </c>
      <c r="I9" s="1159">
        <f t="shared" si="0"/>
        <v>1.9</v>
      </c>
      <c r="J9" s="1159">
        <f t="shared" si="0"/>
        <v>1.9</v>
      </c>
      <c r="K9" s="1220">
        <f t="shared" si="0"/>
        <v>2</v>
      </c>
      <c r="L9" s="571"/>
      <c r="M9" s="1221">
        <f t="shared" ref="M9:P9" si="1">M8+0.1</f>
        <v>2.1</v>
      </c>
      <c r="N9" s="573"/>
      <c r="O9" s="1222">
        <f t="shared" si="1"/>
        <v>2.3</v>
      </c>
      <c r="P9" s="1223">
        <f t="shared" si="1"/>
        <v>2.5</v>
      </c>
      <c r="Q9" s="573"/>
      <c r="R9" s="1286">
        <f t="shared" ref="R9:V9" si="2">R8+0.1</f>
        <v>2.7</v>
      </c>
      <c r="S9" s="573"/>
      <c r="T9" s="1222">
        <f t="shared" si="2"/>
        <v>2.9</v>
      </c>
      <c r="U9" s="1287">
        <f t="shared" si="2"/>
        <v>3.1</v>
      </c>
      <c r="V9" s="1288">
        <f t="shared" si="2"/>
        <v>3.3</v>
      </c>
      <c r="W9" s="583"/>
      <c r="X9" s="1289">
        <f>X8+0.1</f>
        <v>3.5</v>
      </c>
    </row>
    <row r="10" ht="21" customHeight="1" spans="1:24">
      <c r="A10" s="26" t="s">
        <v>262</v>
      </c>
      <c r="B10" s="315"/>
      <c r="C10" s="323">
        <v>2.2</v>
      </c>
      <c r="D10" s="324">
        <v>2.3</v>
      </c>
      <c r="E10" s="324">
        <v>2.3</v>
      </c>
      <c r="F10" s="324">
        <v>2.3</v>
      </c>
      <c r="G10" s="324">
        <v>2.4</v>
      </c>
      <c r="H10" s="324">
        <v>2.4</v>
      </c>
      <c r="I10" s="324">
        <v>2.5</v>
      </c>
      <c r="J10" s="324">
        <v>2.5</v>
      </c>
      <c r="K10" s="363">
        <v>2.6</v>
      </c>
      <c r="L10" s="364"/>
      <c r="M10" s="143">
        <v>2.7</v>
      </c>
      <c r="N10" s="144"/>
      <c r="O10" s="145">
        <v>2.9</v>
      </c>
      <c r="P10" s="146">
        <v>3.1</v>
      </c>
      <c r="Q10" s="144"/>
      <c r="R10" s="238">
        <v>3.3</v>
      </c>
      <c r="S10" s="144"/>
      <c r="T10" s="145">
        <v>3.5</v>
      </c>
      <c r="U10" s="239">
        <v>3.7</v>
      </c>
      <c r="V10" s="146">
        <v>3.9</v>
      </c>
      <c r="W10" s="240"/>
      <c r="X10" s="241">
        <v>4.2</v>
      </c>
    </row>
    <row r="11" ht="21" customHeight="1" spans="1:24">
      <c r="A11" s="30" t="s">
        <v>263</v>
      </c>
      <c r="B11" s="698"/>
      <c r="C11" s="31">
        <f t="shared" ref="C11:K11" si="3">C10*1.03</f>
        <v>2.266</v>
      </c>
      <c r="D11" s="32">
        <f t="shared" si="3"/>
        <v>2.369</v>
      </c>
      <c r="E11" s="32">
        <f t="shared" si="3"/>
        <v>2.369</v>
      </c>
      <c r="F11" s="32">
        <f t="shared" si="3"/>
        <v>2.369</v>
      </c>
      <c r="G11" s="32">
        <f t="shared" si="3"/>
        <v>2.472</v>
      </c>
      <c r="H11" s="32">
        <f t="shared" si="3"/>
        <v>2.472</v>
      </c>
      <c r="I11" s="32">
        <f t="shared" si="3"/>
        <v>2.575</v>
      </c>
      <c r="J11" s="32">
        <f t="shared" si="3"/>
        <v>2.575</v>
      </c>
      <c r="K11" s="147">
        <f t="shared" si="3"/>
        <v>2.678</v>
      </c>
      <c r="L11" s="148"/>
      <c r="M11" s="149">
        <f t="shared" ref="M11:P11" si="4">M10*1.03</f>
        <v>2.781</v>
      </c>
      <c r="N11" s="150"/>
      <c r="O11" s="151">
        <f t="shared" si="4"/>
        <v>2.987</v>
      </c>
      <c r="P11" s="152">
        <f t="shared" si="4"/>
        <v>3.193</v>
      </c>
      <c r="Q11" s="150"/>
      <c r="R11" s="242">
        <f t="shared" ref="R11:V11" si="5">R10*1.03</f>
        <v>3.399</v>
      </c>
      <c r="S11" s="150"/>
      <c r="T11" s="151">
        <f t="shared" si="5"/>
        <v>3.605</v>
      </c>
      <c r="U11" s="243">
        <f t="shared" si="5"/>
        <v>3.811</v>
      </c>
      <c r="V11" s="152">
        <f t="shared" si="5"/>
        <v>4.017</v>
      </c>
      <c r="W11" s="244"/>
      <c r="X11" s="245">
        <f>X10*1.03</f>
        <v>4.326</v>
      </c>
    </row>
    <row r="12" ht="21" customHeight="1" spans="1:24">
      <c r="A12" s="122" t="s">
        <v>264</v>
      </c>
      <c r="B12" s="123"/>
      <c r="C12" s="359">
        <v>2.3</v>
      </c>
      <c r="D12" s="360">
        <v>2.3</v>
      </c>
      <c r="E12" s="360">
        <v>2.4</v>
      </c>
      <c r="F12" s="360">
        <v>2.4</v>
      </c>
      <c r="G12" s="360">
        <v>2.5</v>
      </c>
      <c r="H12" s="360">
        <v>2.5</v>
      </c>
      <c r="I12" s="360">
        <v>2.6</v>
      </c>
      <c r="J12" s="360">
        <v>2.6</v>
      </c>
      <c r="K12" s="397">
        <v>2.7</v>
      </c>
      <c r="L12" s="200"/>
      <c r="M12" s="201">
        <v>2.8</v>
      </c>
      <c r="N12" s="202"/>
      <c r="O12" s="203">
        <v>3</v>
      </c>
      <c r="P12" s="204">
        <v>3.2</v>
      </c>
      <c r="Q12" s="202"/>
      <c r="R12" s="272">
        <v>3.4</v>
      </c>
      <c r="S12" s="202"/>
      <c r="T12" s="203">
        <v>3.6</v>
      </c>
      <c r="U12" s="273">
        <v>3.8</v>
      </c>
      <c r="V12" s="204">
        <v>4</v>
      </c>
      <c r="W12" s="274"/>
      <c r="X12" s="275">
        <v>4.2</v>
      </c>
    </row>
    <row r="13" ht="21" customHeight="1" spans="1:24">
      <c r="A13" s="29" t="s">
        <v>265</v>
      </c>
      <c r="B13" s="30"/>
      <c r="C13" s="1160">
        <f t="shared" ref="C13:K13" si="6">C12+0.1</f>
        <v>2.4</v>
      </c>
      <c r="D13" s="1161">
        <f t="shared" si="6"/>
        <v>2.4</v>
      </c>
      <c r="E13" s="1161">
        <f t="shared" si="6"/>
        <v>2.5</v>
      </c>
      <c r="F13" s="1161">
        <f t="shared" si="6"/>
        <v>2.5</v>
      </c>
      <c r="G13" s="1161">
        <f t="shared" si="6"/>
        <v>2.6</v>
      </c>
      <c r="H13" s="1161">
        <f t="shared" si="6"/>
        <v>2.6</v>
      </c>
      <c r="I13" s="1161">
        <f t="shared" si="6"/>
        <v>2.7</v>
      </c>
      <c r="J13" s="1161">
        <f t="shared" si="6"/>
        <v>2.7</v>
      </c>
      <c r="K13" s="1224">
        <f t="shared" si="6"/>
        <v>2.8</v>
      </c>
      <c r="L13" s="571"/>
      <c r="M13" s="572">
        <f t="shared" ref="M13:P13" si="7">M12+0.1</f>
        <v>2.9</v>
      </c>
      <c r="N13" s="573"/>
      <c r="O13" s="151">
        <f t="shared" si="7"/>
        <v>3.1</v>
      </c>
      <c r="P13" s="152">
        <f t="shared" si="7"/>
        <v>3.3</v>
      </c>
      <c r="Q13" s="573"/>
      <c r="R13" s="242">
        <f t="shared" ref="R13:V13" si="8">R12+0.1</f>
        <v>3.5</v>
      </c>
      <c r="S13" s="573"/>
      <c r="T13" s="151">
        <f t="shared" si="8"/>
        <v>3.7</v>
      </c>
      <c r="U13" s="243">
        <f t="shared" si="8"/>
        <v>3.9</v>
      </c>
      <c r="V13" s="152">
        <f t="shared" si="8"/>
        <v>4.1</v>
      </c>
      <c r="W13" s="583"/>
      <c r="X13" s="245">
        <f>X12+0.1</f>
        <v>4.3</v>
      </c>
    </row>
    <row r="14" ht="21" customHeight="1" spans="1:24">
      <c r="A14" s="122" t="s">
        <v>266</v>
      </c>
      <c r="B14" s="123"/>
      <c r="C14" s="87">
        <v>2.2</v>
      </c>
      <c r="D14" s="88">
        <v>2.3</v>
      </c>
      <c r="E14" s="88">
        <v>2.4</v>
      </c>
      <c r="F14" s="88">
        <v>2.5</v>
      </c>
      <c r="G14" s="88">
        <v>2.6</v>
      </c>
      <c r="H14" s="88">
        <v>2.7</v>
      </c>
      <c r="I14" s="88">
        <v>2.8</v>
      </c>
      <c r="J14" s="88">
        <v>2.9</v>
      </c>
      <c r="K14" s="88">
        <v>3</v>
      </c>
      <c r="L14" s="200"/>
      <c r="M14" s="201">
        <v>3.1</v>
      </c>
      <c r="N14" s="202"/>
      <c r="O14" s="203">
        <v>3.2</v>
      </c>
      <c r="P14" s="204">
        <v>3.3</v>
      </c>
      <c r="Q14" s="202"/>
      <c r="R14" s="272">
        <v>3.5</v>
      </c>
      <c r="S14" s="202"/>
      <c r="T14" s="203">
        <v>3.7</v>
      </c>
      <c r="U14" s="273">
        <v>3.9</v>
      </c>
      <c r="V14" s="204">
        <v>4.1</v>
      </c>
      <c r="W14" s="274"/>
      <c r="X14" s="275">
        <v>4.3</v>
      </c>
    </row>
    <row r="15" ht="21" customHeight="1" spans="1:24">
      <c r="A15" s="79" t="s">
        <v>267</v>
      </c>
      <c r="B15" s="80"/>
      <c r="C15" s="479">
        <v>2.6</v>
      </c>
      <c r="D15" s="480">
        <v>2.7</v>
      </c>
      <c r="E15" s="480">
        <v>2.8</v>
      </c>
      <c r="F15" s="480">
        <v>2.9</v>
      </c>
      <c r="G15" s="480">
        <v>3</v>
      </c>
      <c r="H15" s="480">
        <v>3.1</v>
      </c>
      <c r="I15" s="480">
        <v>3.2</v>
      </c>
      <c r="J15" s="480">
        <v>3.3</v>
      </c>
      <c r="K15" s="480">
        <v>3.4</v>
      </c>
      <c r="L15" s="1225"/>
      <c r="M15" s="1226">
        <v>3.6</v>
      </c>
      <c r="N15" s="1227"/>
      <c r="O15" s="1228">
        <v>3.8</v>
      </c>
      <c r="P15" s="1229">
        <v>4</v>
      </c>
      <c r="Q15" s="1227"/>
      <c r="R15" s="266">
        <v>4.2</v>
      </c>
      <c r="S15" s="1227"/>
      <c r="T15" s="1228">
        <v>4.4</v>
      </c>
      <c r="U15" s="1290">
        <v>4.6</v>
      </c>
      <c r="V15" s="1229">
        <v>4.8</v>
      </c>
      <c r="W15" s="1291"/>
      <c r="X15" s="269">
        <v>5</v>
      </c>
    </row>
    <row r="16" ht="21" customHeight="1" spans="1:24">
      <c r="A16" s="1162" t="s">
        <v>268</v>
      </c>
      <c r="B16" s="1163"/>
      <c r="C16" s="1164">
        <f t="shared" ref="C16:K16" si="9">C15+0.1</f>
        <v>2.7</v>
      </c>
      <c r="D16" s="1165">
        <f t="shared" si="9"/>
        <v>2.8</v>
      </c>
      <c r="E16" s="1165">
        <f t="shared" si="9"/>
        <v>2.9</v>
      </c>
      <c r="F16" s="1165">
        <f t="shared" si="9"/>
        <v>3</v>
      </c>
      <c r="G16" s="1165">
        <f t="shared" si="9"/>
        <v>3.1</v>
      </c>
      <c r="H16" s="1165">
        <f t="shared" si="9"/>
        <v>3.2</v>
      </c>
      <c r="I16" s="1165">
        <f t="shared" si="9"/>
        <v>3.3</v>
      </c>
      <c r="J16" s="1165">
        <f t="shared" si="9"/>
        <v>3.4</v>
      </c>
      <c r="K16" s="1165">
        <f t="shared" si="9"/>
        <v>3.5</v>
      </c>
      <c r="L16" s="1230"/>
      <c r="M16" s="1231">
        <f t="shared" ref="M16:P16" si="10">M15+0.1</f>
        <v>3.7</v>
      </c>
      <c r="N16" s="1232"/>
      <c r="O16" s="1233">
        <f t="shared" si="10"/>
        <v>3.9</v>
      </c>
      <c r="P16" s="1234">
        <f t="shared" si="10"/>
        <v>4.1</v>
      </c>
      <c r="Q16" s="1232"/>
      <c r="R16" s="1292">
        <f t="shared" ref="R16:V16" si="11">R15+0.1</f>
        <v>4.3</v>
      </c>
      <c r="S16" s="1232"/>
      <c r="T16" s="1233">
        <f t="shared" si="11"/>
        <v>4.5</v>
      </c>
      <c r="U16" s="1293">
        <f t="shared" si="11"/>
        <v>4.7</v>
      </c>
      <c r="V16" s="1234">
        <f t="shared" si="11"/>
        <v>4.9</v>
      </c>
      <c r="W16" s="1294"/>
      <c r="X16" s="1295">
        <f>X15+0.1</f>
        <v>5.1</v>
      </c>
    </row>
    <row r="17" ht="21" customHeight="1" spans="1:24">
      <c r="A17" s="83" t="s">
        <v>269</v>
      </c>
      <c r="B17" s="84"/>
      <c r="C17" s="84"/>
      <c r="D17" s="84"/>
      <c r="E17" s="84"/>
      <c r="F17" s="84"/>
      <c r="G17" s="84"/>
      <c r="H17" s="84"/>
      <c r="I17" s="84"/>
      <c r="J17" s="84"/>
      <c r="K17" s="84"/>
      <c r="L17" s="84"/>
      <c r="M17" s="84"/>
      <c r="N17" s="84"/>
      <c r="O17" s="84"/>
      <c r="P17" s="84"/>
      <c r="Q17" s="84"/>
      <c r="R17" s="84"/>
      <c r="S17" s="84"/>
      <c r="T17" s="84"/>
      <c r="U17" s="84"/>
      <c r="V17" s="84"/>
      <c r="W17" s="84"/>
      <c r="X17" s="270"/>
    </row>
    <row r="18" ht="21" customHeight="1" spans="1:24">
      <c r="A18" s="25" t="s">
        <v>270</v>
      </c>
      <c r="B18" s="26"/>
      <c r="C18" s="27">
        <f t="shared" ref="C18:K18" si="12">C8*1.1</f>
        <v>1.65</v>
      </c>
      <c r="D18" s="28">
        <f t="shared" si="12"/>
        <v>1.65</v>
      </c>
      <c r="E18" s="28">
        <f t="shared" si="12"/>
        <v>1.76</v>
      </c>
      <c r="F18" s="28">
        <f t="shared" si="12"/>
        <v>1.76</v>
      </c>
      <c r="G18" s="28">
        <f t="shared" si="12"/>
        <v>1.87</v>
      </c>
      <c r="H18" s="28">
        <f t="shared" si="12"/>
        <v>1.87</v>
      </c>
      <c r="I18" s="28">
        <f t="shared" si="12"/>
        <v>1.98</v>
      </c>
      <c r="J18" s="28">
        <f t="shared" si="12"/>
        <v>1.98</v>
      </c>
      <c r="K18" s="141">
        <f t="shared" si="12"/>
        <v>2.09</v>
      </c>
      <c r="L18" s="142"/>
      <c r="M18" s="143">
        <f t="shared" ref="M18:P18" si="13">M8*1.1</f>
        <v>2.2</v>
      </c>
      <c r="N18" s="144"/>
      <c r="O18" s="145">
        <f t="shared" si="13"/>
        <v>2.42</v>
      </c>
      <c r="P18" s="146">
        <f t="shared" si="13"/>
        <v>2.64</v>
      </c>
      <c r="Q18" s="144"/>
      <c r="R18" s="238">
        <f t="shared" ref="R18:V18" si="14">R8*1.1</f>
        <v>2.86</v>
      </c>
      <c r="S18" s="144"/>
      <c r="T18" s="145">
        <f t="shared" si="14"/>
        <v>3.08</v>
      </c>
      <c r="U18" s="239">
        <f t="shared" si="14"/>
        <v>3.3</v>
      </c>
      <c r="V18" s="146">
        <f t="shared" si="14"/>
        <v>3.52</v>
      </c>
      <c r="W18" s="1296"/>
      <c r="X18" s="470">
        <f>X8*1.1</f>
        <v>3.74</v>
      </c>
    </row>
    <row r="19" ht="21" customHeight="1" spans="1:24">
      <c r="A19" s="29" t="s">
        <v>271</v>
      </c>
      <c r="B19" s="30"/>
      <c r="C19" s="53">
        <f t="shared" ref="C19:K19" si="15">C18+0.1</f>
        <v>1.75</v>
      </c>
      <c r="D19" s="54">
        <f t="shared" si="15"/>
        <v>1.75</v>
      </c>
      <c r="E19" s="54">
        <f t="shared" si="15"/>
        <v>1.86</v>
      </c>
      <c r="F19" s="54">
        <f t="shared" si="15"/>
        <v>1.86</v>
      </c>
      <c r="G19" s="54">
        <f t="shared" si="15"/>
        <v>1.97</v>
      </c>
      <c r="H19" s="54">
        <f t="shared" si="15"/>
        <v>1.97</v>
      </c>
      <c r="I19" s="54">
        <f t="shared" si="15"/>
        <v>2.08</v>
      </c>
      <c r="J19" s="54">
        <f t="shared" si="15"/>
        <v>2.08</v>
      </c>
      <c r="K19" s="169">
        <f t="shared" si="15"/>
        <v>2.19</v>
      </c>
      <c r="L19" s="170"/>
      <c r="M19" s="149">
        <f t="shared" ref="M19:P19" si="16">M18+0.1</f>
        <v>2.3</v>
      </c>
      <c r="N19" s="150"/>
      <c r="O19" s="151">
        <f t="shared" si="16"/>
        <v>2.52</v>
      </c>
      <c r="P19" s="152">
        <f t="shared" si="16"/>
        <v>2.74</v>
      </c>
      <c r="Q19" s="150"/>
      <c r="R19" s="242">
        <f t="shared" ref="R19:V19" si="17">R18+0.1</f>
        <v>2.96</v>
      </c>
      <c r="S19" s="150"/>
      <c r="T19" s="151">
        <f t="shared" si="17"/>
        <v>3.18</v>
      </c>
      <c r="U19" s="243">
        <f t="shared" si="17"/>
        <v>3.4</v>
      </c>
      <c r="V19" s="1297">
        <f t="shared" si="17"/>
        <v>3.62</v>
      </c>
      <c r="W19" s="1298"/>
      <c r="X19" s="1299">
        <f>X18+0.1</f>
        <v>3.84</v>
      </c>
    </row>
    <row r="20" ht="21" customHeight="1" spans="1:24">
      <c r="A20" s="26" t="s">
        <v>272</v>
      </c>
      <c r="B20" s="315"/>
      <c r="C20" s="323">
        <f t="shared" ref="C20:K20" si="18">C10*1.15</f>
        <v>2.53</v>
      </c>
      <c r="D20" s="324">
        <f t="shared" si="18"/>
        <v>2.645</v>
      </c>
      <c r="E20" s="324">
        <f t="shared" si="18"/>
        <v>2.645</v>
      </c>
      <c r="F20" s="324">
        <f t="shared" si="18"/>
        <v>2.645</v>
      </c>
      <c r="G20" s="324">
        <f t="shared" si="18"/>
        <v>2.76</v>
      </c>
      <c r="H20" s="324">
        <f t="shared" si="18"/>
        <v>2.76</v>
      </c>
      <c r="I20" s="324">
        <f t="shared" si="18"/>
        <v>2.875</v>
      </c>
      <c r="J20" s="324">
        <f t="shared" si="18"/>
        <v>2.875</v>
      </c>
      <c r="K20" s="363">
        <f t="shared" si="18"/>
        <v>2.99</v>
      </c>
      <c r="L20" s="364"/>
      <c r="M20" s="143">
        <f t="shared" ref="M20:P20" si="19">M10*1.15</f>
        <v>3.105</v>
      </c>
      <c r="N20" s="144"/>
      <c r="O20" s="145">
        <f t="shared" si="19"/>
        <v>3.335</v>
      </c>
      <c r="P20" s="146">
        <f t="shared" si="19"/>
        <v>3.565</v>
      </c>
      <c r="Q20" s="144"/>
      <c r="R20" s="238">
        <f t="shared" ref="R20:V20" si="20">R10*1.15</f>
        <v>3.795</v>
      </c>
      <c r="S20" s="144"/>
      <c r="T20" s="145">
        <f t="shared" si="20"/>
        <v>4.025</v>
      </c>
      <c r="U20" s="239">
        <f t="shared" si="20"/>
        <v>4.255</v>
      </c>
      <c r="V20" s="146">
        <f t="shared" si="20"/>
        <v>4.485</v>
      </c>
      <c r="W20" s="1296"/>
      <c r="X20" s="241">
        <f>X10*1.15</f>
        <v>4.83</v>
      </c>
    </row>
    <row r="21" ht="21" customHeight="1" spans="1:24">
      <c r="A21" s="30" t="s">
        <v>273</v>
      </c>
      <c r="B21" s="698"/>
      <c r="C21" s="31">
        <f t="shared" ref="C21:K21" si="21">C20*1.03</f>
        <v>2.6059</v>
      </c>
      <c r="D21" s="32">
        <f t="shared" si="21"/>
        <v>2.72435</v>
      </c>
      <c r="E21" s="32">
        <f t="shared" si="21"/>
        <v>2.72435</v>
      </c>
      <c r="F21" s="32">
        <f t="shared" si="21"/>
        <v>2.72435</v>
      </c>
      <c r="G21" s="32">
        <f t="shared" si="21"/>
        <v>2.8428</v>
      </c>
      <c r="H21" s="32">
        <f t="shared" si="21"/>
        <v>2.8428</v>
      </c>
      <c r="I21" s="32">
        <f t="shared" si="21"/>
        <v>2.96125</v>
      </c>
      <c r="J21" s="32">
        <f t="shared" si="21"/>
        <v>2.96125</v>
      </c>
      <c r="K21" s="147">
        <f t="shared" si="21"/>
        <v>3.0797</v>
      </c>
      <c r="L21" s="148"/>
      <c r="M21" s="149">
        <f t="shared" ref="M21:P21" si="22">M20*1.03</f>
        <v>3.19815</v>
      </c>
      <c r="N21" s="150"/>
      <c r="O21" s="151">
        <f t="shared" si="22"/>
        <v>3.43505</v>
      </c>
      <c r="P21" s="152">
        <f t="shared" si="22"/>
        <v>3.67195</v>
      </c>
      <c r="Q21" s="150"/>
      <c r="R21" s="242">
        <f t="shared" ref="R21:V21" si="23">R20*1.03</f>
        <v>3.90885</v>
      </c>
      <c r="S21" s="150"/>
      <c r="T21" s="151">
        <f t="shared" si="23"/>
        <v>4.14575</v>
      </c>
      <c r="U21" s="243">
        <f t="shared" si="23"/>
        <v>4.38265</v>
      </c>
      <c r="V21" s="152">
        <f t="shared" si="23"/>
        <v>4.61955</v>
      </c>
      <c r="W21" s="1298"/>
      <c r="X21" s="245">
        <f>X20*1.03</f>
        <v>4.9749</v>
      </c>
    </row>
    <row r="22" ht="21" customHeight="1" spans="1:24">
      <c r="A22" s="25" t="s">
        <v>274</v>
      </c>
      <c r="B22" s="26"/>
      <c r="C22" s="113">
        <f t="shared" ref="C22:K22" si="24">C12*1.12</f>
        <v>2.576</v>
      </c>
      <c r="D22" s="307">
        <f t="shared" si="24"/>
        <v>2.576</v>
      </c>
      <c r="E22" s="307">
        <f t="shared" si="24"/>
        <v>2.688</v>
      </c>
      <c r="F22" s="307">
        <f t="shared" si="24"/>
        <v>2.688</v>
      </c>
      <c r="G22" s="307">
        <f t="shared" si="24"/>
        <v>2.8</v>
      </c>
      <c r="H22" s="307">
        <f t="shared" si="24"/>
        <v>2.8</v>
      </c>
      <c r="I22" s="307">
        <f t="shared" si="24"/>
        <v>2.912</v>
      </c>
      <c r="J22" s="307">
        <f t="shared" si="24"/>
        <v>2.912</v>
      </c>
      <c r="K22" s="312">
        <f t="shared" si="24"/>
        <v>3.024</v>
      </c>
      <c r="L22" s="154"/>
      <c r="M22" s="155">
        <f t="shared" ref="M22:P22" si="25">M12*1.12</f>
        <v>3.136</v>
      </c>
      <c r="N22" s="156"/>
      <c r="O22" s="145">
        <f t="shared" si="25"/>
        <v>3.36</v>
      </c>
      <c r="P22" s="146">
        <f t="shared" si="25"/>
        <v>3.584</v>
      </c>
      <c r="Q22" s="156"/>
      <c r="R22" s="238">
        <f t="shared" ref="R22:V22" si="26">R12*1.12</f>
        <v>3.808</v>
      </c>
      <c r="S22" s="156"/>
      <c r="T22" s="145">
        <f t="shared" si="26"/>
        <v>4.032</v>
      </c>
      <c r="U22" s="239">
        <f t="shared" si="26"/>
        <v>4.256</v>
      </c>
      <c r="V22" s="146">
        <f t="shared" si="26"/>
        <v>4.48</v>
      </c>
      <c r="W22" s="1296"/>
      <c r="X22" s="241">
        <f>X12*1.12</f>
        <v>4.704</v>
      </c>
    </row>
    <row r="23" ht="21" customHeight="1" spans="1:24">
      <c r="A23" s="1156" t="s">
        <v>275</v>
      </c>
      <c r="B23" s="1157"/>
      <c r="C23" s="1158">
        <f t="shared" ref="C23:K23" si="27">C22+0.1</f>
        <v>2.676</v>
      </c>
      <c r="D23" s="1159">
        <f t="shared" si="27"/>
        <v>2.676</v>
      </c>
      <c r="E23" s="1159">
        <f t="shared" si="27"/>
        <v>2.788</v>
      </c>
      <c r="F23" s="1159">
        <f t="shared" si="27"/>
        <v>2.788</v>
      </c>
      <c r="G23" s="1159">
        <f t="shared" si="27"/>
        <v>2.9</v>
      </c>
      <c r="H23" s="1159">
        <f t="shared" si="27"/>
        <v>2.9</v>
      </c>
      <c r="I23" s="1159">
        <f t="shared" si="27"/>
        <v>3.012</v>
      </c>
      <c r="J23" s="1159">
        <f t="shared" si="27"/>
        <v>3.012</v>
      </c>
      <c r="K23" s="1220">
        <f t="shared" si="27"/>
        <v>3.124</v>
      </c>
      <c r="L23" s="571"/>
      <c r="M23" s="572">
        <f t="shared" ref="M23:P23" si="28">M22+0.1</f>
        <v>3.236</v>
      </c>
      <c r="N23" s="573"/>
      <c r="O23" s="151">
        <f t="shared" si="28"/>
        <v>3.46</v>
      </c>
      <c r="P23" s="152">
        <f t="shared" si="28"/>
        <v>3.684</v>
      </c>
      <c r="Q23" s="573"/>
      <c r="R23" s="242">
        <f t="shared" ref="R23:V23" si="29">R22+0.1</f>
        <v>3.908</v>
      </c>
      <c r="S23" s="573"/>
      <c r="T23" s="151">
        <f t="shared" si="29"/>
        <v>4.132</v>
      </c>
      <c r="U23" s="243">
        <f t="shared" si="29"/>
        <v>4.356</v>
      </c>
      <c r="V23" s="152">
        <f t="shared" si="29"/>
        <v>4.58</v>
      </c>
      <c r="W23" s="1298"/>
      <c r="X23" s="245">
        <f>X22+0.1</f>
        <v>4.804</v>
      </c>
    </row>
    <row r="24" ht="21" customHeight="1" spans="1:24">
      <c r="A24" s="122" t="s">
        <v>276</v>
      </c>
      <c r="B24" s="123"/>
      <c r="C24" s="327">
        <f t="shared" ref="C24:K24" si="30">C14*1.15</f>
        <v>2.53</v>
      </c>
      <c r="D24" s="328">
        <f t="shared" si="30"/>
        <v>2.645</v>
      </c>
      <c r="E24" s="328">
        <f t="shared" si="30"/>
        <v>2.76</v>
      </c>
      <c r="F24" s="328">
        <f t="shared" si="30"/>
        <v>2.875</v>
      </c>
      <c r="G24" s="328">
        <f t="shared" si="30"/>
        <v>2.99</v>
      </c>
      <c r="H24" s="328">
        <f t="shared" si="30"/>
        <v>3.105</v>
      </c>
      <c r="I24" s="328">
        <f t="shared" si="30"/>
        <v>3.22</v>
      </c>
      <c r="J24" s="328">
        <f t="shared" si="30"/>
        <v>3.335</v>
      </c>
      <c r="K24" s="365">
        <f t="shared" si="30"/>
        <v>3.45</v>
      </c>
      <c r="L24" s="202"/>
      <c r="M24" s="201">
        <f t="shared" ref="M24:P24" si="31">M14*1.15</f>
        <v>3.565</v>
      </c>
      <c r="N24" s="202"/>
      <c r="O24" s="203">
        <f t="shared" si="31"/>
        <v>3.68</v>
      </c>
      <c r="P24" s="1235">
        <f t="shared" si="31"/>
        <v>3.795</v>
      </c>
      <c r="Q24" s="202"/>
      <c r="R24" s="272">
        <f t="shared" ref="R24:V24" si="32">R14*1.15</f>
        <v>4.025</v>
      </c>
      <c r="S24" s="202"/>
      <c r="T24" s="1300">
        <v>4.255</v>
      </c>
      <c r="U24" s="1301">
        <f t="shared" si="32"/>
        <v>4.485</v>
      </c>
      <c r="V24" s="1235">
        <f t="shared" si="32"/>
        <v>4.715</v>
      </c>
      <c r="X24" s="275">
        <f>X14*1.15</f>
        <v>4.945</v>
      </c>
    </row>
    <row r="25" ht="21" customHeight="1" spans="1:24">
      <c r="A25" s="79" t="s">
        <v>277</v>
      </c>
      <c r="B25" s="80"/>
      <c r="C25" s="479">
        <f t="shared" ref="C25:K25" si="33">C15*1.15</f>
        <v>2.99</v>
      </c>
      <c r="D25" s="480">
        <f t="shared" si="33"/>
        <v>3.105</v>
      </c>
      <c r="E25" s="480">
        <f t="shared" si="33"/>
        <v>3.22</v>
      </c>
      <c r="F25" s="480">
        <f t="shared" si="33"/>
        <v>3.335</v>
      </c>
      <c r="G25" s="480">
        <f t="shared" si="33"/>
        <v>3.45</v>
      </c>
      <c r="H25" s="480">
        <f t="shared" si="33"/>
        <v>3.565</v>
      </c>
      <c r="I25" s="480">
        <f t="shared" si="33"/>
        <v>3.68</v>
      </c>
      <c r="J25" s="480">
        <f t="shared" si="33"/>
        <v>3.795</v>
      </c>
      <c r="K25" s="1236">
        <f t="shared" si="33"/>
        <v>3.91</v>
      </c>
      <c r="L25" s="1225"/>
      <c r="M25" s="1226">
        <f t="shared" ref="M25:P25" si="34">M15*1.15</f>
        <v>4.14</v>
      </c>
      <c r="N25" s="1227"/>
      <c r="O25" s="1228">
        <f t="shared" si="34"/>
        <v>4.37</v>
      </c>
      <c r="P25" s="1229">
        <f t="shared" si="34"/>
        <v>4.6</v>
      </c>
      <c r="Q25" s="1227"/>
      <c r="R25" s="266">
        <f t="shared" ref="R25:V25" si="35">R15*1.15</f>
        <v>4.83</v>
      </c>
      <c r="S25" s="1227"/>
      <c r="T25" s="1228">
        <f t="shared" si="35"/>
        <v>5.06</v>
      </c>
      <c r="U25" s="1290">
        <f t="shared" si="35"/>
        <v>5.29</v>
      </c>
      <c r="V25" s="1229">
        <f t="shared" si="35"/>
        <v>5.52</v>
      </c>
      <c r="W25" s="1302"/>
      <c r="X25" s="269">
        <f>X15*1.15</f>
        <v>5.75</v>
      </c>
    </row>
    <row r="26" ht="21" customHeight="1" spans="1:24">
      <c r="A26" s="1162" t="s">
        <v>278</v>
      </c>
      <c r="B26" s="1163"/>
      <c r="C26" s="1164">
        <f t="shared" ref="C26:K26" si="36">C25+0.1</f>
        <v>3.09</v>
      </c>
      <c r="D26" s="1165">
        <f t="shared" si="36"/>
        <v>3.205</v>
      </c>
      <c r="E26" s="1165">
        <f t="shared" si="36"/>
        <v>3.32</v>
      </c>
      <c r="F26" s="1165">
        <f t="shared" si="36"/>
        <v>3.435</v>
      </c>
      <c r="G26" s="1165">
        <f t="shared" si="36"/>
        <v>3.55</v>
      </c>
      <c r="H26" s="1165">
        <f t="shared" si="36"/>
        <v>3.665</v>
      </c>
      <c r="I26" s="1165">
        <f t="shared" si="36"/>
        <v>3.78</v>
      </c>
      <c r="J26" s="1165">
        <f t="shared" si="36"/>
        <v>3.895</v>
      </c>
      <c r="K26" s="1237">
        <f t="shared" si="36"/>
        <v>4.01</v>
      </c>
      <c r="L26" s="1230"/>
      <c r="M26" s="1231">
        <f t="shared" ref="M26:P26" si="37">M25+0.1</f>
        <v>4.24</v>
      </c>
      <c r="N26" s="1232"/>
      <c r="O26" s="1233">
        <f t="shared" si="37"/>
        <v>4.47</v>
      </c>
      <c r="P26" s="1234">
        <f t="shared" si="37"/>
        <v>4.7</v>
      </c>
      <c r="Q26" s="1232"/>
      <c r="R26" s="1292">
        <f t="shared" ref="R26:V26" si="38">R25+0.1</f>
        <v>4.93</v>
      </c>
      <c r="S26" s="1232"/>
      <c r="T26" s="1233">
        <f t="shared" si="38"/>
        <v>5.16</v>
      </c>
      <c r="U26" s="1293">
        <f t="shared" si="38"/>
        <v>5.39</v>
      </c>
      <c r="V26" s="1234">
        <f t="shared" si="38"/>
        <v>5.62</v>
      </c>
      <c r="W26" s="1303"/>
      <c r="X26" s="1295">
        <f>X25+0.1</f>
        <v>5.85</v>
      </c>
    </row>
    <row r="27" ht="21" customHeight="1" spans="1:24">
      <c r="A27" s="45"/>
      <c r="B27" s="46"/>
      <c r="C27" s="46"/>
      <c r="D27" s="46"/>
      <c r="E27" s="46"/>
      <c r="F27" s="46"/>
      <c r="G27" s="46"/>
      <c r="H27" s="46"/>
      <c r="I27" s="46"/>
      <c r="J27" s="46"/>
      <c r="K27" s="46"/>
      <c r="L27" s="46"/>
      <c r="M27" s="46"/>
      <c r="N27" s="46"/>
      <c r="O27" s="46"/>
      <c r="P27" s="46"/>
      <c r="Q27" s="46"/>
      <c r="R27" s="46"/>
      <c r="S27" s="46"/>
      <c r="T27" s="46"/>
      <c r="U27" s="46"/>
      <c r="V27" s="46"/>
      <c r="W27" s="46"/>
      <c r="X27" s="252"/>
    </row>
    <row r="28" ht="44" customHeight="1" spans="1:24">
      <c r="A28" s="14"/>
      <c r="B28" s="15" t="str">
        <f>_xlfn.DISPIMG("ID_08291703FF254558BD8D52424FB1D04B",1)</f>
        <v>=DISPIMG("ID_08291703FF254558BD8D52424FB1D04B",1)</v>
      </c>
      <c r="C28" s="15" t="str">
        <f>_xlfn.DISPIMG("ID_20C8D29166994F4BB3A29D78F633C465",1)</f>
        <v>=DISPIMG("ID_20C8D29166994F4BB3A29D78F633C465",1)</v>
      </c>
      <c r="D28" s="15" t="str">
        <f>_xlfn.DISPIMG("ID_9024D7F831CF46508EF2435D1C04CA98",1)</f>
        <v>=DISPIMG("ID_9024D7F831CF46508EF2435D1C04CA98",1)</v>
      </c>
      <c r="E28" s="15" t="str">
        <f>_xlfn.DISPIMG("ID_9726CFC615CE43F2AD104AF6FB0D5CE1",1)</f>
        <v>=DISPIMG("ID_9726CFC615CE43F2AD104AF6FB0D5CE1",1)</v>
      </c>
      <c r="F28" s="16"/>
      <c r="G28" s="1166" t="s">
        <v>279</v>
      </c>
      <c r="H28" s="1167"/>
      <c r="I28" s="1167"/>
      <c r="J28" s="1167"/>
      <c r="K28" s="1167"/>
      <c r="L28" s="1167"/>
      <c r="M28" s="1167"/>
      <c r="N28" s="1167"/>
      <c r="O28" s="1238"/>
      <c r="P28" s="134"/>
      <c r="Q28" s="233"/>
      <c r="R28" s="233"/>
      <c r="S28" s="233"/>
      <c r="T28" s="233"/>
      <c r="U28" s="233"/>
      <c r="V28" s="233"/>
      <c r="W28" s="233"/>
      <c r="X28" s="234"/>
    </row>
    <row r="29" ht="21" customHeight="1" spans="1:24">
      <c r="A29" s="1168"/>
      <c r="B29" s="1169"/>
      <c r="C29" s="1169"/>
      <c r="D29" s="1169"/>
      <c r="E29" s="1169"/>
      <c r="F29" s="1169"/>
      <c r="G29" s="1169"/>
      <c r="H29" s="1169"/>
      <c r="I29" s="1169"/>
      <c r="J29" s="1169"/>
      <c r="K29" s="1169"/>
      <c r="L29" s="1169"/>
      <c r="M29" s="1169"/>
      <c r="N29" s="1169"/>
      <c r="O29" s="1169"/>
      <c r="P29" s="1169"/>
      <c r="Q29" s="1169"/>
      <c r="R29" s="1169"/>
      <c r="S29" s="1169"/>
      <c r="T29" s="1169"/>
      <c r="U29" s="1169"/>
      <c r="V29" s="1169"/>
      <c r="W29" s="1169"/>
      <c r="X29" s="1304"/>
    </row>
    <row r="30" ht="21" customHeight="1" spans="1:24">
      <c r="A30" s="21" t="s">
        <v>259</v>
      </c>
      <c r="B30" s="21"/>
      <c r="C30" s="23">
        <v>0</v>
      </c>
      <c r="D30" s="24">
        <v>1</v>
      </c>
      <c r="E30" s="24">
        <v>2</v>
      </c>
      <c r="F30" s="24">
        <v>3</v>
      </c>
      <c r="G30" s="24">
        <v>4</v>
      </c>
      <c r="H30" s="24">
        <v>5</v>
      </c>
      <c r="I30" s="24">
        <v>6</v>
      </c>
      <c r="J30" s="24">
        <v>7</v>
      </c>
      <c r="K30" s="135">
        <v>8</v>
      </c>
      <c r="L30" s="136">
        <v>9</v>
      </c>
      <c r="M30" s="137"/>
      <c r="N30" s="138"/>
      <c r="O30" s="139">
        <v>10</v>
      </c>
      <c r="P30" s="140">
        <v>11</v>
      </c>
      <c r="Q30" s="236">
        <v>12</v>
      </c>
      <c r="R30" s="236"/>
      <c r="S30" s="236"/>
      <c r="T30" s="139">
        <v>13</v>
      </c>
      <c r="U30" s="237">
        <v>14</v>
      </c>
      <c r="V30" s="140">
        <v>15</v>
      </c>
      <c r="W30" s="137">
        <v>16</v>
      </c>
      <c r="X30" s="138"/>
    </row>
    <row r="31" ht="21" customHeight="1" spans="1:24">
      <c r="A31" s="1170" t="s">
        <v>280</v>
      </c>
      <c r="B31" s="1170"/>
      <c r="C31" s="856">
        <v>1.3</v>
      </c>
      <c r="D31" s="1171">
        <v>1.4</v>
      </c>
      <c r="E31" s="1171">
        <v>1.5</v>
      </c>
      <c r="F31" s="1171">
        <v>1.6</v>
      </c>
      <c r="G31" s="1171">
        <v>1.7</v>
      </c>
      <c r="H31" s="1171">
        <v>1.8</v>
      </c>
      <c r="I31" s="1171">
        <v>1.9</v>
      </c>
      <c r="J31" s="1171">
        <v>2</v>
      </c>
      <c r="K31" s="1239">
        <v>2.1</v>
      </c>
      <c r="L31" s="1240"/>
      <c r="M31" s="1241">
        <v>2.3</v>
      </c>
      <c r="N31" s="1242"/>
      <c r="O31" s="1243">
        <v>2.5</v>
      </c>
      <c r="P31" s="1244">
        <v>2.7</v>
      </c>
      <c r="Q31" s="1242"/>
      <c r="R31" s="1305">
        <v>2.9</v>
      </c>
      <c r="S31" s="1242"/>
      <c r="T31" s="1243">
        <v>3.2</v>
      </c>
      <c r="U31" s="1306">
        <v>3.5</v>
      </c>
      <c r="V31" s="1244">
        <v>3.8</v>
      </c>
      <c r="W31" s="1307"/>
      <c r="X31" s="1308">
        <v>4.1</v>
      </c>
    </row>
    <row r="32" ht="21" customHeight="1" spans="1:24">
      <c r="A32" s="1172" t="s">
        <v>281</v>
      </c>
      <c r="B32" s="1173"/>
      <c r="C32" s="1174">
        <v>1.2</v>
      </c>
      <c r="D32" s="1175">
        <v>1.3</v>
      </c>
      <c r="E32" s="1175">
        <v>1.4</v>
      </c>
      <c r="F32" s="1175">
        <v>1.5</v>
      </c>
      <c r="G32" s="1175">
        <v>1.6</v>
      </c>
      <c r="H32" s="1175">
        <v>1.7</v>
      </c>
      <c r="I32" s="1175">
        <v>1.8</v>
      </c>
      <c r="J32" s="1175">
        <v>1.9</v>
      </c>
      <c r="K32" s="1245">
        <v>2</v>
      </c>
      <c r="L32" s="1246"/>
      <c r="M32" s="1247">
        <v>2.1</v>
      </c>
      <c r="N32" s="1248"/>
      <c r="O32" s="1249">
        <v>2.2</v>
      </c>
      <c r="P32" s="1250">
        <v>2.4</v>
      </c>
      <c r="Q32" s="1248"/>
      <c r="R32" s="1309">
        <v>2.7</v>
      </c>
      <c r="S32" s="1248"/>
      <c r="T32" s="1249">
        <v>3</v>
      </c>
      <c r="U32" s="1310">
        <v>3.3</v>
      </c>
      <c r="V32" s="1250">
        <v>3.5</v>
      </c>
      <c r="W32" s="1311"/>
      <c r="X32" s="1312">
        <v>3.9</v>
      </c>
    </row>
    <row r="33" ht="21" customHeight="1" spans="1:24">
      <c r="A33" s="1170" t="s">
        <v>266</v>
      </c>
      <c r="B33" s="1170"/>
      <c r="C33" s="856">
        <v>1.3</v>
      </c>
      <c r="D33" s="1171">
        <v>1.4</v>
      </c>
      <c r="E33" s="1171">
        <v>1.5</v>
      </c>
      <c r="F33" s="1171">
        <v>1.6</v>
      </c>
      <c r="G33" s="1171">
        <v>1.7</v>
      </c>
      <c r="H33" s="1171">
        <v>1.8</v>
      </c>
      <c r="I33" s="1171">
        <v>1.9</v>
      </c>
      <c r="J33" s="1171">
        <v>2</v>
      </c>
      <c r="K33" s="1239">
        <v>2.1</v>
      </c>
      <c r="L33" s="1240"/>
      <c r="M33" s="1241">
        <v>2.3</v>
      </c>
      <c r="N33" s="1242"/>
      <c r="O33" s="1243">
        <v>2.5</v>
      </c>
      <c r="P33" s="1244">
        <v>2.7</v>
      </c>
      <c r="Q33" s="1242"/>
      <c r="R33" s="1305">
        <v>2.9</v>
      </c>
      <c r="S33" s="1242"/>
      <c r="T33" s="1243">
        <v>3.2</v>
      </c>
      <c r="U33" s="1306">
        <v>3.5</v>
      </c>
      <c r="V33" s="1244">
        <v>3.8</v>
      </c>
      <c r="W33" s="1307"/>
      <c r="X33" s="1308">
        <v>4.1</v>
      </c>
    </row>
    <row r="34" ht="21" customHeight="1" spans="1:24">
      <c r="A34" s="1176" t="s">
        <v>282</v>
      </c>
      <c r="B34" s="1176"/>
      <c r="C34" s="1177">
        <v>1.6</v>
      </c>
      <c r="D34" s="1178">
        <v>1.7</v>
      </c>
      <c r="E34" s="1178">
        <v>1.8</v>
      </c>
      <c r="F34" s="1178">
        <v>1.9</v>
      </c>
      <c r="G34" s="1178">
        <v>2</v>
      </c>
      <c r="H34" s="1178">
        <v>2.1</v>
      </c>
      <c r="I34" s="1178">
        <v>2.2</v>
      </c>
      <c r="J34" s="1178">
        <v>2.3</v>
      </c>
      <c r="K34" s="1251">
        <v>2.4</v>
      </c>
      <c r="L34" s="1252"/>
      <c r="M34" s="1253">
        <v>2.6</v>
      </c>
      <c r="N34" s="1254"/>
      <c r="O34" s="1255">
        <v>2.8</v>
      </c>
      <c r="P34" s="1256">
        <v>3</v>
      </c>
      <c r="Q34" s="1254"/>
      <c r="R34" s="1313">
        <v>3.2</v>
      </c>
      <c r="S34" s="1254"/>
      <c r="T34" s="1255">
        <v>3.5</v>
      </c>
      <c r="U34" s="1314">
        <v>3.8</v>
      </c>
      <c r="V34" s="1256">
        <v>4.1</v>
      </c>
      <c r="W34" s="1315"/>
      <c r="X34" s="1316">
        <v>4.5</v>
      </c>
    </row>
    <row r="35" ht="21" customHeight="1" spans="1:24">
      <c r="A35" s="1179" t="s">
        <v>283</v>
      </c>
      <c r="B35" s="1179"/>
      <c r="C35" s="1180">
        <f t="shared" ref="C35:Z35" si="39">C34+0.05</f>
        <v>1.65</v>
      </c>
      <c r="D35" s="1181">
        <f t="shared" si="39"/>
        <v>1.75</v>
      </c>
      <c r="E35" s="1181">
        <f t="shared" si="39"/>
        <v>1.85</v>
      </c>
      <c r="F35" s="1181">
        <f t="shared" si="39"/>
        <v>1.95</v>
      </c>
      <c r="G35" s="1181">
        <f t="shared" si="39"/>
        <v>2.05</v>
      </c>
      <c r="H35" s="1181">
        <f t="shared" si="39"/>
        <v>2.15</v>
      </c>
      <c r="I35" s="1181">
        <f t="shared" si="39"/>
        <v>2.25</v>
      </c>
      <c r="J35" s="1181">
        <f t="shared" si="39"/>
        <v>2.35</v>
      </c>
      <c r="K35" s="1257">
        <f t="shared" si="39"/>
        <v>2.45</v>
      </c>
      <c r="L35" s="1258">
        <f t="shared" si="39"/>
        <v>0.05</v>
      </c>
      <c r="M35" s="1259">
        <f t="shared" si="39"/>
        <v>2.65</v>
      </c>
      <c r="N35" s="1260">
        <f t="shared" si="39"/>
        <v>0.05</v>
      </c>
      <c r="O35" s="1261">
        <f t="shared" si="39"/>
        <v>2.85</v>
      </c>
      <c r="P35" s="1262">
        <f t="shared" si="39"/>
        <v>3.05</v>
      </c>
      <c r="Q35" s="1260">
        <f t="shared" si="39"/>
        <v>0.05</v>
      </c>
      <c r="R35" s="1317">
        <f t="shared" si="39"/>
        <v>3.25</v>
      </c>
      <c r="S35" s="1260">
        <f t="shared" si="39"/>
        <v>0.05</v>
      </c>
      <c r="T35" s="1261">
        <f t="shared" si="39"/>
        <v>3.55</v>
      </c>
      <c r="U35" s="1318">
        <f t="shared" si="39"/>
        <v>3.85</v>
      </c>
      <c r="V35" s="1262">
        <f t="shared" si="39"/>
        <v>4.15</v>
      </c>
      <c r="W35" s="1319">
        <f t="shared" si="39"/>
        <v>0.05</v>
      </c>
      <c r="X35" s="1320">
        <f t="shared" si="39"/>
        <v>4.55</v>
      </c>
    </row>
    <row r="36" ht="21" customHeight="1" spans="1:24">
      <c r="A36" s="1182" t="s">
        <v>269</v>
      </c>
      <c r="B36" s="1183"/>
      <c r="C36" s="1183"/>
      <c r="D36" s="1183"/>
      <c r="E36" s="1183"/>
      <c r="F36" s="1183"/>
      <c r="G36" s="1183"/>
      <c r="H36" s="1183"/>
      <c r="I36" s="1183"/>
      <c r="J36" s="1183"/>
      <c r="K36" s="1183"/>
      <c r="L36" s="1183"/>
      <c r="M36" s="1183"/>
      <c r="N36" s="1183"/>
      <c r="O36" s="1183"/>
      <c r="P36" s="1183"/>
      <c r="Q36" s="1183"/>
      <c r="R36" s="1183"/>
      <c r="S36" s="1183"/>
      <c r="T36" s="1183"/>
      <c r="U36" s="1183"/>
      <c r="V36" s="1183"/>
      <c r="W36" s="1183"/>
      <c r="X36" s="1321"/>
    </row>
    <row r="37" ht="21" customHeight="1" spans="1:24">
      <c r="A37" s="1184" t="s">
        <v>284</v>
      </c>
      <c r="B37" s="1185"/>
      <c r="C37" s="1186">
        <f t="shared" ref="C37:K37" si="40">C32*1.1</f>
        <v>1.32</v>
      </c>
      <c r="D37" s="1187">
        <f t="shared" si="40"/>
        <v>1.43</v>
      </c>
      <c r="E37" s="1187">
        <f t="shared" si="40"/>
        <v>1.54</v>
      </c>
      <c r="F37" s="1187">
        <f t="shared" si="40"/>
        <v>1.65</v>
      </c>
      <c r="G37" s="1187">
        <f t="shared" si="40"/>
        <v>1.76</v>
      </c>
      <c r="H37" s="1187">
        <f t="shared" si="40"/>
        <v>1.87</v>
      </c>
      <c r="I37" s="1187">
        <f t="shared" si="40"/>
        <v>1.98</v>
      </c>
      <c r="J37" s="1187">
        <f t="shared" si="40"/>
        <v>2.09</v>
      </c>
      <c r="K37" s="1263">
        <f t="shared" si="40"/>
        <v>2.2</v>
      </c>
      <c r="L37" s="1264"/>
      <c r="M37" s="1265">
        <f t="shared" ref="M37:P37" si="41">M32*1.1</f>
        <v>2.31</v>
      </c>
      <c r="N37" s="1264"/>
      <c r="O37" s="1266">
        <f t="shared" si="41"/>
        <v>2.42</v>
      </c>
      <c r="P37" s="1267">
        <f t="shared" si="41"/>
        <v>2.64</v>
      </c>
      <c r="Q37" s="1264"/>
      <c r="R37" s="1322">
        <f t="shared" ref="R37:V37" si="42">R32*1.1</f>
        <v>2.97</v>
      </c>
      <c r="S37" s="1264"/>
      <c r="T37" s="1266">
        <f t="shared" si="42"/>
        <v>3.3</v>
      </c>
      <c r="U37" s="1323">
        <f t="shared" si="42"/>
        <v>3.63</v>
      </c>
      <c r="V37" s="1267">
        <f t="shared" si="42"/>
        <v>3.85</v>
      </c>
      <c r="W37" s="1324"/>
      <c r="X37" s="1325">
        <f>X32*1.1</f>
        <v>4.29</v>
      </c>
    </row>
    <row r="38" ht="21" customHeight="1" spans="1:24">
      <c r="A38" s="1188" t="s">
        <v>285</v>
      </c>
      <c r="B38" s="1189"/>
      <c r="C38" s="1190">
        <f t="shared" ref="C38:Z38" si="43">C33*1.15</f>
        <v>1.495</v>
      </c>
      <c r="D38" s="1191">
        <f t="shared" si="43"/>
        <v>1.61</v>
      </c>
      <c r="E38" s="1191">
        <f t="shared" si="43"/>
        <v>1.725</v>
      </c>
      <c r="F38" s="1191">
        <f t="shared" si="43"/>
        <v>1.84</v>
      </c>
      <c r="G38" s="1191">
        <f t="shared" si="43"/>
        <v>1.955</v>
      </c>
      <c r="H38" s="1191">
        <f t="shared" si="43"/>
        <v>2.07</v>
      </c>
      <c r="I38" s="1191">
        <f t="shared" si="43"/>
        <v>2.185</v>
      </c>
      <c r="J38" s="1191">
        <f t="shared" si="43"/>
        <v>2.3</v>
      </c>
      <c r="K38" s="1268">
        <f t="shared" si="43"/>
        <v>2.415</v>
      </c>
      <c r="L38" s="1269">
        <f t="shared" si="43"/>
        <v>0</v>
      </c>
      <c r="M38" s="1270">
        <f t="shared" si="43"/>
        <v>2.645</v>
      </c>
      <c r="N38" s="1271">
        <f t="shared" si="43"/>
        <v>0</v>
      </c>
      <c r="O38" s="1272">
        <f t="shared" si="43"/>
        <v>2.875</v>
      </c>
      <c r="P38" s="1273">
        <f t="shared" si="43"/>
        <v>3.105</v>
      </c>
      <c r="Q38" s="1271">
        <f t="shared" si="43"/>
        <v>0</v>
      </c>
      <c r="R38" s="1326">
        <f t="shared" si="43"/>
        <v>3.335</v>
      </c>
      <c r="S38" s="1271">
        <f t="shared" si="43"/>
        <v>0</v>
      </c>
      <c r="T38" s="1272">
        <f t="shared" si="43"/>
        <v>3.68</v>
      </c>
      <c r="U38" s="1327">
        <f t="shared" si="43"/>
        <v>4.025</v>
      </c>
      <c r="V38" s="1273">
        <f t="shared" si="43"/>
        <v>4.37</v>
      </c>
      <c r="W38" s="1328">
        <f t="shared" si="43"/>
        <v>0</v>
      </c>
      <c r="X38" s="1329">
        <f t="shared" si="43"/>
        <v>4.715</v>
      </c>
    </row>
    <row r="39" ht="21" customHeight="1" spans="1:24">
      <c r="A39" s="1192" t="s">
        <v>286</v>
      </c>
      <c r="B39" s="1192"/>
      <c r="C39" s="1193">
        <f t="shared" ref="C39:Z39" si="44">C34*1.2</f>
        <v>1.92</v>
      </c>
      <c r="D39" s="1194">
        <f t="shared" si="44"/>
        <v>2.04</v>
      </c>
      <c r="E39" s="1194">
        <f t="shared" si="44"/>
        <v>2.16</v>
      </c>
      <c r="F39" s="1194">
        <f t="shared" si="44"/>
        <v>2.28</v>
      </c>
      <c r="G39" s="1194">
        <f t="shared" si="44"/>
        <v>2.4</v>
      </c>
      <c r="H39" s="1194">
        <f t="shared" si="44"/>
        <v>2.52</v>
      </c>
      <c r="I39" s="1194">
        <f t="shared" si="44"/>
        <v>2.64</v>
      </c>
      <c r="J39" s="1194">
        <f t="shared" si="44"/>
        <v>2.76</v>
      </c>
      <c r="K39" s="1274">
        <f t="shared" si="44"/>
        <v>2.88</v>
      </c>
      <c r="L39" s="1275">
        <f t="shared" si="44"/>
        <v>0</v>
      </c>
      <c r="M39" s="1276">
        <f t="shared" si="44"/>
        <v>3.12</v>
      </c>
      <c r="N39" s="1277">
        <f t="shared" si="44"/>
        <v>0</v>
      </c>
      <c r="O39" s="1278">
        <f t="shared" si="44"/>
        <v>3.36</v>
      </c>
      <c r="P39" s="1279">
        <f t="shared" si="44"/>
        <v>3.6</v>
      </c>
      <c r="Q39" s="1277">
        <f t="shared" si="44"/>
        <v>0</v>
      </c>
      <c r="R39" s="1309">
        <f t="shared" si="44"/>
        <v>3.84</v>
      </c>
      <c r="S39" s="1277">
        <f t="shared" si="44"/>
        <v>0</v>
      </c>
      <c r="T39" s="1278">
        <f t="shared" si="44"/>
        <v>4.2</v>
      </c>
      <c r="U39" s="1330">
        <f t="shared" si="44"/>
        <v>4.56</v>
      </c>
      <c r="V39" s="1279">
        <f t="shared" si="44"/>
        <v>4.92</v>
      </c>
      <c r="W39" s="1331">
        <f t="shared" si="44"/>
        <v>0</v>
      </c>
      <c r="X39" s="1312">
        <f t="shared" si="44"/>
        <v>5.4</v>
      </c>
    </row>
    <row r="40" ht="21" customHeight="1" spans="1:24">
      <c r="A40" s="1179" t="s">
        <v>287</v>
      </c>
      <c r="B40" s="1179"/>
      <c r="C40" s="1180">
        <f t="shared" ref="C40:Z40" si="45">C39+0.05</f>
        <v>1.97</v>
      </c>
      <c r="D40" s="1181">
        <f t="shared" si="45"/>
        <v>2.09</v>
      </c>
      <c r="E40" s="1181">
        <f t="shared" si="45"/>
        <v>2.21</v>
      </c>
      <c r="F40" s="1181">
        <f t="shared" si="45"/>
        <v>2.33</v>
      </c>
      <c r="G40" s="1181">
        <f t="shared" si="45"/>
        <v>2.45</v>
      </c>
      <c r="H40" s="1181">
        <f t="shared" si="45"/>
        <v>2.57</v>
      </c>
      <c r="I40" s="1181">
        <f t="shared" si="45"/>
        <v>2.69</v>
      </c>
      <c r="J40" s="1181">
        <f t="shared" si="45"/>
        <v>2.81</v>
      </c>
      <c r="K40" s="1257">
        <f t="shared" si="45"/>
        <v>2.93</v>
      </c>
      <c r="L40" s="1258">
        <f t="shared" si="45"/>
        <v>0.05</v>
      </c>
      <c r="M40" s="1259">
        <f t="shared" si="45"/>
        <v>3.17</v>
      </c>
      <c r="N40" s="1260">
        <f t="shared" si="45"/>
        <v>0.05</v>
      </c>
      <c r="O40" s="1261">
        <f t="shared" si="45"/>
        <v>3.41</v>
      </c>
      <c r="P40" s="1262">
        <f t="shared" si="45"/>
        <v>3.65</v>
      </c>
      <c r="Q40" s="1260">
        <f t="shared" si="45"/>
        <v>0.05</v>
      </c>
      <c r="R40" s="1317">
        <f t="shared" si="45"/>
        <v>3.89</v>
      </c>
      <c r="S40" s="1260">
        <f t="shared" si="45"/>
        <v>0.05</v>
      </c>
      <c r="T40" s="1261">
        <f t="shared" si="45"/>
        <v>4.25</v>
      </c>
      <c r="U40" s="1318">
        <f t="shared" si="45"/>
        <v>4.61</v>
      </c>
      <c r="V40" s="1262">
        <f t="shared" si="45"/>
        <v>4.97</v>
      </c>
      <c r="W40" s="1319">
        <f t="shared" si="45"/>
        <v>0.05</v>
      </c>
      <c r="X40" s="1320">
        <f t="shared" si="45"/>
        <v>5.45</v>
      </c>
    </row>
    <row r="41" ht="21" customHeight="1" spans="1:24">
      <c r="A41" s="59" t="s">
        <v>288</v>
      </c>
      <c r="B41" s="60"/>
      <c r="C41" s="61">
        <v>0</v>
      </c>
      <c r="D41" s="62">
        <v>1</v>
      </c>
      <c r="E41" s="62">
        <v>2</v>
      </c>
      <c r="F41" s="63">
        <v>3</v>
      </c>
      <c r="G41" s="62">
        <v>4</v>
      </c>
      <c r="H41" s="64">
        <v>5</v>
      </c>
      <c r="I41" s="62">
        <v>6</v>
      </c>
      <c r="J41" s="174">
        <v>7</v>
      </c>
      <c r="K41" s="175">
        <v>8</v>
      </c>
      <c r="L41" s="25" t="s">
        <v>289</v>
      </c>
      <c r="M41" s="25"/>
      <c r="N41" s="25"/>
      <c r="O41" s="25"/>
      <c r="P41" s="25"/>
      <c r="Q41" s="25"/>
      <c r="R41" s="25"/>
      <c r="S41" s="25"/>
      <c r="T41" s="25"/>
      <c r="U41" s="25"/>
      <c r="V41" s="25"/>
      <c r="W41" s="25"/>
      <c r="X41" s="25"/>
    </row>
    <row r="42" ht="21" customHeight="1" spans="1:24">
      <c r="A42" s="122" t="s">
        <v>280</v>
      </c>
      <c r="B42" s="122"/>
      <c r="C42" s="41">
        <v>35</v>
      </c>
      <c r="D42" s="42">
        <v>33</v>
      </c>
      <c r="E42" s="42">
        <v>31</v>
      </c>
      <c r="F42" s="43">
        <v>29</v>
      </c>
      <c r="G42" s="42">
        <v>27</v>
      </c>
      <c r="H42" s="44">
        <v>25</v>
      </c>
      <c r="I42" s="42">
        <v>23</v>
      </c>
      <c r="J42" s="163">
        <v>20</v>
      </c>
      <c r="K42" s="164">
        <v>15</v>
      </c>
      <c r="L42" s="392" t="s">
        <v>290</v>
      </c>
      <c r="M42" s="1280"/>
      <c r="N42" s="1280"/>
      <c r="O42" s="1280"/>
      <c r="P42" s="1280"/>
      <c r="Q42" s="1280"/>
      <c r="R42" s="1280"/>
      <c r="S42" s="1280"/>
      <c r="T42" s="1280"/>
      <c r="U42" s="1280"/>
      <c r="V42" s="1280"/>
      <c r="W42" s="1280"/>
      <c r="X42" s="1332"/>
    </row>
    <row r="43" ht="21" customHeight="1" spans="1:24">
      <c r="A43" s="65" t="s">
        <v>281</v>
      </c>
      <c r="B43" s="65"/>
      <c r="C43" s="66">
        <v>35</v>
      </c>
      <c r="D43" s="67">
        <v>33</v>
      </c>
      <c r="E43" s="67">
        <v>31</v>
      </c>
      <c r="F43" s="93">
        <v>29</v>
      </c>
      <c r="G43" s="67">
        <v>27</v>
      </c>
      <c r="H43" s="69">
        <v>25</v>
      </c>
      <c r="I43" s="67">
        <v>23</v>
      </c>
      <c r="J43" s="178">
        <v>20</v>
      </c>
      <c r="K43" s="378">
        <v>17</v>
      </c>
      <c r="L43" s="392" t="s">
        <v>291</v>
      </c>
      <c r="M43" s="1280"/>
      <c r="N43" s="1280"/>
      <c r="O43" s="1280"/>
      <c r="P43" s="1280"/>
      <c r="Q43" s="1280"/>
      <c r="R43" s="1280"/>
      <c r="S43" s="1280"/>
      <c r="T43" s="1280"/>
      <c r="U43" s="1280"/>
      <c r="V43" s="1280"/>
      <c r="W43" s="1280"/>
      <c r="X43" s="1332"/>
    </row>
    <row r="44" ht="21" customHeight="1" spans="1:24">
      <c r="A44" s="25" t="s">
        <v>282</v>
      </c>
      <c r="B44" s="25"/>
      <c r="C44" s="89">
        <v>35</v>
      </c>
      <c r="D44" s="90">
        <v>32</v>
      </c>
      <c r="E44" s="90">
        <v>29</v>
      </c>
      <c r="F44" s="91">
        <v>26</v>
      </c>
      <c r="G44" s="90">
        <v>23</v>
      </c>
      <c r="H44" s="92">
        <v>20</v>
      </c>
      <c r="I44" s="90">
        <v>16</v>
      </c>
      <c r="J44" s="206">
        <v>12</v>
      </c>
      <c r="K44" s="207">
        <v>7</v>
      </c>
      <c r="L44" s="392" t="s">
        <v>292</v>
      </c>
      <c r="M44" s="1280"/>
      <c r="N44" s="1280"/>
      <c r="O44" s="1280"/>
      <c r="P44" s="1280"/>
      <c r="Q44" s="1280"/>
      <c r="R44" s="1280"/>
      <c r="S44" s="1280"/>
      <c r="T44" s="1280"/>
      <c r="U44" s="1280"/>
      <c r="V44" s="1280"/>
      <c r="W44" s="1280"/>
      <c r="X44" s="1332"/>
    </row>
    <row r="45" ht="21" customHeight="1" spans="1:24">
      <c r="A45" s="45"/>
      <c r="B45" s="46"/>
      <c r="C45" s="46"/>
      <c r="D45" s="46"/>
      <c r="E45" s="46"/>
      <c r="F45" s="46"/>
      <c r="G45" s="46"/>
      <c r="H45" s="46"/>
      <c r="I45" s="46"/>
      <c r="J45" s="46"/>
      <c r="K45" s="46"/>
      <c r="L45" s="46"/>
      <c r="M45" s="46"/>
      <c r="N45" s="46"/>
      <c r="O45" s="46"/>
      <c r="P45" s="46"/>
      <c r="Q45" s="46"/>
      <c r="R45" s="46"/>
      <c r="S45" s="46"/>
      <c r="T45" s="46"/>
      <c r="U45" s="46"/>
      <c r="V45" s="46"/>
      <c r="W45" s="46"/>
      <c r="X45" s="252"/>
    </row>
    <row r="46" ht="44" customHeight="1" spans="1:24">
      <c r="A46" s="14"/>
      <c r="B46" s="15"/>
      <c r="C46" s="15" t="str">
        <f>_xlfn.DISPIMG("ID_53C05205E77F40F28BF32D2B4B36F0A6",1)</f>
        <v>=DISPIMG("ID_53C05205E77F40F28BF32D2B4B36F0A6",1)</v>
      </c>
      <c r="D46" s="15" t="str">
        <f>_xlfn.DISPIMG("ID_BC7005D18B6347FCAA963865FA790DCC",1)</f>
        <v>=DISPIMG("ID_BC7005D18B6347FCAA963865FA790DCC",1)</v>
      </c>
      <c r="E46" s="15"/>
      <c r="F46" s="16"/>
      <c r="G46" s="1195" t="s">
        <v>293</v>
      </c>
      <c r="H46" s="1196"/>
      <c r="I46" s="1196"/>
      <c r="J46" s="1196"/>
      <c r="K46" s="1196"/>
      <c r="L46" s="1196"/>
      <c r="M46" s="1196"/>
      <c r="N46" s="1196"/>
      <c r="O46" s="1281"/>
      <c r="P46" s="134"/>
      <c r="Q46" s="233"/>
      <c r="R46" s="233"/>
      <c r="S46" s="233"/>
      <c r="T46" s="233"/>
      <c r="U46" s="233"/>
      <c r="V46" s="233"/>
      <c r="W46" s="233"/>
      <c r="X46" s="234"/>
    </row>
    <row r="47" ht="21" customHeight="1" spans="1:24">
      <c r="A47" s="1197"/>
      <c r="B47" s="1197"/>
      <c r="C47" s="1197"/>
      <c r="D47" s="1197"/>
      <c r="E47" s="1197"/>
      <c r="F47" s="1197"/>
      <c r="G47" s="1197"/>
      <c r="H47" s="1197"/>
      <c r="I47" s="1197"/>
      <c r="J47" s="1197"/>
      <c r="K47" s="1197"/>
      <c r="L47" s="1197"/>
      <c r="M47" s="1197"/>
      <c r="N47" s="1197"/>
      <c r="O47" s="1197"/>
      <c r="P47" s="1197"/>
      <c r="Q47" s="1197"/>
      <c r="R47" s="1197"/>
      <c r="S47" s="1197"/>
      <c r="T47" s="1197"/>
      <c r="U47" s="1197"/>
      <c r="V47" s="1197"/>
      <c r="W47" s="1197"/>
      <c r="X47" s="1197"/>
    </row>
    <row r="48" ht="21" customHeight="1" spans="1:24">
      <c r="A48" s="872" t="s">
        <v>259</v>
      </c>
      <c r="B48" s="873"/>
      <c r="C48" s="23">
        <v>0</v>
      </c>
      <c r="D48" s="24">
        <v>1</v>
      </c>
      <c r="E48" s="24">
        <v>2</v>
      </c>
      <c r="F48" s="24">
        <v>3</v>
      </c>
      <c r="G48" s="24">
        <v>4</v>
      </c>
      <c r="H48" s="24">
        <v>5</v>
      </c>
      <c r="I48" s="24">
        <v>6</v>
      </c>
      <c r="J48" s="24">
        <v>7</v>
      </c>
      <c r="K48" s="135">
        <v>8</v>
      </c>
      <c r="L48" s="136">
        <v>9</v>
      </c>
      <c r="M48" s="137"/>
      <c r="N48" s="138"/>
      <c r="O48" s="139">
        <v>10</v>
      </c>
      <c r="P48" s="140">
        <v>11</v>
      </c>
      <c r="Q48" s="236">
        <v>12</v>
      </c>
      <c r="R48" s="236"/>
      <c r="S48" s="236"/>
      <c r="T48" s="139">
        <v>13</v>
      </c>
      <c r="U48" s="237">
        <v>14</v>
      </c>
      <c r="V48" s="140">
        <v>15</v>
      </c>
      <c r="W48" s="137">
        <v>16</v>
      </c>
      <c r="X48" s="138"/>
    </row>
    <row r="49" ht="21" customHeight="1" spans="1:24">
      <c r="A49" s="122" t="s">
        <v>294</v>
      </c>
      <c r="B49" s="123"/>
      <c r="C49" s="336">
        <v>1.1</v>
      </c>
      <c r="D49" s="337">
        <v>1.1</v>
      </c>
      <c r="E49" s="337">
        <v>1.1</v>
      </c>
      <c r="F49" s="337">
        <v>1.2</v>
      </c>
      <c r="G49" s="337">
        <v>1.2</v>
      </c>
      <c r="H49" s="337">
        <v>1.2</v>
      </c>
      <c r="I49" s="337">
        <v>1.3</v>
      </c>
      <c r="J49" s="337">
        <v>1.3</v>
      </c>
      <c r="K49" s="379">
        <v>1.3</v>
      </c>
      <c r="L49" s="380"/>
      <c r="M49" s="218">
        <v>1.4</v>
      </c>
      <c r="N49" s="367"/>
      <c r="O49" s="203">
        <v>1.4</v>
      </c>
      <c r="P49" s="204">
        <v>1.4</v>
      </c>
      <c r="Q49" s="367"/>
      <c r="R49" s="272">
        <v>1.5</v>
      </c>
      <c r="S49" s="367"/>
      <c r="T49" s="203">
        <v>1.55</v>
      </c>
      <c r="U49" s="273">
        <v>1.6</v>
      </c>
      <c r="V49" s="204">
        <v>1.65</v>
      </c>
      <c r="W49" s="403"/>
      <c r="X49" s="275">
        <v>1.7</v>
      </c>
    </row>
    <row r="50" ht="21" customHeight="1" spans="1:24">
      <c r="A50" s="122" t="s">
        <v>295</v>
      </c>
      <c r="B50" s="123"/>
      <c r="C50" s="336">
        <v>1.3</v>
      </c>
      <c r="D50" s="337">
        <v>1.3</v>
      </c>
      <c r="E50" s="337">
        <v>1.4</v>
      </c>
      <c r="F50" s="337">
        <v>1.4</v>
      </c>
      <c r="G50" s="337">
        <v>1.5</v>
      </c>
      <c r="H50" s="337">
        <v>1.6</v>
      </c>
      <c r="I50" s="337">
        <v>1.7</v>
      </c>
      <c r="J50" s="337">
        <v>1.8</v>
      </c>
      <c r="K50" s="379">
        <v>1.9</v>
      </c>
      <c r="L50" s="380"/>
      <c r="M50" s="218">
        <v>2</v>
      </c>
      <c r="N50" s="367"/>
      <c r="O50" s="203">
        <v>2.2</v>
      </c>
      <c r="P50" s="204">
        <v>2.4</v>
      </c>
      <c r="Q50" s="367"/>
      <c r="R50" s="272">
        <v>2.6</v>
      </c>
      <c r="S50" s="367"/>
      <c r="T50" s="203">
        <v>2.8</v>
      </c>
      <c r="U50" s="273">
        <v>3</v>
      </c>
      <c r="V50" s="204">
        <v>3.2</v>
      </c>
      <c r="W50" s="403"/>
      <c r="X50" s="275">
        <v>3.5</v>
      </c>
    </row>
    <row r="51" ht="21" customHeight="1" spans="1:24">
      <c r="A51" s="83" t="s">
        <v>269</v>
      </c>
      <c r="B51" s="84"/>
      <c r="C51" s="84"/>
      <c r="D51" s="84"/>
      <c r="E51" s="84"/>
      <c r="F51" s="84"/>
      <c r="G51" s="84"/>
      <c r="H51" s="84"/>
      <c r="I51" s="84"/>
      <c r="J51" s="84"/>
      <c r="K51" s="84"/>
      <c r="L51" s="84"/>
      <c r="M51" s="84"/>
      <c r="N51" s="84"/>
      <c r="O51" s="84"/>
      <c r="P51" s="84"/>
      <c r="Q51" s="84"/>
      <c r="R51" s="84"/>
      <c r="S51" s="84"/>
      <c r="T51" s="84"/>
      <c r="U51" s="84"/>
      <c r="V51" s="84"/>
      <c r="W51" s="84"/>
      <c r="X51" s="270"/>
    </row>
    <row r="52" ht="21" customHeight="1" spans="1:24">
      <c r="A52" s="1198" t="s">
        <v>296</v>
      </c>
      <c r="B52" s="315"/>
      <c r="C52" s="323">
        <f t="shared" ref="C52:K52" si="46">C49+0.3</f>
        <v>1.4</v>
      </c>
      <c r="D52" s="324">
        <f t="shared" si="46"/>
        <v>1.4</v>
      </c>
      <c r="E52" s="324">
        <f t="shared" si="46"/>
        <v>1.4</v>
      </c>
      <c r="F52" s="324">
        <f t="shared" si="46"/>
        <v>1.5</v>
      </c>
      <c r="G52" s="324">
        <f t="shared" si="46"/>
        <v>1.5</v>
      </c>
      <c r="H52" s="324">
        <f t="shared" si="46"/>
        <v>1.5</v>
      </c>
      <c r="I52" s="324">
        <f t="shared" si="46"/>
        <v>1.6</v>
      </c>
      <c r="J52" s="324">
        <f t="shared" si="46"/>
        <v>1.6</v>
      </c>
      <c r="K52" s="363">
        <f t="shared" si="46"/>
        <v>1.6</v>
      </c>
      <c r="L52" s="731"/>
      <c r="M52" s="186">
        <f t="shared" ref="M52:P52" si="47">M49+0.3</f>
        <v>1.7</v>
      </c>
      <c r="N52" s="144"/>
      <c r="O52" s="188">
        <f t="shared" si="47"/>
        <v>1.7</v>
      </c>
      <c r="P52" s="189">
        <f t="shared" si="47"/>
        <v>1.7</v>
      </c>
      <c r="Q52" s="144"/>
      <c r="R52" s="262">
        <f t="shared" ref="R52:V52" si="48">R49+0.3</f>
        <v>1.8</v>
      </c>
      <c r="S52" s="144"/>
      <c r="T52" s="188">
        <f t="shared" si="48"/>
        <v>1.85</v>
      </c>
      <c r="U52" s="263">
        <f t="shared" si="48"/>
        <v>1.9</v>
      </c>
      <c r="V52" s="189">
        <f t="shared" si="48"/>
        <v>1.95</v>
      </c>
      <c r="W52" s="240"/>
      <c r="X52" s="265">
        <f>X49+0.3</f>
        <v>2</v>
      </c>
    </row>
    <row r="53" ht="21" customHeight="1" spans="1:24">
      <c r="A53" s="1198" t="s">
        <v>297</v>
      </c>
      <c r="B53" s="315"/>
      <c r="C53" s="323">
        <f t="shared" ref="C53:K53" si="49">C50+0.35</f>
        <v>1.65</v>
      </c>
      <c r="D53" s="324">
        <f t="shared" si="49"/>
        <v>1.65</v>
      </c>
      <c r="E53" s="324">
        <f t="shared" si="49"/>
        <v>1.75</v>
      </c>
      <c r="F53" s="324">
        <f t="shared" si="49"/>
        <v>1.75</v>
      </c>
      <c r="G53" s="324">
        <f t="shared" si="49"/>
        <v>1.85</v>
      </c>
      <c r="H53" s="324">
        <f t="shared" si="49"/>
        <v>1.95</v>
      </c>
      <c r="I53" s="324">
        <f t="shared" si="49"/>
        <v>2.05</v>
      </c>
      <c r="J53" s="324">
        <f t="shared" si="49"/>
        <v>2.15</v>
      </c>
      <c r="K53" s="363">
        <f t="shared" si="49"/>
        <v>2.25</v>
      </c>
      <c r="L53" s="731"/>
      <c r="M53" s="186">
        <f t="shared" ref="M53:P53" si="50">M50+0.35</f>
        <v>2.35</v>
      </c>
      <c r="N53" s="144"/>
      <c r="O53" s="188">
        <f t="shared" si="50"/>
        <v>2.55</v>
      </c>
      <c r="P53" s="189">
        <f t="shared" si="50"/>
        <v>2.75</v>
      </c>
      <c r="Q53" s="144"/>
      <c r="R53" s="262">
        <f t="shared" ref="R53:V53" si="51">R50+0.35</f>
        <v>2.95</v>
      </c>
      <c r="S53" s="144"/>
      <c r="T53" s="188">
        <f t="shared" si="51"/>
        <v>3.15</v>
      </c>
      <c r="U53" s="263">
        <f t="shared" si="51"/>
        <v>3.35</v>
      </c>
      <c r="V53" s="189">
        <f t="shared" si="51"/>
        <v>3.55</v>
      </c>
      <c r="W53" s="240"/>
      <c r="X53" s="265">
        <f>X50+0.35</f>
        <v>3.85</v>
      </c>
    </row>
    <row r="54" ht="21" customHeight="1" spans="1:24">
      <c r="A54" s="59" t="s">
        <v>288</v>
      </c>
      <c r="B54" s="60"/>
      <c r="C54" s="61">
        <v>0</v>
      </c>
      <c r="D54" s="62">
        <v>1</v>
      </c>
      <c r="E54" s="62">
        <v>2</v>
      </c>
      <c r="F54" s="63">
        <v>3</v>
      </c>
      <c r="G54" s="62">
        <v>4</v>
      </c>
      <c r="H54" s="64">
        <v>5</v>
      </c>
      <c r="I54" s="62">
        <v>6</v>
      </c>
      <c r="J54" s="174">
        <v>7</v>
      </c>
      <c r="K54" s="175">
        <v>8</v>
      </c>
      <c r="L54" s="25" t="s">
        <v>298</v>
      </c>
      <c r="M54" s="25"/>
      <c r="N54" s="25"/>
      <c r="O54" s="25"/>
      <c r="P54" s="25"/>
      <c r="Q54" s="25"/>
      <c r="R54" s="25"/>
      <c r="S54" s="25"/>
      <c r="T54" s="25"/>
      <c r="U54" s="25"/>
      <c r="V54" s="25"/>
      <c r="W54" s="25"/>
      <c r="X54" s="25"/>
    </row>
    <row r="55" ht="21" customHeight="1" spans="1:24">
      <c r="A55" s="25" t="s">
        <v>294</v>
      </c>
      <c r="B55" s="25"/>
      <c r="C55" s="89">
        <v>40</v>
      </c>
      <c r="D55" s="1199">
        <v>37</v>
      </c>
      <c r="E55" s="90">
        <v>34</v>
      </c>
      <c r="F55" s="1200">
        <v>31</v>
      </c>
      <c r="G55" s="90">
        <v>28</v>
      </c>
      <c r="H55" s="1201">
        <v>25</v>
      </c>
      <c r="I55" s="90">
        <v>22</v>
      </c>
      <c r="J55" s="1282">
        <v>19</v>
      </c>
      <c r="K55" s="241">
        <v>15</v>
      </c>
      <c r="L55" s="392" t="s">
        <v>299</v>
      </c>
      <c r="M55" s="1280"/>
      <c r="N55" s="1280"/>
      <c r="O55" s="1280"/>
      <c r="P55" s="1280"/>
      <c r="Q55" s="1280"/>
      <c r="R55" s="1280"/>
      <c r="S55" s="1280"/>
      <c r="T55" s="1280"/>
      <c r="U55" s="1280"/>
      <c r="V55" s="1280"/>
      <c r="W55" s="1280"/>
      <c r="X55" s="1332"/>
    </row>
    <row r="56" ht="21" customHeight="1" spans="1:24">
      <c r="A56" s="65" t="s">
        <v>295</v>
      </c>
      <c r="B56" s="65"/>
      <c r="C56" s="66">
        <v>40</v>
      </c>
      <c r="D56" s="67">
        <v>37</v>
      </c>
      <c r="E56" s="67">
        <v>34</v>
      </c>
      <c r="F56" s="93">
        <v>31</v>
      </c>
      <c r="G56" s="67">
        <v>28</v>
      </c>
      <c r="H56" s="69">
        <v>25</v>
      </c>
      <c r="I56" s="67">
        <v>22</v>
      </c>
      <c r="J56" s="178">
        <v>19</v>
      </c>
      <c r="K56" s="179">
        <v>15</v>
      </c>
      <c r="L56" s="392" t="s">
        <v>300</v>
      </c>
      <c r="M56" s="1280"/>
      <c r="N56" s="1280"/>
      <c r="O56" s="1280"/>
      <c r="P56" s="1280"/>
      <c r="Q56" s="1280"/>
      <c r="R56" s="1280"/>
      <c r="S56" s="1280"/>
      <c r="T56" s="1280"/>
      <c r="U56" s="1280"/>
      <c r="V56" s="1280"/>
      <c r="W56" s="1280"/>
      <c r="X56" s="1332"/>
    </row>
    <row r="57" ht="21" customHeight="1" spans="1:24">
      <c r="A57" s="1202" t="s">
        <v>301</v>
      </c>
      <c r="B57" s="1203"/>
      <c r="C57" s="1203"/>
      <c r="D57" s="1203"/>
      <c r="E57" s="1203"/>
      <c r="F57" s="1203"/>
      <c r="G57" s="1203"/>
      <c r="H57" s="1203"/>
      <c r="I57" s="1203"/>
      <c r="J57" s="1283"/>
      <c r="K57" s="1283"/>
      <c r="L57" s="1283"/>
      <c r="M57" s="1283"/>
      <c r="N57" s="1283"/>
      <c r="O57" s="1203"/>
      <c r="P57" s="1203"/>
      <c r="Q57" s="1203"/>
      <c r="R57" s="1203"/>
      <c r="S57" s="1203"/>
      <c r="T57" s="1203"/>
      <c r="U57" s="1203"/>
      <c r="V57" s="1203"/>
      <c r="W57" s="1203"/>
      <c r="X57" s="1204"/>
    </row>
    <row r="58" ht="44" customHeight="1" spans="1:24">
      <c r="A58" s="1202" t="str">
        <f>_xlfn.DISPIMG("ID_535A709EE8584D929F74CB5F84FA3C8D",1)</f>
        <v>=DISPIMG("ID_535A709EE8584D929F74CB5F84FA3C8D",1)</v>
      </c>
      <c r="B58" s="1203" t="str">
        <f>_xlfn.DISPIMG("ID_C7CC999F97C94006AA84D4C751EC09F9",1)</f>
        <v>=DISPIMG("ID_C7CC999F97C94006AA84D4C751EC09F9",1)</v>
      </c>
      <c r="C58" s="1204" t="str">
        <f>_xlfn.DISPIMG("ID_DFE74962C1DD49019CB64C68CB0D8EF0",1)</f>
        <v>=DISPIMG("ID_DFE74962C1DD49019CB64C68CB0D8EF0",1)</v>
      </c>
      <c r="D58" s="1202" t="str">
        <f>_xlfn.DISPIMG("ID_1C93D6906DA6425BA5CEA8211D97B7FA",1)</f>
        <v>=DISPIMG("ID_1C93D6906DA6425BA5CEA8211D97B7FA",1)</v>
      </c>
      <c r="E58" s="1203" t="str">
        <f>_xlfn.DISPIMG("ID_B5B7D18E6ADC4B4FB012583682F45B8F",1)</f>
        <v>=DISPIMG("ID_B5B7D18E6ADC4B4FB012583682F45B8F",1)</v>
      </c>
      <c r="F58" s="1204" t="str">
        <f>_xlfn.DISPIMG("ID_81A722FAC89B4912AE02FB2E741FD9F3",1)</f>
        <v>=DISPIMG("ID_81A722FAC89B4912AE02FB2E741FD9F3",1)</v>
      </c>
      <c r="G58" s="1202" t="str">
        <f>_xlfn.DISPIMG("ID_8738FF3754C74E3598D61E929DC852DC",1)</f>
        <v>=DISPIMG("ID_8738FF3754C74E3598D61E929DC852DC",1)</v>
      </c>
      <c r="H58" s="1203" t="str">
        <f>_xlfn.DISPIMG("ID_4A9D246A582B47D7B7E3A4436E227AF3",1)</f>
        <v>=DISPIMG("ID_4A9D246A582B47D7B7E3A4436E227AF3",1)</v>
      </c>
      <c r="I58" s="1203" t="str">
        <f>_xlfn.DISPIMG("ID_9919AA1DEB324B1DADEF752C8642969F",1)</f>
        <v>=DISPIMG("ID_9919AA1DEB324B1DADEF752C8642969F",1)</v>
      </c>
      <c r="J58" s="1202" t="str">
        <f>_xlfn.DISPIMG("ID_C0A1C8D46C11481BBE15ED100CB281B6",1)</f>
        <v>=DISPIMG("ID_C0A1C8D46C11481BBE15ED100CB281B6",1)</v>
      </c>
      <c r="K58" s="1203" t="str">
        <f>_xlfn.DISPIMG("ID_0F0CF7F37285493A8CBE1A573E49FB11",1)</f>
        <v>=DISPIMG("ID_0F0CF7F37285493A8CBE1A573E49FB11",1)</v>
      </c>
      <c r="L58" s="1203"/>
      <c r="M58" s="1203" t="str">
        <f>_xlfn.DISPIMG("ID_5DD47B05B22F4677A5A0071D22C85194",1)</f>
        <v>=DISPIMG("ID_5DD47B05B22F4677A5A0071D22C85194",1)</v>
      </c>
      <c r="N58" s="1204"/>
      <c r="O58" s="1203" t="str">
        <f>_xlfn.DISPIMG("ID_086D00306895470BA90211D3BA4A9B30",1)</f>
        <v>=DISPIMG("ID_086D00306895470BA90211D3BA4A9B30",1)</v>
      </c>
      <c r="P58" s="1203" t="str">
        <f>_xlfn.DISPIMG("ID_60230ABFA6D347F6B45A0CC0740589B7",1)</f>
        <v>=DISPIMG("ID_60230ABFA6D347F6B45A0CC0740589B7",1)</v>
      </c>
      <c r="Q58" s="1203"/>
      <c r="R58" s="1204" t="str">
        <f>_xlfn.DISPIMG("ID_39F22F116DAE46FD919B14280B09DB28",1)</f>
        <v>=DISPIMG("ID_39F22F116DAE46FD919B14280B09DB28",1)</v>
      </c>
      <c r="S58" s="1283"/>
      <c r="T58" s="1283" t="str">
        <f>_xlfn.DISPIMG("ID_E80D1633A02043D8A35F67B33C33968B",1)</f>
        <v>=DISPIMG("ID_E80D1633A02043D8A35F67B33C33968B",1)</v>
      </c>
      <c r="U58" s="1283" t="str">
        <f>_xlfn.DISPIMG("ID_EFD537B3029D41E893EB9BEDE7B21BE9",1)</f>
        <v>=DISPIMG("ID_EFD537B3029D41E893EB9BEDE7B21BE9",1)</v>
      </c>
      <c r="V58" s="1283" t="str">
        <f>_xlfn.DISPIMG("ID_12450917C2A445C1A6F06D37B895FE15",1)</f>
        <v>=DISPIMG("ID_12450917C2A445C1A6F06D37B895FE15",1)</v>
      </c>
      <c r="W58" s="1283"/>
      <c r="X58" s="1333" t="str">
        <f>_xlfn.DISPIMG("ID_22B51514DAD74C05B364829CE468EC68",1)</f>
        <v>=DISPIMG("ID_22B51514DAD74C05B364829CE468EC68",1)</v>
      </c>
    </row>
    <row r="59" ht="21" customHeight="1" spans="1:24">
      <c r="A59" s="1205" t="s">
        <v>302</v>
      </c>
      <c r="B59" s="1206"/>
      <c r="C59" s="1207"/>
      <c r="D59" s="1208" t="s">
        <v>303</v>
      </c>
      <c r="E59" s="1209"/>
      <c r="F59" s="1210"/>
      <c r="G59" s="1205" t="s">
        <v>304</v>
      </c>
      <c r="H59" s="1206"/>
      <c r="I59" s="1206"/>
      <c r="J59" s="1205" t="s">
        <v>305</v>
      </c>
      <c r="K59" s="1206"/>
      <c r="L59" s="1206"/>
      <c r="M59" s="1206"/>
      <c r="N59" s="1207"/>
      <c r="O59" s="1206" t="s">
        <v>306</v>
      </c>
      <c r="P59" s="1206"/>
      <c r="Q59" s="1206"/>
      <c r="R59" s="1207"/>
      <c r="S59" s="1334" t="s">
        <v>307</v>
      </c>
      <c r="T59" s="1334"/>
      <c r="U59" s="1334"/>
      <c r="V59" s="1334"/>
      <c r="W59" s="1334"/>
      <c r="X59" s="1335"/>
    </row>
    <row r="60" ht="44" customHeight="1" spans="1:24">
      <c r="A60" s="1202" t="str">
        <f>_xlfn.DISPIMG("ID_A6BCC0644EF046A6B089518901E1C118",1)</f>
        <v>=DISPIMG("ID_A6BCC0644EF046A6B089518901E1C118",1)</v>
      </c>
      <c r="B60" s="1203" t="str">
        <f>_xlfn.DISPIMG("ID_F564D478A285408D93ACD584DEFA674B",1)</f>
        <v>=DISPIMG("ID_F564D478A285408D93ACD584DEFA674B",1)</v>
      </c>
      <c r="C60" s="1204" t="str">
        <f>_xlfn.DISPIMG("ID_E5FA3D2C94AB4CD581E08CBEA8DC4011",1)</f>
        <v>=DISPIMG("ID_E5FA3D2C94AB4CD581E08CBEA8DC4011",1)</v>
      </c>
      <c r="D60" s="1202" t="str">
        <f>_xlfn.DISPIMG("ID_1A42BE92219C463396C149C80FC44EB5",1)</f>
        <v>=DISPIMG("ID_1A42BE92219C463396C149C80FC44EB5",1)</v>
      </c>
      <c r="E60" s="1203" t="str">
        <f>_xlfn.DISPIMG("ID_96B7A10F35064B0F86FAD37C01298AD1",1)</f>
        <v>=DISPIMG("ID_96B7A10F35064B0F86FAD37C01298AD1",1)</v>
      </c>
      <c r="F60" s="1204" t="str">
        <f>_xlfn.DISPIMG("ID_1F9322DE456649E8868E9861F1FA8981",1)</f>
        <v>=DISPIMG("ID_1F9322DE456649E8868E9861F1FA8981",1)</v>
      </c>
      <c r="G60" s="1211" t="s">
        <v>308</v>
      </c>
      <c r="H60" s="1212"/>
      <c r="I60" s="1212"/>
      <c r="J60" s="1212"/>
      <c r="K60" s="1212"/>
      <c r="L60" s="1212"/>
      <c r="M60" s="1212"/>
      <c r="N60" s="1212"/>
      <c r="O60" s="1212"/>
      <c r="P60" s="1212"/>
      <c r="Q60" s="1212"/>
      <c r="R60" s="1212"/>
      <c r="S60" s="1212"/>
      <c r="T60" s="1212"/>
      <c r="U60" s="1212"/>
      <c r="V60" s="1212"/>
      <c r="W60" s="1212"/>
      <c r="X60" s="1336"/>
    </row>
    <row r="61" ht="21" customHeight="1" spans="1:24">
      <c r="A61" s="1213" t="s">
        <v>309</v>
      </c>
      <c r="B61" s="1214"/>
      <c r="C61" s="1215"/>
      <c r="D61" s="1213" t="s">
        <v>310</v>
      </c>
      <c r="E61" s="1214"/>
      <c r="F61" s="1215"/>
      <c r="G61" s="1216"/>
      <c r="H61" s="1217"/>
      <c r="I61" s="1217"/>
      <c r="J61" s="1217"/>
      <c r="K61" s="1217"/>
      <c r="L61" s="1217"/>
      <c r="M61" s="1217"/>
      <c r="N61" s="1217"/>
      <c r="O61" s="1217"/>
      <c r="P61" s="1217"/>
      <c r="Q61" s="1217"/>
      <c r="R61" s="1217"/>
      <c r="S61" s="1217"/>
      <c r="T61" s="1217"/>
      <c r="U61" s="1217"/>
      <c r="V61" s="1217"/>
      <c r="W61" s="1217"/>
      <c r="X61" s="1337"/>
    </row>
    <row r="62" ht="21" customHeight="1" spans="1:24">
      <c r="A62" s="45"/>
      <c r="B62" s="46"/>
      <c r="C62" s="46"/>
      <c r="D62" s="46"/>
      <c r="E62" s="46"/>
      <c r="F62" s="46"/>
      <c r="G62" s="46"/>
      <c r="H62" s="46"/>
      <c r="I62" s="46"/>
      <c r="J62" s="106"/>
      <c r="K62" s="106"/>
      <c r="L62" s="106"/>
      <c r="M62" s="106"/>
      <c r="N62" s="106"/>
      <c r="O62" s="46"/>
      <c r="P62" s="46"/>
      <c r="Q62" s="46"/>
      <c r="R62" s="46"/>
      <c r="S62" s="46"/>
      <c r="T62" s="46"/>
      <c r="U62" s="46"/>
      <c r="V62" s="46"/>
      <c r="W62" s="46"/>
      <c r="X62" s="252"/>
    </row>
    <row r="63" ht="44" customHeight="1" spans="1:24">
      <c r="A63" s="134" t="str">
        <f>_xlfn.DISPIMG("ID_DEA39E43A0634A68ACFC55AE4B873AE0",1)</f>
        <v>=DISPIMG("ID_DEA39E43A0634A68ACFC55AE4B873AE0",1)</v>
      </c>
      <c r="B63" s="233"/>
      <c r="C63" s="233"/>
      <c r="D63" s="233"/>
      <c r="E63" s="233"/>
      <c r="F63" s="234"/>
      <c r="G63" s="71" t="s">
        <v>311</v>
      </c>
      <c r="H63" s="72"/>
      <c r="I63" s="72"/>
      <c r="J63" s="72"/>
      <c r="K63" s="72"/>
      <c r="L63" s="72"/>
      <c r="M63" s="72"/>
      <c r="N63" s="72"/>
      <c r="O63" s="180"/>
      <c r="P63" s="443" t="s">
        <v>312</v>
      </c>
      <c r="Q63" s="446"/>
      <c r="R63" s="446"/>
      <c r="S63" s="446"/>
      <c r="T63" s="446"/>
      <c r="U63" s="446"/>
      <c r="V63" s="446"/>
      <c r="W63" s="446"/>
      <c r="X63" s="447"/>
    </row>
    <row r="64" ht="21" customHeight="1" spans="1:24">
      <c r="A64" s="1197"/>
      <c r="B64" s="1197"/>
      <c r="C64" s="1197"/>
      <c r="D64" s="1197"/>
      <c r="E64" s="1197"/>
      <c r="F64" s="1197"/>
      <c r="G64" s="1197"/>
      <c r="H64" s="1197"/>
      <c r="I64" s="1197"/>
      <c r="J64" s="1197"/>
      <c r="K64" s="1197"/>
      <c r="L64" s="1197"/>
      <c r="M64" s="1197"/>
      <c r="N64" s="1197"/>
      <c r="O64" s="1197"/>
      <c r="P64" s="1197"/>
      <c r="Q64" s="1197"/>
      <c r="R64" s="1197"/>
      <c r="S64" s="1197"/>
      <c r="T64" s="1197"/>
      <c r="U64" s="1197"/>
      <c r="V64" s="1197"/>
      <c r="W64" s="1197"/>
      <c r="X64" s="1197"/>
    </row>
    <row r="65" ht="21" customHeight="1" spans="1:24">
      <c r="A65" s="21" t="s">
        <v>313</v>
      </c>
      <c r="B65" s="22"/>
      <c r="C65" s="23">
        <v>0</v>
      </c>
      <c r="D65" s="24">
        <v>1</v>
      </c>
      <c r="E65" s="24">
        <v>2</v>
      </c>
      <c r="F65" s="24">
        <v>3</v>
      </c>
      <c r="G65" s="24">
        <v>4</v>
      </c>
      <c r="H65" s="24">
        <v>5</v>
      </c>
      <c r="I65" s="24">
        <v>6</v>
      </c>
      <c r="J65" s="24">
        <v>7</v>
      </c>
      <c r="K65" s="135">
        <v>8</v>
      </c>
      <c r="L65" s="136">
        <v>9</v>
      </c>
      <c r="M65" s="137"/>
      <c r="N65" s="138"/>
      <c r="O65" s="139">
        <v>10</v>
      </c>
      <c r="P65" s="140">
        <v>11</v>
      </c>
      <c r="Q65" s="236">
        <v>12</v>
      </c>
      <c r="R65" s="236"/>
      <c r="S65" s="236"/>
      <c r="T65" s="139">
        <v>13</v>
      </c>
      <c r="U65" s="237">
        <v>14</v>
      </c>
      <c r="V65" s="140">
        <v>15</v>
      </c>
      <c r="W65" s="137">
        <v>16</v>
      </c>
      <c r="X65" s="138"/>
    </row>
    <row r="66" ht="21" customHeight="1" spans="1:24">
      <c r="A66" s="25" t="s">
        <v>314</v>
      </c>
      <c r="B66" s="25"/>
      <c r="C66" s="1338">
        <v>0.01</v>
      </c>
      <c r="D66" s="1339">
        <v>0.01</v>
      </c>
      <c r="E66" s="1339">
        <v>0.01</v>
      </c>
      <c r="F66" s="1340">
        <v>0.012</v>
      </c>
      <c r="G66" s="1340">
        <v>0.012</v>
      </c>
      <c r="H66" s="1340">
        <v>0.012</v>
      </c>
      <c r="I66" s="1340">
        <v>0.015</v>
      </c>
      <c r="J66" s="1340">
        <v>0.015</v>
      </c>
      <c r="K66" s="1375">
        <v>0.015</v>
      </c>
      <c r="L66" s="1376"/>
      <c r="M66" s="1377">
        <v>0.02</v>
      </c>
      <c r="N66" s="1378"/>
      <c r="O66" s="1122">
        <v>0.02</v>
      </c>
      <c r="P66" s="1123">
        <v>0.02</v>
      </c>
      <c r="Q66" s="1378"/>
      <c r="R66" s="1399">
        <v>0.025</v>
      </c>
      <c r="S66" s="1378"/>
      <c r="T66" s="1400">
        <v>0.025</v>
      </c>
      <c r="U66" s="1401">
        <v>0.025</v>
      </c>
      <c r="V66" s="1123">
        <v>0.03</v>
      </c>
      <c r="W66" s="1402"/>
      <c r="X66" s="1147">
        <v>0.04</v>
      </c>
    </row>
    <row r="67" ht="21" customHeight="1" spans="1:24">
      <c r="A67" s="128" t="s">
        <v>250</v>
      </c>
      <c r="B67" s="129"/>
      <c r="C67" s="116">
        <v>50</v>
      </c>
      <c r="D67" s="117">
        <v>60</v>
      </c>
      <c r="E67" s="117">
        <v>70</v>
      </c>
      <c r="F67" s="117">
        <v>80</v>
      </c>
      <c r="G67" s="117">
        <v>90</v>
      </c>
      <c r="H67" s="117">
        <v>100</v>
      </c>
      <c r="I67" s="117">
        <v>110</v>
      </c>
      <c r="J67" s="117">
        <v>130</v>
      </c>
      <c r="K67" s="117">
        <v>150</v>
      </c>
      <c r="L67" s="196"/>
      <c r="M67" s="222">
        <v>200</v>
      </c>
      <c r="N67" s="198"/>
      <c r="O67" s="223">
        <v>250</v>
      </c>
      <c r="P67" s="224">
        <v>300</v>
      </c>
      <c r="Q67" s="198"/>
      <c r="R67" s="297">
        <v>350</v>
      </c>
      <c r="S67" s="198"/>
      <c r="T67" s="223">
        <v>400</v>
      </c>
      <c r="U67" s="298">
        <v>450</v>
      </c>
      <c r="V67" s="224">
        <v>500</v>
      </c>
      <c r="W67" s="271"/>
      <c r="X67" s="299">
        <v>550</v>
      </c>
    </row>
    <row r="68" ht="21" customHeight="1" spans="1:24">
      <c r="A68" s="122" t="s">
        <v>288</v>
      </c>
      <c r="B68" s="122"/>
      <c r="C68" s="41">
        <v>7</v>
      </c>
      <c r="D68" s="42">
        <v>6.5</v>
      </c>
      <c r="E68" s="42">
        <v>6</v>
      </c>
      <c r="F68" s="43">
        <v>5.5</v>
      </c>
      <c r="G68" s="42">
        <v>5</v>
      </c>
      <c r="H68" s="44">
        <v>4.5</v>
      </c>
      <c r="I68" s="42">
        <v>4</v>
      </c>
      <c r="J68" s="163">
        <v>3.5</v>
      </c>
      <c r="K68" s="164">
        <v>3</v>
      </c>
      <c r="L68" s="122" t="s">
        <v>315</v>
      </c>
      <c r="M68" s="122"/>
      <c r="N68" s="122"/>
      <c r="O68" s="122"/>
      <c r="P68" s="122"/>
      <c r="Q68" s="122"/>
      <c r="R68" s="122"/>
      <c r="S68" s="122"/>
      <c r="T68" s="122"/>
      <c r="U68" s="122"/>
      <c r="V68" s="122"/>
      <c r="W68" s="122"/>
      <c r="X68" s="122"/>
    </row>
    <row r="69" ht="21" customHeight="1" spans="1:24">
      <c r="A69" s="1168"/>
      <c r="B69" s="1169"/>
      <c r="C69" s="1169"/>
      <c r="D69" s="1169"/>
      <c r="E69" s="1169"/>
      <c r="F69" s="1169"/>
      <c r="G69" s="1169"/>
      <c r="H69" s="1169"/>
      <c r="I69" s="1169"/>
      <c r="J69" s="1169"/>
      <c r="K69" s="1169"/>
      <c r="L69" s="1169"/>
      <c r="M69" s="1169"/>
      <c r="N69" s="1169"/>
      <c r="O69" s="1169"/>
      <c r="P69" s="1169"/>
      <c r="Q69" s="1169"/>
      <c r="R69" s="1169"/>
      <c r="S69" s="1169"/>
      <c r="T69" s="1169"/>
      <c r="U69" s="1169"/>
      <c r="V69" s="1169"/>
      <c r="W69" s="1169"/>
      <c r="X69" s="1304"/>
    </row>
    <row r="70" ht="44" customHeight="1" spans="1:24">
      <c r="A70" s="1341" t="str">
        <f>_xlfn.DISPIMG("ID_C8504AC849F347C9B7C9C142E5ABE93A",1)</f>
        <v>=DISPIMG("ID_C8504AC849F347C9B7C9C142E5ABE93A",1)</v>
      </c>
      <c r="B70" s="15" t="str">
        <f>_xlfn.DISPIMG("ID_B851682C81504105A1151FD175416173",1)</f>
        <v>=DISPIMG("ID_B851682C81504105A1151FD175416173",1)</v>
      </c>
      <c r="C70" s="15" t="str">
        <f>_xlfn.DISPIMG("ID_3CDCB960651A412192AA42CBBD03C817",1)</f>
        <v>=DISPIMG("ID_3CDCB960651A412192AA42CBBD03C817",1)</v>
      </c>
      <c r="D70" s="15" t="str">
        <f>_xlfn.DISPIMG("ID_563F95CBD32A4486AE736E59AB28B411",1)</f>
        <v>=DISPIMG("ID_563F95CBD32A4486AE736E59AB28B411",1)</v>
      </c>
      <c r="E70" s="348" t="str">
        <f>_xlfn.DISPIMG("ID_BE6068FB93104C659DBBB13CF3C92FED",1)</f>
        <v>=DISPIMG("ID_BE6068FB93104C659DBBB13CF3C92FED",1)</v>
      </c>
      <c r="F70" s="349"/>
      <c r="G70" s="799" t="s">
        <v>316</v>
      </c>
      <c r="H70" s="800"/>
      <c r="I70" s="800"/>
      <c r="J70" s="800"/>
      <c r="K70" s="800"/>
      <c r="L70" s="800"/>
      <c r="M70" s="800"/>
      <c r="N70" s="800"/>
      <c r="O70" s="831"/>
      <c r="P70" s="1379"/>
      <c r="Q70" s="1403"/>
      <c r="R70" s="1403" t="str">
        <f>_xlfn.DISPIMG("ID_FD2F89D14CC64A46BB20E8464DE83A07",1)</f>
        <v>=DISPIMG("ID_FD2F89D14CC64A46BB20E8464DE83A07",1)</v>
      </c>
      <c r="S70" s="1403"/>
      <c r="T70" s="348" t="str">
        <f>_xlfn.DISPIMG("ID_382A72711FDE49CEAE3C6917D1D69D85",1)</f>
        <v>=DISPIMG("ID_382A72711FDE49CEAE3C6917D1D69D85",1)</v>
      </c>
      <c r="U70" s="348" t="str">
        <f>_xlfn.DISPIMG("ID_F156BB1178AB447A905F8F844D76677F",1)</f>
        <v>=DISPIMG("ID_F156BB1178AB447A905F8F844D76677F",1)</v>
      </c>
      <c r="V70" s="15"/>
      <c r="W70" s="48"/>
      <c r="X70" s="70"/>
    </row>
    <row r="71" ht="21" customHeight="1" spans="1:24">
      <c r="A71" s="19" t="s">
        <v>317</v>
      </c>
      <c r="B71" s="20"/>
      <c r="C71" s="20"/>
      <c r="D71" s="20"/>
      <c r="E71" s="20"/>
      <c r="F71" s="20"/>
      <c r="G71" s="20"/>
      <c r="H71" s="20"/>
      <c r="I71" s="20"/>
      <c r="J71" s="20"/>
      <c r="K71" s="20"/>
      <c r="L71" s="20"/>
      <c r="M71" s="20"/>
      <c r="N71" s="20"/>
      <c r="O71" s="20"/>
      <c r="P71" s="20"/>
      <c r="Q71" s="20"/>
      <c r="R71" s="20"/>
      <c r="S71" s="20"/>
      <c r="T71" s="20"/>
      <c r="U71" s="20"/>
      <c r="V71" s="20"/>
      <c r="W71" s="20"/>
      <c r="X71" s="235"/>
    </row>
    <row r="72" ht="21" customHeight="1" spans="1:24">
      <c r="A72" s="21" t="s">
        <v>250</v>
      </c>
      <c r="B72" s="22"/>
      <c r="C72" s="23">
        <v>0</v>
      </c>
      <c r="D72" s="24">
        <v>1</v>
      </c>
      <c r="E72" s="24">
        <v>2</v>
      </c>
      <c r="F72" s="24">
        <v>3</v>
      </c>
      <c r="G72" s="24">
        <v>4</v>
      </c>
      <c r="H72" s="24">
        <v>5</v>
      </c>
      <c r="I72" s="24">
        <v>6</v>
      </c>
      <c r="J72" s="24">
        <v>7</v>
      </c>
      <c r="K72" s="135">
        <v>8</v>
      </c>
      <c r="L72" s="136">
        <v>9</v>
      </c>
      <c r="M72" s="137"/>
      <c r="N72" s="138"/>
      <c r="O72" s="139">
        <v>10</v>
      </c>
      <c r="P72" s="140">
        <v>11</v>
      </c>
      <c r="Q72" s="236">
        <v>12</v>
      </c>
      <c r="R72" s="236"/>
      <c r="S72" s="236"/>
      <c r="T72" s="139">
        <v>13</v>
      </c>
      <c r="U72" s="237">
        <v>14</v>
      </c>
      <c r="V72" s="140">
        <v>15</v>
      </c>
      <c r="W72" s="137">
        <v>16</v>
      </c>
      <c r="X72" s="138"/>
    </row>
    <row r="73" ht="21" customHeight="1" spans="1:24">
      <c r="A73" s="358" t="s">
        <v>264</v>
      </c>
      <c r="B73" s="283"/>
      <c r="C73" s="927">
        <v>50</v>
      </c>
      <c r="D73" s="1342">
        <v>60</v>
      </c>
      <c r="E73" s="1342">
        <v>70</v>
      </c>
      <c r="F73" s="1342">
        <v>80</v>
      </c>
      <c r="G73" s="1342">
        <v>90</v>
      </c>
      <c r="H73" s="1342">
        <v>100</v>
      </c>
      <c r="I73" s="1342">
        <v>110</v>
      </c>
      <c r="J73" s="1342">
        <v>130</v>
      </c>
      <c r="K73" s="1342">
        <v>150</v>
      </c>
      <c r="L73" s="154"/>
      <c r="M73" s="507">
        <v>170</v>
      </c>
      <c r="N73" s="156"/>
      <c r="O73" s="509">
        <v>200</v>
      </c>
      <c r="P73" s="423">
        <v>230</v>
      </c>
      <c r="Q73" s="156"/>
      <c r="R73" s="534">
        <v>260</v>
      </c>
      <c r="S73" s="156"/>
      <c r="T73" s="509">
        <v>290</v>
      </c>
      <c r="U73" s="535">
        <v>320</v>
      </c>
      <c r="V73" s="423">
        <v>350</v>
      </c>
      <c r="W73" s="246"/>
      <c r="X73" s="425">
        <v>380</v>
      </c>
    </row>
    <row r="74" ht="21" customHeight="1" spans="1:24">
      <c r="A74" s="74" t="s">
        <v>267</v>
      </c>
      <c r="B74" s="482"/>
      <c r="C74" s="39">
        <v>50</v>
      </c>
      <c r="D74" s="40">
        <v>70</v>
      </c>
      <c r="E74" s="40">
        <v>90</v>
      </c>
      <c r="F74" s="40">
        <v>110</v>
      </c>
      <c r="G74" s="40">
        <v>130</v>
      </c>
      <c r="H74" s="40">
        <v>150</v>
      </c>
      <c r="I74" s="40">
        <v>170</v>
      </c>
      <c r="J74" s="40">
        <v>200</v>
      </c>
      <c r="K74" s="157">
        <v>230</v>
      </c>
      <c r="L74" s="158"/>
      <c r="M74" s="159">
        <v>260</v>
      </c>
      <c r="N74" s="160"/>
      <c r="O74" s="161">
        <v>290</v>
      </c>
      <c r="P74" s="162">
        <v>320</v>
      </c>
      <c r="Q74" s="160"/>
      <c r="R74" s="247">
        <v>350</v>
      </c>
      <c r="S74" s="160"/>
      <c r="T74" s="161">
        <v>380</v>
      </c>
      <c r="U74" s="248">
        <v>410</v>
      </c>
      <c r="V74" s="162">
        <v>450</v>
      </c>
      <c r="W74" s="249"/>
      <c r="X74" s="250">
        <v>490</v>
      </c>
    </row>
    <row r="75" ht="21" customHeight="1" spans="1:24">
      <c r="A75" s="25" t="s">
        <v>262</v>
      </c>
      <c r="B75" s="26"/>
      <c r="C75" s="35">
        <v>300</v>
      </c>
      <c r="D75" s="36">
        <v>350</v>
      </c>
      <c r="E75" s="36">
        <v>400</v>
      </c>
      <c r="F75" s="36">
        <v>450</v>
      </c>
      <c r="G75" s="36">
        <v>500</v>
      </c>
      <c r="H75" s="36">
        <v>550</v>
      </c>
      <c r="I75" s="36">
        <v>600</v>
      </c>
      <c r="J75" s="36">
        <v>650</v>
      </c>
      <c r="K75" s="36">
        <v>700</v>
      </c>
      <c r="L75" s="154"/>
      <c r="M75" s="155">
        <v>750</v>
      </c>
      <c r="N75" s="156"/>
      <c r="O75" s="145">
        <v>800</v>
      </c>
      <c r="P75" s="146">
        <v>850</v>
      </c>
      <c r="Q75" s="156"/>
      <c r="R75" s="238">
        <v>900</v>
      </c>
      <c r="S75" s="156"/>
      <c r="T75" s="145">
        <v>1000</v>
      </c>
      <c r="U75" s="239">
        <v>1100</v>
      </c>
      <c r="V75" s="146">
        <v>1200</v>
      </c>
      <c r="W75" s="246"/>
      <c r="X75" s="241">
        <v>1450</v>
      </c>
    </row>
    <row r="76" ht="21" customHeight="1" spans="1:24">
      <c r="A76" s="805" t="s">
        <v>318</v>
      </c>
      <c r="B76" s="74"/>
      <c r="C76" s="75">
        <v>60</v>
      </c>
      <c r="D76" s="76">
        <v>110</v>
      </c>
      <c r="E76" s="76">
        <v>160</v>
      </c>
      <c r="F76" s="76">
        <v>210</v>
      </c>
      <c r="G76" s="76">
        <v>260</v>
      </c>
      <c r="H76" s="76">
        <v>310</v>
      </c>
      <c r="I76" s="76">
        <v>360</v>
      </c>
      <c r="J76" s="76">
        <v>410</v>
      </c>
      <c r="K76" s="182">
        <v>460</v>
      </c>
      <c r="L76" s="196"/>
      <c r="M76" s="197">
        <v>510</v>
      </c>
      <c r="N76" s="198"/>
      <c r="O76" s="161">
        <v>560</v>
      </c>
      <c r="P76" s="162">
        <v>610</v>
      </c>
      <c r="Q76" s="198"/>
      <c r="R76" s="247">
        <v>660</v>
      </c>
      <c r="S76" s="198"/>
      <c r="T76" s="161">
        <v>710</v>
      </c>
      <c r="U76" s="248">
        <v>760</v>
      </c>
      <c r="V76" s="162">
        <v>810</v>
      </c>
      <c r="W76" s="271"/>
      <c r="X76" s="250">
        <v>860</v>
      </c>
    </row>
    <row r="77" ht="21" customHeight="1" spans="1:24">
      <c r="A77" s="306" t="s">
        <v>319</v>
      </c>
      <c r="B77" s="26"/>
      <c r="C77" s="35">
        <v>60</v>
      </c>
      <c r="D77" s="36">
        <v>110</v>
      </c>
      <c r="E77" s="36">
        <v>160</v>
      </c>
      <c r="F77" s="36">
        <v>210</v>
      </c>
      <c r="G77" s="36">
        <v>260</v>
      </c>
      <c r="H77" s="36">
        <v>310</v>
      </c>
      <c r="I77" s="36">
        <v>360</v>
      </c>
      <c r="J77" s="36">
        <v>410</v>
      </c>
      <c r="K77" s="835">
        <v>460</v>
      </c>
      <c r="L77" s="154"/>
      <c r="M77" s="468">
        <v>510</v>
      </c>
      <c r="N77" s="156"/>
      <c r="O77" s="1380">
        <v>560</v>
      </c>
      <c r="P77" s="1381">
        <v>610</v>
      </c>
      <c r="Q77" s="156"/>
      <c r="R77" s="262">
        <v>660</v>
      </c>
      <c r="S77" s="156"/>
      <c r="T77" s="1380">
        <v>710</v>
      </c>
      <c r="U77" s="1404">
        <v>760</v>
      </c>
      <c r="V77" s="1381">
        <v>810</v>
      </c>
      <c r="W77" s="246"/>
      <c r="X77" s="265">
        <v>860</v>
      </c>
    </row>
    <row r="78" ht="21" customHeight="1" spans="1:24">
      <c r="A78" s="74" t="s">
        <v>260</v>
      </c>
      <c r="B78" s="482"/>
      <c r="C78" s="1343">
        <v>50</v>
      </c>
      <c r="D78" s="1344" t="s">
        <v>261</v>
      </c>
      <c r="E78" s="1345"/>
      <c r="F78" s="1346">
        <v>60</v>
      </c>
      <c r="G78" s="481" t="s">
        <v>320</v>
      </c>
      <c r="H78" s="1347"/>
      <c r="I78" s="1382">
        <v>250</v>
      </c>
      <c r="J78" s="1344" t="s">
        <v>321</v>
      </c>
      <c r="K78" s="1345"/>
      <c r="L78" s="1383">
        <v>300</v>
      </c>
      <c r="M78" s="1384"/>
      <c r="N78" s="1350" t="s">
        <v>294</v>
      </c>
      <c r="O78" s="1385"/>
      <c r="P78" s="1351"/>
      <c r="Q78" s="523">
        <v>50</v>
      </c>
      <c r="R78" s="574"/>
      <c r="S78" s="584"/>
      <c r="T78" s="523" t="s">
        <v>295</v>
      </c>
      <c r="U78" s="584"/>
      <c r="V78" s="1405">
        <v>50</v>
      </c>
      <c r="W78" s="1406"/>
      <c r="X78" s="1407"/>
    </row>
    <row r="79" ht="21" customHeight="1" spans="1:24">
      <c r="A79" s="38" t="s">
        <v>322</v>
      </c>
      <c r="B79" s="1348"/>
      <c r="C79" s="1349">
        <v>60</v>
      </c>
      <c r="D79" s="523" t="s">
        <v>323</v>
      </c>
      <c r="E79" s="584"/>
      <c r="F79" s="1349">
        <v>50</v>
      </c>
      <c r="G79" s="1350" t="s">
        <v>324</v>
      </c>
      <c r="H79" s="1351"/>
      <c r="I79" s="1386">
        <v>50</v>
      </c>
      <c r="J79" s="523" t="s">
        <v>325</v>
      </c>
      <c r="K79" s="574"/>
      <c r="L79" s="574"/>
      <c r="M79" s="574"/>
      <c r="N79" s="574"/>
      <c r="O79" s="574"/>
      <c r="P79" s="574"/>
      <c r="Q79" s="574"/>
      <c r="R79" s="574"/>
      <c r="S79" s="574"/>
      <c r="T79" s="574"/>
      <c r="U79" s="574"/>
      <c r="V79" s="574"/>
      <c r="W79" s="574"/>
      <c r="X79" s="584"/>
    </row>
    <row r="80" ht="21" customHeight="1" spans="1:24">
      <c r="A80" s="1352" t="s">
        <v>326</v>
      </c>
      <c r="B80" s="1353"/>
      <c r="C80" s="1353"/>
      <c r="D80" s="1353"/>
      <c r="E80" s="1353"/>
      <c r="F80" s="1353"/>
      <c r="G80" s="1353"/>
      <c r="H80" s="1353"/>
      <c r="I80" s="1353"/>
      <c r="J80" s="1353"/>
      <c r="K80" s="1353"/>
      <c r="L80" s="1353"/>
      <c r="M80" s="1353"/>
      <c r="N80" s="1353"/>
      <c r="O80" s="1353"/>
      <c r="P80" s="1353"/>
      <c r="Q80" s="1353"/>
      <c r="R80" s="1353"/>
      <c r="S80" s="1353"/>
      <c r="T80" s="1408" t="str">
        <f>_xlfn.DISPIMG("ID_E31B5FB0A674444CAC802716E96E9C9F",1)</f>
        <v>=DISPIMG("ID_E31B5FB0A674444CAC802716E96E9C9F",1)</v>
      </c>
      <c r="U80" s="1409"/>
      <c r="V80" s="1409"/>
      <c r="W80" s="1409"/>
      <c r="X80" s="1410"/>
    </row>
    <row r="81" ht="21" customHeight="1" spans="1:24">
      <c r="A81" s="1354" t="s">
        <v>327</v>
      </c>
      <c r="B81" s="1355"/>
      <c r="C81" s="1355"/>
      <c r="D81" s="1355"/>
      <c r="E81" s="1355"/>
      <c r="F81" s="1355"/>
      <c r="G81" s="1355"/>
      <c r="H81" s="1355"/>
      <c r="I81" s="1355"/>
      <c r="J81" s="1355"/>
      <c r="K81" s="1355"/>
      <c r="L81" s="1355"/>
      <c r="M81" s="1355"/>
      <c r="N81" s="1355"/>
      <c r="O81" s="1355"/>
      <c r="P81" s="1355"/>
      <c r="Q81" s="1355"/>
      <c r="R81" s="1355"/>
      <c r="S81" s="1355"/>
      <c r="T81" s="1411"/>
      <c r="U81" s="1412"/>
      <c r="V81" s="1412"/>
      <c r="W81" s="1412"/>
      <c r="X81" s="1413"/>
    </row>
    <row r="82" ht="21" customHeight="1" spans="1:24">
      <c r="A82" s="1356"/>
      <c r="B82" s="1357"/>
      <c r="C82" s="1357"/>
      <c r="D82" s="1357"/>
      <c r="E82" s="1357"/>
      <c r="F82" s="1357"/>
      <c r="G82" s="1357"/>
      <c r="H82" s="1357"/>
      <c r="I82" s="1357"/>
      <c r="J82" s="1357"/>
      <c r="K82" s="1357"/>
      <c r="L82" s="1357"/>
      <c r="M82" s="1357"/>
      <c r="N82" s="1357"/>
      <c r="O82" s="1357"/>
      <c r="P82" s="1357"/>
      <c r="Q82" s="1357"/>
      <c r="R82" s="1357"/>
      <c r="S82" s="1357"/>
      <c r="T82" s="1411"/>
      <c r="U82" s="1412"/>
      <c r="V82" s="1412"/>
      <c r="W82" s="1412"/>
      <c r="X82" s="1413"/>
    </row>
    <row r="83" ht="21" customHeight="1" spans="1:24">
      <c r="A83" s="1358" t="s">
        <v>328</v>
      </c>
      <c r="B83" s="1359"/>
      <c r="C83" s="1359"/>
      <c r="D83" s="1359"/>
      <c r="E83" s="1359"/>
      <c r="F83" s="1359"/>
      <c r="G83" s="1359"/>
      <c r="H83" s="1359"/>
      <c r="I83" s="1359"/>
      <c r="J83" s="1359"/>
      <c r="K83" s="1359"/>
      <c r="L83" s="1359"/>
      <c r="M83" s="1359"/>
      <c r="N83" s="1359"/>
      <c r="O83" s="1359"/>
      <c r="P83" s="1359"/>
      <c r="Q83" s="1359"/>
      <c r="R83" s="1359"/>
      <c r="S83" s="1359"/>
      <c r="T83" s="1411"/>
      <c r="U83" s="1412"/>
      <c r="V83" s="1412"/>
      <c r="W83" s="1412"/>
      <c r="X83" s="1413"/>
    </row>
    <row r="84" ht="21" customHeight="1" spans="1:24">
      <c r="A84" s="1360" t="s">
        <v>329</v>
      </c>
      <c r="B84" s="1361"/>
      <c r="C84" s="1361"/>
      <c r="D84" s="1361"/>
      <c r="E84" s="1361"/>
      <c r="F84" s="1361"/>
      <c r="G84" s="1361"/>
      <c r="H84" s="1361"/>
      <c r="I84" s="1361"/>
      <c r="J84" s="1361"/>
      <c r="K84" s="1361"/>
      <c r="L84" s="1361"/>
      <c r="M84" s="1361"/>
      <c r="N84" s="1361"/>
      <c r="O84" s="1361"/>
      <c r="P84" s="1361"/>
      <c r="Q84" s="1361"/>
      <c r="R84" s="1361"/>
      <c r="S84" s="1361"/>
      <c r="T84" s="1411"/>
      <c r="U84" s="1414"/>
      <c r="V84" s="1414"/>
      <c r="W84" s="1414"/>
      <c r="X84" s="1413"/>
    </row>
    <row r="85" ht="21" customHeight="1" spans="1:24">
      <c r="A85" s="1362" t="s">
        <v>330</v>
      </c>
      <c r="B85" s="1363"/>
      <c r="C85" s="1363"/>
      <c r="D85" s="1363"/>
      <c r="E85" s="1363"/>
      <c r="F85" s="1363"/>
      <c r="G85" s="1363"/>
      <c r="H85" s="1363"/>
      <c r="I85" s="1363"/>
      <c r="J85" s="1363"/>
      <c r="K85" s="1363"/>
      <c r="L85" s="1363"/>
      <c r="M85" s="1363"/>
      <c r="N85" s="1363"/>
      <c r="O85" s="1363"/>
      <c r="P85" s="1363"/>
      <c r="Q85" s="1363"/>
      <c r="R85" s="1363"/>
      <c r="S85" s="1363"/>
      <c r="T85" s="1363"/>
      <c r="U85" s="1363"/>
      <c r="V85" s="1363"/>
      <c r="W85" s="1363"/>
      <c r="X85" s="1415"/>
    </row>
    <row r="86" ht="21" customHeight="1" spans="1:24">
      <c r="A86" s="1364" t="s">
        <v>331</v>
      </c>
      <c r="B86" s="1365"/>
      <c r="C86" s="1365"/>
      <c r="D86" s="1365"/>
      <c r="E86" s="1365"/>
      <c r="F86" s="1365"/>
      <c r="G86" s="1365"/>
      <c r="H86" s="1365"/>
      <c r="I86" s="1365"/>
      <c r="J86" s="1365"/>
      <c r="K86" s="1365"/>
      <c r="L86" s="1365"/>
      <c r="M86" s="1365"/>
      <c r="N86" s="1365"/>
      <c r="O86" s="1365"/>
      <c r="P86" s="1365"/>
      <c r="Q86" s="1365"/>
      <c r="R86" s="1365"/>
      <c r="S86" s="1365"/>
      <c r="T86" s="1365"/>
      <c r="U86" s="1365"/>
      <c r="V86" s="1365"/>
      <c r="W86" s="1365"/>
      <c r="X86" s="1416"/>
    </row>
    <row r="87" ht="21" customHeight="1" spans="1:24">
      <c r="A87" s="26" t="s">
        <v>332</v>
      </c>
      <c r="B87" s="315"/>
      <c r="C87" s="113">
        <v>2</v>
      </c>
      <c r="D87" s="307">
        <v>2</v>
      </c>
      <c r="E87" s="307">
        <v>2.1</v>
      </c>
      <c r="F87" s="307">
        <v>2.1</v>
      </c>
      <c r="G87" s="307">
        <v>2.2</v>
      </c>
      <c r="H87" s="307">
        <v>2.2</v>
      </c>
      <c r="I87" s="307">
        <v>2.3</v>
      </c>
      <c r="J87" s="307">
        <v>2.3</v>
      </c>
      <c r="K87" s="312">
        <v>2.4</v>
      </c>
      <c r="L87" s="313"/>
      <c r="M87" s="155">
        <v>2.5</v>
      </c>
      <c r="N87" s="314"/>
      <c r="O87" s="145">
        <v>2.6</v>
      </c>
      <c r="P87" s="146">
        <v>2.8</v>
      </c>
      <c r="Q87" s="314"/>
      <c r="R87" s="238">
        <v>3</v>
      </c>
      <c r="S87" s="314"/>
      <c r="T87" s="145">
        <v>3.2</v>
      </c>
      <c r="U87" s="239"/>
      <c r="V87" s="146"/>
      <c r="W87" s="318"/>
      <c r="X87" s="470"/>
    </row>
    <row r="88" ht="21" customHeight="1" spans="1:24">
      <c r="A88" s="1366" t="s">
        <v>333</v>
      </c>
      <c r="B88" s="1367"/>
      <c r="C88" s="1160">
        <f t="shared" ref="C88:K88" si="52">C87+0.1</f>
        <v>2.1</v>
      </c>
      <c r="D88" s="1161">
        <f t="shared" si="52"/>
        <v>2.1</v>
      </c>
      <c r="E88" s="1161">
        <f t="shared" si="52"/>
        <v>2.2</v>
      </c>
      <c r="F88" s="1161">
        <f t="shared" si="52"/>
        <v>2.2</v>
      </c>
      <c r="G88" s="1161">
        <f t="shared" si="52"/>
        <v>2.3</v>
      </c>
      <c r="H88" s="1161">
        <f t="shared" si="52"/>
        <v>2.3</v>
      </c>
      <c r="I88" s="1161">
        <f t="shared" si="52"/>
        <v>2.4</v>
      </c>
      <c r="J88" s="1161">
        <f t="shared" si="52"/>
        <v>2.4</v>
      </c>
      <c r="K88" s="1224">
        <f t="shared" si="52"/>
        <v>2.5</v>
      </c>
      <c r="L88" s="1387"/>
      <c r="M88" s="1388">
        <f t="shared" ref="M88:P88" si="53">M87+0.1</f>
        <v>2.6</v>
      </c>
      <c r="N88" s="1389"/>
      <c r="O88" s="1222">
        <f t="shared" si="53"/>
        <v>2.7</v>
      </c>
      <c r="P88" s="1223">
        <f t="shared" si="53"/>
        <v>2.9</v>
      </c>
      <c r="Q88" s="1389"/>
      <c r="R88" s="1286">
        <f>R87+0.1</f>
        <v>3.1</v>
      </c>
      <c r="S88" s="1389"/>
      <c r="T88" s="1417">
        <f>T87+0.1</f>
        <v>3.3</v>
      </c>
      <c r="U88" s="1287"/>
      <c r="V88" s="1223"/>
      <c r="W88" s="1418"/>
      <c r="X88" s="1419"/>
    </row>
    <row r="89" ht="21" customHeight="1" spans="1:23">
      <c r="A89" s="1368"/>
      <c r="B89" s="1369"/>
      <c r="C89" s="1370"/>
      <c r="D89" s="1370"/>
      <c r="E89" s="1370"/>
      <c r="F89" s="1370"/>
      <c r="G89" s="1370"/>
      <c r="H89" s="1370"/>
      <c r="I89" s="1370"/>
      <c r="J89" s="1370"/>
      <c r="K89" s="1370"/>
      <c r="L89" s="202"/>
      <c r="M89" s="1390"/>
      <c r="N89" s="202"/>
      <c r="O89" s="1391"/>
      <c r="P89" s="1391"/>
      <c r="Q89" s="202"/>
      <c r="R89" s="1420"/>
      <c r="S89" s="202"/>
      <c r="T89" s="1421"/>
      <c r="U89" s="1391"/>
      <c r="V89" s="1391"/>
      <c r="W89" s="202"/>
    </row>
    <row r="90" ht="42" customHeight="1" spans="1:24">
      <c r="A90" s="1371"/>
      <c r="B90" s="910"/>
      <c r="C90" s="910"/>
      <c r="D90" s="910"/>
      <c r="E90" s="910"/>
      <c r="F90" s="911" t="str">
        <f>_xlfn.DISPIMG("ID_4B51F5DD6AD14786890DC09952ED9581",1)</f>
        <v>=DISPIMG("ID_4B51F5DD6AD14786890DC09952ED9581",1)</v>
      </c>
      <c r="G90" s="912" t="s">
        <v>334</v>
      </c>
      <c r="H90" s="305"/>
      <c r="I90" s="305"/>
      <c r="J90" s="305"/>
      <c r="K90" s="305"/>
      <c r="L90" s="305"/>
      <c r="M90" s="305"/>
      <c r="N90" s="305"/>
      <c r="O90" s="310"/>
      <c r="P90" s="1392" t="str">
        <f>_xlfn.DISPIMG("ID_4CC638CFB1F04DF784FF9FF953976DDE",1)</f>
        <v>=DISPIMG("ID_4CC638CFB1F04DF784FF9FF953976DDE",1)</v>
      </c>
      <c r="Q90" s="1422"/>
      <c r="R90" s="1422"/>
      <c r="S90" s="1422"/>
      <c r="T90" s="910"/>
      <c r="U90" s="910"/>
      <c r="V90" s="910"/>
      <c r="W90" s="1422"/>
      <c r="X90" s="1423"/>
    </row>
    <row r="91" ht="21" customHeight="1" spans="1:24">
      <c r="A91" s="21" t="s">
        <v>259</v>
      </c>
      <c r="B91" s="22"/>
      <c r="C91" s="23">
        <v>0</v>
      </c>
      <c r="D91" s="24">
        <v>1</v>
      </c>
      <c r="E91" s="24">
        <v>2</v>
      </c>
      <c r="F91" s="24">
        <v>3</v>
      </c>
      <c r="G91" s="24">
        <v>4</v>
      </c>
      <c r="H91" s="24">
        <v>5</v>
      </c>
      <c r="I91" s="24">
        <v>6</v>
      </c>
      <c r="J91" s="24">
        <v>7</v>
      </c>
      <c r="K91" s="135">
        <v>8</v>
      </c>
      <c r="L91" s="136">
        <v>9</v>
      </c>
      <c r="M91" s="137"/>
      <c r="N91" s="138"/>
      <c r="O91" s="139">
        <v>10</v>
      </c>
      <c r="P91" s="140">
        <v>11</v>
      </c>
      <c r="Q91" s="236">
        <v>12</v>
      </c>
      <c r="R91" s="236"/>
      <c r="S91" s="236"/>
      <c r="T91" s="139">
        <v>13</v>
      </c>
      <c r="U91" s="237">
        <v>14</v>
      </c>
      <c r="V91" s="140">
        <v>15</v>
      </c>
      <c r="W91" s="137">
        <v>16</v>
      </c>
      <c r="X91" s="138"/>
    </row>
    <row r="92" ht="21" customHeight="1" spans="1:24">
      <c r="A92" s="25" t="s">
        <v>260</v>
      </c>
      <c r="B92" s="26"/>
      <c r="C92" s="113">
        <v>1.5</v>
      </c>
      <c r="D92" s="307">
        <v>1.5</v>
      </c>
      <c r="E92" s="307">
        <v>1.6</v>
      </c>
      <c r="F92" s="307">
        <v>1.6</v>
      </c>
      <c r="G92" s="307">
        <v>1.7</v>
      </c>
      <c r="H92" s="307">
        <v>1.7</v>
      </c>
      <c r="I92" s="307">
        <v>1.8</v>
      </c>
      <c r="J92" s="307">
        <v>1.8</v>
      </c>
      <c r="K92" s="312">
        <v>1.9</v>
      </c>
      <c r="L92" s="313"/>
      <c r="M92" s="155">
        <v>2</v>
      </c>
      <c r="N92" s="314"/>
      <c r="O92" s="145">
        <v>2.2</v>
      </c>
      <c r="P92" s="146">
        <v>2.4</v>
      </c>
      <c r="Q92" s="314"/>
      <c r="R92" s="238">
        <v>2.6</v>
      </c>
      <c r="S92" s="314"/>
      <c r="T92" s="145">
        <v>2.8</v>
      </c>
      <c r="U92" s="239">
        <v>3</v>
      </c>
      <c r="V92" s="146">
        <v>3.2</v>
      </c>
      <c r="W92" s="318"/>
      <c r="X92" s="470">
        <v>3.4</v>
      </c>
    </row>
    <row r="93" ht="21" customHeight="1" spans="1:24">
      <c r="A93" s="73" t="s">
        <v>264</v>
      </c>
      <c r="B93" s="74"/>
      <c r="C93" s="110">
        <v>2.3</v>
      </c>
      <c r="D93" s="130">
        <v>2.3</v>
      </c>
      <c r="E93" s="130">
        <v>2.4</v>
      </c>
      <c r="F93" s="130">
        <v>2.4</v>
      </c>
      <c r="G93" s="130">
        <v>2.5</v>
      </c>
      <c r="H93" s="130">
        <v>2.5</v>
      </c>
      <c r="I93" s="130">
        <v>2.6</v>
      </c>
      <c r="J93" s="130">
        <v>2.6</v>
      </c>
      <c r="K93" s="221">
        <v>2.7</v>
      </c>
      <c r="L93" s="196"/>
      <c r="M93" s="197">
        <v>2.8</v>
      </c>
      <c r="N93" s="198"/>
      <c r="O93" s="161">
        <v>3</v>
      </c>
      <c r="P93" s="162">
        <v>3.2</v>
      </c>
      <c r="Q93" s="198"/>
      <c r="R93" s="247">
        <v>3.4</v>
      </c>
      <c r="S93" s="198"/>
      <c r="T93" s="161">
        <v>3.6</v>
      </c>
      <c r="U93" s="248">
        <v>3.8</v>
      </c>
      <c r="V93" s="162">
        <v>4</v>
      </c>
      <c r="W93" s="271"/>
      <c r="X93" s="250">
        <v>4.2</v>
      </c>
    </row>
    <row r="94" ht="21" customHeight="1" spans="1:24">
      <c r="A94" s="83" t="s">
        <v>269</v>
      </c>
      <c r="B94" s="84"/>
      <c r="C94" s="84"/>
      <c r="D94" s="84"/>
      <c r="E94" s="84"/>
      <c r="F94" s="84"/>
      <c r="G94" s="84"/>
      <c r="H94" s="84"/>
      <c r="I94" s="84"/>
      <c r="J94" s="84"/>
      <c r="K94" s="84"/>
      <c r="L94" s="84"/>
      <c r="M94" s="84"/>
      <c r="N94" s="84"/>
      <c r="O94" s="84"/>
      <c r="P94" s="84"/>
      <c r="Q94" s="84"/>
      <c r="R94" s="84"/>
      <c r="S94" s="84"/>
      <c r="T94" s="84"/>
      <c r="U94" s="84"/>
      <c r="V94" s="84"/>
      <c r="W94" s="84"/>
      <c r="X94" s="270"/>
    </row>
    <row r="95" ht="21" customHeight="1" spans="1:24">
      <c r="A95" s="94" t="s">
        <v>270</v>
      </c>
      <c r="B95" s="86"/>
      <c r="C95" s="27">
        <v>1.65</v>
      </c>
      <c r="D95" s="28">
        <v>1.65</v>
      </c>
      <c r="E95" s="28">
        <v>1.76</v>
      </c>
      <c r="F95" s="28">
        <v>1.76</v>
      </c>
      <c r="G95" s="28">
        <v>1.87</v>
      </c>
      <c r="H95" s="28">
        <v>1.87</v>
      </c>
      <c r="I95" s="28">
        <v>1.98</v>
      </c>
      <c r="J95" s="28">
        <v>1.98</v>
      </c>
      <c r="K95" s="141">
        <v>2.09</v>
      </c>
      <c r="L95" s="142"/>
      <c r="M95" s="186">
        <v>2.2</v>
      </c>
      <c r="N95" s="144"/>
      <c r="O95" s="188">
        <v>2.42</v>
      </c>
      <c r="P95" s="189">
        <v>2.64</v>
      </c>
      <c r="Q95" s="144"/>
      <c r="R95" s="262">
        <v>2.86</v>
      </c>
      <c r="S95" s="144"/>
      <c r="T95" s="188">
        <v>3.08</v>
      </c>
      <c r="U95" s="263">
        <v>3.3</v>
      </c>
      <c r="V95" s="189">
        <v>3.52</v>
      </c>
      <c r="W95" s="1296"/>
      <c r="X95" s="1424">
        <v>3.74</v>
      </c>
    </row>
    <row r="96" ht="21" customHeight="1" spans="1:24">
      <c r="A96" s="74" t="s">
        <v>274</v>
      </c>
      <c r="B96" s="482"/>
      <c r="C96" s="75">
        <v>2.576</v>
      </c>
      <c r="D96" s="76">
        <v>2.576</v>
      </c>
      <c r="E96" s="76">
        <v>2.688</v>
      </c>
      <c r="F96" s="76">
        <v>2.688</v>
      </c>
      <c r="G96" s="76">
        <v>2.8</v>
      </c>
      <c r="H96" s="76">
        <v>2.8</v>
      </c>
      <c r="I96" s="76">
        <v>2.912</v>
      </c>
      <c r="J96" s="76">
        <v>2.912</v>
      </c>
      <c r="K96" s="858">
        <v>3.024</v>
      </c>
      <c r="L96" s="524"/>
      <c r="M96" s="197">
        <v>3.136</v>
      </c>
      <c r="N96" s="525"/>
      <c r="O96" s="161">
        <v>3.36</v>
      </c>
      <c r="P96" s="162">
        <v>3.584</v>
      </c>
      <c r="Q96" s="525"/>
      <c r="R96" s="247">
        <v>3.808</v>
      </c>
      <c r="S96" s="525"/>
      <c r="T96" s="161">
        <v>4.032</v>
      </c>
      <c r="U96" s="248">
        <v>4.256</v>
      </c>
      <c r="V96" s="162">
        <v>4.48</v>
      </c>
      <c r="W96" s="546"/>
      <c r="X96" s="250">
        <v>4.704</v>
      </c>
    </row>
    <row r="97" ht="21" spans="1:24">
      <c r="A97" s="358" t="s">
        <v>335</v>
      </c>
      <c r="B97" s="283"/>
      <c r="C97" s="35">
        <v>50</v>
      </c>
      <c r="D97" s="36">
        <v>60</v>
      </c>
      <c r="E97" s="36">
        <v>70</v>
      </c>
      <c r="F97" s="36">
        <v>80</v>
      </c>
      <c r="G97" s="36">
        <v>90</v>
      </c>
      <c r="H97" s="36">
        <v>100</v>
      </c>
      <c r="I97" s="36">
        <v>110</v>
      </c>
      <c r="J97" s="36">
        <v>130</v>
      </c>
      <c r="K97" s="36">
        <v>150</v>
      </c>
      <c r="L97" s="1393"/>
      <c r="M97" s="507">
        <v>170</v>
      </c>
      <c r="N97" s="1394"/>
      <c r="O97" s="509">
        <v>200</v>
      </c>
      <c r="P97" s="423">
        <v>230</v>
      </c>
      <c r="Q97" s="1394"/>
      <c r="R97" s="534">
        <v>260</v>
      </c>
      <c r="S97" s="1394"/>
      <c r="T97" s="509">
        <v>290</v>
      </c>
      <c r="U97" s="535">
        <v>320</v>
      </c>
      <c r="V97" s="423">
        <v>350</v>
      </c>
      <c r="W97" s="1425"/>
      <c r="X97" s="425">
        <v>380</v>
      </c>
    </row>
    <row r="98" ht="20.25" spans="1:24">
      <c r="A98" s="74" t="s">
        <v>260</v>
      </c>
      <c r="B98" s="482"/>
      <c r="C98" s="1343">
        <v>50</v>
      </c>
      <c r="D98" s="1372" t="s">
        <v>261</v>
      </c>
      <c r="E98" s="1373"/>
      <c r="F98" s="1374">
        <v>70</v>
      </c>
      <c r="G98" s="481" t="s">
        <v>320</v>
      </c>
      <c r="H98" s="1347"/>
      <c r="I98" s="1346">
        <v>250</v>
      </c>
      <c r="J98" s="1372" t="s">
        <v>321</v>
      </c>
      <c r="K98" s="1373"/>
      <c r="L98" s="1395">
        <v>300</v>
      </c>
      <c r="M98" s="1396"/>
      <c r="N98" s="1397"/>
      <c r="O98" s="1398"/>
      <c r="P98" s="1398"/>
      <c r="Q98" s="1398"/>
      <c r="R98" s="1398"/>
      <c r="S98" s="1398"/>
      <c r="T98" s="1398"/>
      <c r="U98" s="1398"/>
      <c r="V98" s="1398"/>
      <c r="W98" s="1398"/>
      <c r="X98" s="1426"/>
    </row>
    <row r="99" ht="21" customHeight="1" spans="1:24">
      <c r="A99" s="308" t="s">
        <v>336</v>
      </c>
      <c r="B99" s="309"/>
      <c r="C99" s="309"/>
      <c r="D99" s="309"/>
      <c r="E99" s="309"/>
      <c r="F99" s="309"/>
      <c r="G99" s="309"/>
      <c r="H99" s="309"/>
      <c r="I99" s="309"/>
      <c r="J99" s="309"/>
      <c r="K99" s="309"/>
      <c r="L99" s="309"/>
      <c r="M99" s="309"/>
      <c r="N99" s="309"/>
      <c r="O99" s="309"/>
      <c r="P99" s="309"/>
      <c r="Q99" s="309"/>
      <c r="R99" s="309"/>
      <c r="S99" s="309"/>
      <c r="T99" s="309"/>
      <c r="U99" s="309"/>
      <c r="V99" s="309"/>
      <c r="W99" s="309"/>
      <c r="X99" s="320"/>
    </row>
  </sheetData>
  <sheetProtection formatCells="0" insertHyperlinks="0" autoFilter="0"/>
  <mergeCells count="154">
    <mergeCell ref="A1:C1"/>
    <mergeCell ref="D1:T1"/>
    <mergeCell ref="U1:X1"/>
    <mergeCell ref="B2:D2"/>
    <mergeCell ref="F2:H2"/>
    <mergeCell ref="J2:V2"/>
    <mergeCell ref="W2:X2"/>
    <mergeCell ref="A3:X3"/>
    <mergeCell ref="A4:X4"/>
    <mergeCell ref="G5:O5"/>
    <mergeCell ref="A6:X6"/>
    <mergeCell ref="A7:B7"/>
    <mergeCell ref="L7:N7"/>
    <mergeCell ref="Q7:S7"/>
    <mergeCell ref="W7:X7"/>
    <mergeCell ref="A8:B8"/>
    <mergeCell ref="A9:B9"/>
    <mergeCell ref="A10:B10"/>
    <mergeCell ref="A11:B11"/>
    <mergeCell ref="A12:B12"/>
    <mergeCell ref="A13:B13"/>
    <mergeCell ref="A14:B14"/>
    <mergeCell ref="A15:B15"/>
    <mergeCell ref="A16:B16"/>
    <mergeCell ref="A17:X17"/>
    <mergeCell ref="A18:B18"/>
    <mergeCell ref="A19:B19"/>
    <mergeCell ref="A20:B20"/>
    <mergeCell ref="A21:B21"/>
    <mergeCell ref="A22:B22"/>
    <mergeCell ref="A23:B23"/>
    <mergeCell ref="A24:B24"/>
    <mergeCell ref="A25:B25"/>
    <mergeCell ref="A26:B26"/>
    <mergeCell ref="A27:X27"/>
    <mergeCell ref="G28:O28"/>
    <mergeCell ref="P28:X28"/>
    <mergeCell ref="A29:X29"/>
    <mergeCell ref="A30:B30"/>
    <mergeCell ref="L30:N30"/>
    <mergeCell ref="Q30:S30"/>
    <mergeCell ref="W30:X30"/>
    <mergeCell ref="A31:B31"/>
    <mergeCell ref="A32:B32"/>
    <mergeCell ref="A33:B33"/>
    <mergeCell ref="A34:B34"/>
    <mergeCell ref="A35:B35"/>
    <mergeCell ref="A36:X36"/>
    <mergeCell ref="A37:B37"/>
    <mergeCell ref="A38:B38"/>
    <mergeCell ref="A39:B39"/>
    <mergeCell ref="A40:B40"/>
    <mergeCell ref="A41:B41"/>
    <mergeCell ref="L41:X41"/>
    <mergeCell ref="A42:B42"/>
    <mergeCell ref="L42:X42"/>
    <mergeCell ref="A43:B43"/>
    <mergeCell ref="L43:X43"/>
    <mergeCell ref="A44:B44"/>
    <mergeCell ref="L44:X44"/>
    <mergeCell ref="A45:X45"/>
    <mergeCell ref="G46:O46"/>
    <mergeCell ref="P46:X46"/>
    <mergeCell ref="A47:X47"/>
    <mergeCell ref="A48:B48"/>
    <mergeCell ref="L48:N48"/>
    <mergeCell ref="Q48:S48"/>
    <mergeCell ref="W48:X48"/>
    <mergeCell ref="A49:B49"/>
    <mergeCell ref="A50:B50"/>
    <mergeCell ref="A51:X51"/>
    <mergeCell ref="A52:B52"/>
    <mergeCell ref="A53:B53"/>
    <mergeCell ref="A54:B54"/>
    <mergeCell ref="L54:X54"/>
    <mergeCell ref="A55:B55"/>
    <mergeCell ref="L55:X55"/>
    <mergeCell ref="A56:B56"/>
    <mergeCell ref="L56:X56"/>
    <mergeCell ref="A57:X57"/>
    <mergeCell ref="A59:C59"/>
    <mergeCell ref="D59:F59"/>
    <mergeCell ref="G59:I59"/>
    <mergeCell ref="J59:N59"/>
    <mergeCell ref="O59:R59"/>
    <mergeCell ref="S59:X59"/>
    <mergeCell ref="A61:C61"/>
    <mergeCell ref="D61:F61"/>
    <mergeCell ref="A62:X62"/>
    <mergeCell ref="A63:F63"/>
    <mergeCell ref="G63:O63"/>
    <mergeCell ref="P63:X63"/>
    <mergeCell ref="A64:X64"/>
    <mergeCell ref="A65:B65"/>
    <mergeCell ref="L65:N65"/>
    <mergeCell ref="Q65:S65"/>
    <mergeCell ref="W65:X65"/>
    <mergeCell ref="A66:B66"/>
    <mergeCell ref="A67:B67"/>
    <mergeCell ref="A68:B68"/>
    <mergeCell ref="L68:X68"/>
    <mergeCell ref="A69:X69"/>
    <mergeCell ref="G70:O70"/>
    <mergeCell ref="A71:X71"/>
    <mergeCell ref="A72:B72"/>
    <mergeCell ref="L72:N72"/>
    <mergeCell ref="Q72:S72"/>
    <mergeCell ref="W72:X72"/>
    <mergeCell ref="A73:B73"/>
    <mergeCell ref="A74:B74"/>
    <mergeCell ref="A75:B75"/>
    <mergeCell ref="A76:B76"/>
    <mergeCell ref="A77:B77"/>
    <mergeCell ref="A78:B78"/>
    <mergeCell ref="D78:E78"/>
    <mergeCell ref="G78:H78"/>
    <mergeCell ref="J78:K78"/>
    <mergeCell ref="L78:M78"/>
    <mergeCell ref="N78:P78"/>
    <mergeCell ref="Q78:S78"/>
    <mergeCell ref="T78:U78"/>
    <mergeCell ref="V78:W78"/>
    <mergeCell ref="A79:B79"/>
    <mergeCell ref="D79:E79"/>
    <mergeCell ref="G79:H79"/>
    <mergeCell ref="J79:X79"/>
    <mergeCell ref="A80:S80"/>
    <mergeCell ref="A83:S83"/>
    <mergeCell ref="A84:S84"/>
    <mergeCell ref="A85:X85"/>
    <mergeCell ref="A86:X86"/>
    <mergeCell ref="A87:B87"/>
    <mergeCell ref="A88:B88"/>
    <mergeCell ref="G90:O90"/>
    <mergeCell ref="A91:B91"/>
    <mergeCell ref="L91:N91"/>
    <mergeCell ref="Q91:S91"/>
    <mergeCell ref="W91:X91"/>
    <mergeCell ref="A92:B92"/>
    <mergeCell ref="A93:B93"/>
    <mergeCell ref="A94:X94"/>
    <mergeCell ref="A95:B95"/>
    <mergeCell ref="A96:B96"/>
    <mergeCell ref="A97:B97"/>
    <mergeCell ref="A98:B98"/>
    <mergeCell ref="D98:E98"/>
    <mergeCell ref="G98:H98"/>
    <mergeCell ref="J98:K98"/>
    <mergeCell ref="L98:M98"/>
    <mergeCell ref="N98:X98"/>
    <mergeCell ref="A99:X99"/>
    <mergeCell ref="G60:X61"/>
    <mergeCell ref="T80:X84"/>
    <mergeCell ref="A81:S82"/>
  </mergeCells>
  <pageMargins left="0.75" right="0.75" top="1" bottom="1" header="0.5" footer="0.5"/>
  <headerFooter/>
  <pictur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36"/>
  <sheetViews>
    <sheetView workbookViewId="0">
      <selection activeCell="H11" sqref="H11"/>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5</v>
      </c>
      <c r="B1" s="2"/>
      <c r="C1" s="2"/>
      <c r="D1" s="3" t="s">
        <v>337</v>
      </c>
      <c r="E1" s="2"/>
      <c r="F1" s="2"/>
      <c r="G1" s="2"/>
      <c r="H1" s="2"/>
      <c r="I1" s="2"/>
      <c r="J1" s="2"/>
      <c r="K1" s="2"/>
      <c r="L1" s="2"/>
      <c r="M1" s="2"/>
      <c r="N1" s="2"/>
      <c r="O1" s="2"/>
      <c r="P1" s="2"/>
      <c r="Q1" s="2"/>
      <c r="R1" s="2"/>
      <c r="S1" s="2"/>
      <c r="T1" s="2"/>
      <c r="U1" s="2">
        <v>5</v>
      </c>
      <c r="V1" s="2"/>
      <c r="W1" s="2"/>
      <c r="X1" s="2"/>
    </row>
    <row r="2" ht="21" customHeight="1" spans="1:24">
      <c r="A2" s="5"/>
      <c r="B2" s="6" t="s">
        <v>1</v>
      </c>
      <c r="C2" s="7"/>
      <c r="D2" s="8"/>
      <c r="E2" s="9"/>
      <c r="F2" s="6" t="s">
        <v>33</v>
      </c>
      <c r="G2" s="7"/>
      <c r="H2" s="8"/>
      <c r="I2" s="9"/>
      <c r="J2" s="131" t="s">
        <v>34</v>
      </c>
      <c r="K2" s="132"/>
      <c r="L2" s="132"/>
      <c r="M2" s="132"/>
      <c r="N2" s="132"/>
      <c r="O2" s="132"/>
      <c r="P2" s="132"/>
      <c r="Q2" s="132"/>
      <c r="R2" s="132"/>
      <c r="S2" s="132"/>
      <c r="T2" s="132"/>
      <c r="U2" s="132"/>
      <c r="V2" s="229"/>
      <c r="W2" s="230"/>
      <c r="X2" s="230"/>
    </row>
    <row r="3" ht="21" customHeight="1" spans="1:24">
      <c r="A3" s="12" t="s">
        <v>35</v>
      </c>
      <c r="B3" s="13"/>
      <c r="C3" s="13"/>
      <c r="D3" s="13"/>
      <c r="E3" s="13"/>
      <c r="F3" s="13"/>
      <c r="G3" s="13"/>
      <c r="H3" s="13"/>
      <c r="I3" s="13"/>
      <c r="J3" s="13"/>
      <c r="K3" s="13"/>
      <c r="L3" s="13"/>
      <c r="M3" s="13"/>
      <c r="N3" s="13"/>
      <c r="O3" s="13"/>
      <c r="P3" s="13"/>
      <c r="Q3" s="13"/>
      <c r="R3" s="13"/>
      <c r="S3" s="13"/>
      <c r="T3" s="13"/>
      <c r="U3" s="13"/>
      <c r="V3" s="13"/>
      <c r="W3" s="13"/>
      <c r="X3" s="232"/>
    </row>
    <row r="4" ht="44" customHeight="1" spans="1:24">
      <c r="A4" s="14"/>
      <c r="B4" s="15" t="str">
        <f>_xlfn.DISPIMG("ID_71ED4D95A7C3488B869995A44CC33D3E",1)</f>
        <v>=DISPIMG("ID_71ED4D95A7C3488B869995A44CC33D3E",1)</v>
      </c>
      <c r="C4" s="15" t="str">
        <f>_xlfn.DISPIMG("ID_4D31F0927F4C4609AE6D924D81D492D4",1)</f>
        <v>=DISPIMG("ID_4D31F0927F4C4609AE6D924D81D492D4",1)</v>
      </c>
      <c r="D4" s="15" t="str">
        <f>_xlfn.DISPIMG("ID_0B5897B7F10A45249D5874E5EF4B5DCD",1)</f>
        <v>=DISPIMG("ID_0B5897B7F10A45249D5874E5EF4B5DCD",1)</v>
      </c>
      <c r="E4" s="15" t="str">
        <f>_xlfn.DISPIMG("ID_45C1CFB49B8F43DBACAAAA209589202C",1)</f>
        <v>=DISPIMG("ID_45C1CFB49B8F43DBACAAAA209589202C",1)</v>
      </c>
      <c r="F4" s="16"/>
      <c r="G4" s="71" t="s">
        <v>338</v>
      </c>
      <c r="H4" s="72"/>
      <c r="I4" s="72"/>
      <c r="J4" s="72"/>
      <c r="K4" s="72"/>
      <c r="L4" s="72"/>
      <c r="M4" s="72"/>
      <c r="N4" s="72"/>
      <c r="O4" s="180"/>
      <c r="P4" s="134"/>
      <c r="Q4" s="233"/>
      <c r="R4" s="233"/>
      <c r="S4" s="233"/>
      <c r="T4" s="233"/>
      <c r="U4" s="233"/>
      <c r="V4" s="233"/>
      <c r="W4" s="233"/>
      <c r="X4" s="234"/>
    </row>
    <row r="5" ht="21" customHeight="1" spans="1:24">
      <c r="A5" s="555"/>
      <c r="B5" s="555"/>
      <c r="C5" s="555"/>
      <c r="D5" s="555"/>
      <c r="E5" s="555"/>
      <c r="F5" s="555"/>
      <c r="G5" s="555"/>
      <c r="H5" s="555"/>
      <c r="I5" s="555"/>
      <c r="J5" s="555"/>
      <c r="K5" s="555"/>
      <c r="L5" s="555"/>
      <c r="M5" s="555"/>
      <c r="N5" s="555"/>
      <c r="O5" s="555"/>
      <c r="P5" s="555"/>
      <c r="Q5" s="555"/>
      <c r="R5" s="555"/>
      <c r="S5" s="555"/>
      <c r="T5" s="555"/>
      <c r="U5" s="555"/>
      <c r="V5" s="555"/>
      <c r="W5" s="555"/>
      <c r="X5" s="555"/>
    </row>
    <row r="6" ht="21" customHeight="1" spans="1:24">
      <c r="A6" s="21" t="s">
        <v>338</v>
      </c>
      <c r="B6" s="22"/>
      <c r="C6" s="23">
        <v>0</v>
      </c>
      <c r="D6" s="24">
        <v>1</v>
      </c>
      <c r="E6" s="24">
        <v>2</v>
      </c>
      <c r="F6" s="24">
        <v>3</v>
      </c>
      <c r="G6" s="24">
        <v>4</v>
      </c>
      <c r="H6" s="24">
        <v>5</v>
      </c>
      <c r="I6" s="24">
        <v>6</v>
      </c>
      <c r="J6" s="24">
        <v>7</v>
      </c>
      <c r="K6" s="135">
        <v>8</v>
      </c>
      <c r="L6" s="136">
        <v>9</v>
      </c>
      <c r="M6" s="137"/>
      <c r="N6" s="138"/>
      <c r="O6" s="139">
        <v>10</v>
      </c>
      <c r="P6" s="140">
        <v>11</v>
      </c>
      <c r="Q6" s="236">
        <v>12</v>
      </c>
      <c r="R6" s="236"/>
      <c r="S6" s="236"/>
      <c r="T6" s="139">
        <v>13</v>
      </c>
      <c r="U6" s="237">
        <v>14</v>
      </c>
      <c r="V6" s="140">
        <v>15</v>
      </c>
      <c r="W6" s="137">
        <v>16</v>
      </c>
      <c r="X6" s="138"/>
    </row>
    <row r="7" ht="21" customHeight="1" spans="1:24">
      <c r="A7" s="25" t="s">
        <v>339</v>
      </c>
      <c r="B7" s="26"/>
      <c r="C7" s="27">
        <v>25</v>
      </c>
      <c r="D7" s="28">
        <v>24</v>
      </c>
      <c r="E7" s="28">
        <v>23</v>
      </c>
      <c r="F7" s="28">
        <v>22</v>
      </c>
      <c r="G7" s="28">
        <v>21</v>
      </c>
      <c r="H7" s="28">
        <v>20</v>
      </c>
      <c r="I7" s="28">
        <v>19</v>
      </c>
      <c r="J7" s="28">
        <v>18</v>
      </c>
      <c r="K7" s="141">
        <v>17</v>
      </c>
      <c r="L7" s="142"/>
      <c r="M7" s="186">
        <v>16</v>
      </c>
      <c r="N7" s="144"/>
      <c r="O7" s="188">
        <v>15</v>
      </c>
      <c r="P7" s="189">
        <v>14</v>
      </c>
      <c r="Q7" s="144"/>
      <c r="R7" s="262">
        <v>13</v>
      </c>
      <c r="S7" s="144"/>
      <c r="T7" s="188">
        <v>12</v>
      </c>
      <c r="U7" s="263">
        <v>11</v>
      </c>
      <c r="V7" s="189">
        <v>10</v>
      </c>
      <c r="W7" s="240"/>
      <c r="X7" s="265">
        <v>9</v>
      </c>
    </row>
    <row r="8" ht="21" customHeight="1" spans="1:24">
      <c r="A8" s="65" t="s">
        <v>340</v>
      </c>
      <c r="B8" s="65"/>
      <c r="C8" s="66">
        <v>25</v>
      </c>
      <c r="D8" s="67">
        <v>26</v>
      </c>
      <c r="E8" s="67">
        <v>27</v>
      </c>
      <c r="F8" s="93">
        <v>28</v>
      </c>
      <c r="G8" s="67">
        <v>29</v>
      </c>
      <c r="H8" s="69">
        <v>30</v>
      </c>
      <c r="I8" s="67">
        <v>31</v>
      </c>
      <c r="J8" s="178">
        <v>32</v>
      </c>
      <c r="K8" s="378">
        <v>35</v>
      </c>
      <c r="L8" s="94" t="s">
        <v>341</v>
      </c>
      <c r="M8" s="94"/>
      <c r="N8" s="94"/>
      <c r="O8" s="94"/>
      <c r="P8" s="94"/>
      <c r="Q8" s="94"/>
      <c r="R8" s="94"/>
      <c r="S8" s="94"/>
      <c r="T8" s="94"/>
      <c r="U8" s="94"/>
      <c r="V8" s="94"/>
      <c r="W8" s="94"/>
      <c r="X8" s="94"/>
    </row>
    <row r="9" ht="21" customHeight="1" spans="1:24">
      <c r="A9" s="59" t="s">
        <v>342</v>
      </c>
      <c r="B9" s="60"/>
      <c r="C9" s="61">
        <v>0</v>
      </c>
      <c r="D9" s="62">
        <v>1</v>
      </c>
      <c r="E9" s="62">
        <v>2</v>
      </c>
      <c r="F9" s="63">
        <v>3</v>
      </c>
      <c r="G9" s="62">
        <v>4</v>
      </c>
      <c r="H9" s="64">
        <v>5</v>
      </c>
      <c r="I9" s="62">
        <v>6</v>
      </c>
      <c r="J9" s="174">
        <v>7</v>
      </c>
      <c r="K9" s="626">
        <v>8</v>
      </c>
      <c r="L9" s="26" t="s">
        <v>343</v>
      </c>
      <c r="M9" s="315"/>
      <c r="N9" s="315"/>
      <c r="O9" s="315"/>
      <c r="P9" s="315"/>
      <c r="Q9" s="315"/>
      <c r="R9" s="315"/>
      <c r="S9" s="315"/>
      <c r="T9" s="315"/>
      <c r="U9" s="315"/>
      <c r="V9" s="315"/>
      <c r="W9" s="315"/>
      <c r="X9" s="319"/>
    </row>
    <row r="10" ht="21" customHeight="1" spans="1:24">
      <c r="A10" s="123" t="s">
        <v>344</v>
      </c>
      <c r="B10" s="408"/>
      <c r="C10" s="41">
        <f t="shared" ref="C10:K10" si="0">C8*6</f>
        <v>150</v>
      </c>
      <c r="D10" s="42">
        <f t="shared" si="0"/>
        <v>156</v>
      </c>
      <c r="E10" s="42">
        <f t="shared" si="0"/>
        <v>162</v>
      </c>
      <c r="F10" s="43">
        <f t="shared" si="0"/>
        <v>168</v>
      </c>
      <c r="G10" s="42">
        <f t="shared" si="0"/>
        <v>174</v>
      </c>
      <c r="H10" s="44">
        <f t="shared" si="0"/>
        <v>180</v>
      </c>
      <c r="I10" s="42">
        <f t="shared" si="0"/>
        <v>186</v>
      </c>
      <c r="J10" s="163">
        <f t="shared" si="0"/>
        <v>192</v>
      </c>
      <c r="K10" s="575">
        <f t="shared" si="0"/>
        <v>210</v>
      </c>
      <c r="L10" s="970"/>
      <c r="M10" s="1052"/>
      <c r="N10" s="1052"/>
      <c r="O10" s="1052"/>
      <c r="P10" s="1052"/>
      <c r="Q10" s="1052"/>
      <c r="R10" s="1052"/>
      <c r="S10" s="1052"/>
      <c r="T10" s="1052"/>
      <c r="U10" s="1052"/>
      <c r="V10" s="1052"/>
      <c r="W10" s="1052"/>
      <c r="X10" s="982"/>
    </row>
    <row r="11" ht="21" customHeight="1" spans="1:24">
      <c r="A11" s="65" t="s">
        <v>345</v>
      </c>
      <c r="B11" s="65"/>
      <c r="C11" s="66">
        <f t="shared" ref="C11:K11" si="1">C8*7</f>
        <v>175</v>
      </c>
      <c r="D11" s="67">
        <f t="shared" si="1"/>
        <v>182</v>
      </c>
      <c r="E11" s="67">
        <f t="shared" si="1"/>
        <v>189</v>
      </c>
      <c r="F11" s="93">
        <f t="shared" si="1"/>
        <v>196</v>
      </c>
      <c r="G11" s="67">
        <f t="shared" si="1"/>
        <v>203</v>
      </c>
      <c r="H11" s="69">
        <f t="shared" si="1"/>
        <v>210</v>
      </c>
      <c r="I11" s="67">
        <f t="shared" si="1"/>
        <v>217</v>
      </c>
      <c r="J11" s="178">
        <f t="shared" si="1"/>
        <v>224</v>
      </c>
      <c r="K11" s="179">
        <f t="shared" si="1"/>
        <v>245</v>
      </c>
      <c r="L11" s="970"/>
      <c r="M11" s="1052"/>
      <c r="N11" s="1052"/>
      <c r="O11" s="1052"/>
      <c r="P11" s="1052"/>
      <c r="Q11" s="1052"/>
      <c r="R11" s="1052"/>
      <c r="S11" s="1052"/>
      <c r="T11" s="1052"/>
      <c r="U11" s="1052"/>
      <c r="V11" s="1052"/>
      <c r="W11" s="1052"/>
      <c r="X11" s="982"/>
    </row>
    <row r="12" ht="21" customHeight="1" spans="1:24">
      <c r="A12" s="123" t="s">
        <v>346</v>
      </c>
      <c r="B12" s="408"/>
      <c r="C12" s="41">
        <f t="shared" ref="C12:K12" si="2">C8*8</f>
        <v>200</v>
      </c>
      <c r="D12" s="42">
        <f t="shared" si="2"/>
        <v>208</v>
      </c>
      <c r="E12" s="42">
        <f t="shared" si="2"/>
        <v>216</v>
      </c>
      <c r="F12" s="43">
        <f t="shared" si="2"/>
        <v>224</v>
      </c>
      <c r="G12" s="42">
        <f t="shared" si="2"/>
        <v>232</v>
      </c>
      <c r="H12" s="44">
        <f t="shared" si="2"/>
        <v>240</v>
      </c>
      <c r="I12" s="42">
        <f t="shared" si="2"/>
        <v>248</v>
      </c>
      <c r="J12" s="163">
        <f t="shared" si="2"/>
        <v>256</v>
      </c>
      <c r="K12" s="575">
        <f t="shared" si="2"/>
        <v>280</v>
      </c>
      <c r="L12" s="550"/>
      <c r="M12" s="657"/>
      <c r="N12" s="657"/>
      <c r="O12" s="657"/>
      <c r="P12" s="657"/>
      <c r="Q12" s="657"/>
      <c r="R12" s="657"/>
      <c r="S12" s="657"/>
      <c r="T12" s="657"/>
      <c r="U12" s="657"/>
      <c r="V12" s="657"/>
      <c r="W12" s="657"/>
      <c r="X12" s="678"/>
    </row>
    <row r="13" ht="21" customHeight="1" spans="1:24">
      <c r="A13" s="622" t="s">
        <v>347</v>
      </c>
      <c r="B13" s="622"/>
      <c r="C13" s="622"/>
      <c r="D13" s="622"/>
      <c r="E13" s="622"/>
      <c r="F13" s="622"/>
      <c r="G13" s="622"/>
      <c r="H13" s="622"/>
      <c r="I13" s="622"/>
      <c r="J13" s="622"/>
      <c r="K13" s="622"/>
      <c r="L13" s="961"/>
      <c r="M13" s="961"/>
      <c r="N13" s="961"/>
      <c r="O13" s="961"/>
      <c r="P13" s="961"/>
      <c r="Q13" s="961"/>
      <c r="R13" s="961"/>
      <c r="S13" s="961"/>
      <c r="T13" s="961"/>
      <c r="U13" s="961"/>
      <c r="V13" s="961"/>
      <c r="W13" s="961"/>
      <c r="X13" s="961"/>
    </row>
    <row r="14" ht="21" customHeight="1" spans="1:24">
      <c r="A14" s="943" t="s">
        <v>348</v>
      </c>
      <c r="B14" s="25"/>
      <c r="C14" s="89">
        <f t="shared" ref="C14:K14" si="3">C8+7</f>
        <v>32</v>
      </c>
      <c r="D14" s="90">
        <f t="shared" si="3"/>
        <v>33</v>
      </c>
      <c r="E14" s="90">
        <f t="shared" si="3"/>
        <v>34</v>
      </c>
      <c r="F14" s="91">
        <f t="shared" si="3"/>
        <v>35</v>
      </c>
      <c r="G14" s="90">
        <f t="shared" si="3"/>
        <v>36</v>
      </c>
      <c r="H14" s="92">
        <f t="shared" si="3"/>
        <v>37</v>
      </c>
      <c r="I14" s="90">
        <f t="shared" si="3"/>
        <v>38</v>
      </c>
      <c r="J14" s="206">
        <f t="shared" si="3"/>
        <v>39</v>
      </c>
      <c r="K14" s="658">
        <f t="shared" si="3"/>
        <v>42</v>
      </c>
      <c r="L14" s="86" t="s">
        <v>349</v>
      </c>
      <c r="M14" s="205"/>
      <c r="N14" s="205"/>
      <c r="O14" s="205"/>
      <c r="P14" s="205"/>
      <c r="Q14" s="205"/>
      <c r="R14" s="205"/>
      <c r="S14" s="205"/>
      <c r="T14" s="205"/>
      <c r="U14" s="205"/>
      <c r="V14" s="205"/>
      <c r="W14" s="205"/>
      <c r="X14" s="276"/>
    </row>
    <row r="15" ht="21" customHeight="1" spans="1:24">
      <c r="A15" s="59" t="s">
        <v>342</v>
      </c>
      <c r="B15" s="60"/>
      <c r="C15" s="61">
        <v>0</v>
      </c>
      <c r="D15" s="62">
        <v>1</v>
      </c>
      <c r="E15" s="62">
        <v>2</v>
      </c>
      <c r="F15" s="63">
        <v>3</v>
      </c>
      <c r="G15" s="62">
        <v>4</v>
      </c>
      <c r="H15" s="64">
        <v>5</v>
      </c>
      <c r="I15" s="62">
        <v>6</v>
      </c>
      <c r="J15" s="174">
        <v>7</v>
      </c>
      <c r="K15" s="626">
        <v>8</v>
      </c>
      <c r="L15" s="26" t="s">
        <v>350</v>
      </c>
      <c r="M15" s="315"/>
      <c r="N15" s="315"/>
      <c r="O15" s="315"/>
      <c r="P15" s="315"/>
      <c r="Q15" s="315"/>
      <c r="R15" s="315"/>
      <c r="S15" s="315"/>
      <c r="T15" s="315"/>
      <c r="U15" s="315"/>
      <c r="V15" s="315"/>
      <c r="W15" s="315"/>
      <c r="X15" s="319"/>
    </row>
    <row r="16" ht="21" customHeight="1" spans="1:24">
      <c r="A16" s="26" t="s">
        <v>344</v>
      </c>
      <c r="B16" s="319"/>
      <c r="C16" s="89">
        <f t="shared" ref="C16:K16" si="4">C14*6</f>
        <v>192</v>
      </c>
      <c r="D16" s="90">
        <f t="shared" si="4"/>
        <v>198</v>
      </c>
      <c r="E16" s="90">
        <f t="shared" si="4"/>
        <v>204</v>
      </c>
      <c r="F16" s="91">
        <f t="shared" si="4"/>
        <v>210</v>
      </c>
      <c r="G16" s="90">
        <f t="shared" si="4"/>
        <v>216</v>
      </c>
      <c r="H16" s="92">
        <f t="shared" si="4"/>
        <v>222</v>
      </c>
      <c r="I16" s="90">
        <f t="shared" si="4"/>
        <v>228</v>
      </c>
      <c r="J16" s="206">
        <f t="shared" si="4"/>
        <v>234</v>
      </c>
      <c r="K16" s="658">
        <f t="shared" si="4"/>
        <v>252</v>
      </c>
      <c r="L16" s="1053" t="s">
        <v>351</v>
      </c>
      <c r="M16" s="1054"/>
      <c r="N16" s="1054"/>
      <c r="O16" s="1054"/>
      <c r="P16" s="1054"/>
      <c r="Q16" s="1054"/>
      <c r="R16" s="1054"/>
      <c r="S16" s="1054"/>
      <c r="T16" s="1054"/>
      <c r="U16" s="1054"/>
      <c r="V16" s="1054"/>
      <c r="W16" s="1054"/>
      <c r="X16" s="1068"/>
    </row>
    <row r="17" ht="21" customHeight="1" spans="1:24">
      <c r="A17" s="65" t="s">
        <v>345</v>
      </c>
      <c r="B17" s="65"/>
      <c r="C17" s="66">
        <f t="shared" ref="C17:K17" si="5">C14*7</f>
        <v>224</v>
      </c>
      <c r="D17" s="67">
        <f t="shared" si="5"/>
        <v>231</v>
      </c>
      <c r="E17" s="67">
        <f t="shared" si="5"/>
        <v>238</v>
      </c>
      <c r="F17" s="93">
        <f t="shared" si="5"/>
        <v>245</v>
      </c>
      <c r="G17" s="67">
        <f t="shared" si="5"/>
        <v>252</v>
      </c>
      <c r="H17" s="69">
        <f t="shared" si="5"/>
        <v>259</v>
      </c>
      <c r="I17" s="67">
        <f t="shared" si="5"/>
        <v>266</v>
      </c>
      <c r="J17" s="178">
        <f t="shared" si="5"/>
        <v>273</v>
      </c>
      <c r="K17" s="179">
        <f t="shared" si="5"/>
        <v>294</v>
      </c>
      <c r="L17" s="1055"/>
      <c r="M17" s="1056"/>
      <c r="N17" s="1056"/>
      <c r="O17" s="1056"/>
      <c r="P17" s="1056"/>
      <c r="Q17" s="1056"/>
      <c r="R17" s="1056"/>
      <c r="S17" s="1056"/>
      <c r="T17" s="1056"/>
      <c r="U17" s="1056"/>
      <c r="V17" s="1056"/>
      <c r="W17" s="1056"/>
      <c r="X17" s="1069"/>
    </row>
    <row r="18" ht="21" customHeight="1" spans="1:24">
      <c r="A18" s="26" t="s">
        <v>346</v>
      </c>
      <c r="B18" s="319"/>
      <c r="C18" s="89">
        <f t="shared" ref="C18:K18" si="6">C14*8</f>
        <v>256</v>
      </c>
      <c r="D18" s="90">
        <f t="shared" si="6"/>
        <v>264</v>
      </c>
      <c r="E18" s="90">
        <f t="shared" si="6"/>
        <v>272</v>
      </c>
      <c r="F18" s="91">
        <f t="shared" si="6"/>
        <v>280</v>
      </c>
      <c r="G18" s="90">
        <f t="shared" si="6"/>
        <v>288</v>
      </c>
      <c r="H18" s="92">
        <f t="shared" si="6"/>
        <v>296</v>
      </c>
      <c r="I18" s="90">
        <f t="shared" si="6"/>
        <v>304</v>
      </c>
      <c r="J18" s="206">
        <f t="shared" si="6"/>
        <v>312</v>
      </c>
      <c r="K18" s="658">
        <f t="shared" si="6"/>
        <v>336</v>
      </c>
      <c r="L18" s="279" t="str">
        <f>_xlfn.DISPIMG("ID_C2B541B3E99844209DCC91A9398A341C",1)</f>
        <v>=DISPIMG("ID_C2B541B3E99844209DCC91A9398A341C",1)</v>
      </c>
      <c r="M18" s="280"/>
      <c r="N18" s="280"/>
      <c r="O18" s="280"/>
      <c r="P18" s="280"/>
      <c r="Q18" s="280"/>
      <c r="R18" s="280"/>
      <c r="S18" s="280"/>
      <c r="T18" s="280"/>
      <c r="U18" s="280"/>
      <c r="V18" s="280"/>
      <c r="W18" s="280"/>
      <c r="X18" s="281"/>
    </row>
    <row r="19" ht="21" customHeight="1" spans="1:24">
      <c r="A19" s="768" t="s">
        <v>26</v>
      </c>
      <c r="B19" s="769" t="s">
        <v>352</v>
      </c>
      <c r="C19" s="769"/>
      <c r="D19" s="769"/>
      <c r="E19" s="769"/>
      <c r="F19" s="769"/>
      <c r="G19" s="769"/>
      <c r="H19" s="769"/>
      <c r="I19" s="769"/>
      <c r="J19" s="769"/>
      <c r="K19" s="817"/>
      <c r="L19" s="279"/>
      <c r="M19" s="280"/>
      <c r="N19" s="280"/>
      <c r="O19" s="280"/>
      <c r="P19" s="280"/>
      <c r="Q19" s="280"/>
      <c r="R19" s="280"/>
      <c r="S19" s="280"/>
      <c r="T19" s="280"/>
      <c r="U19" s="280"/>
      <c r="V19" s="280"/>
      <c r="W19" s="280"/>
      <c r="X19" s="281"/>
    </row>
    <row r="20" ht="21" customHeight="1" spans="1:24">
      <c r="A20" s="770" t="s">
        <v>353</v>
      </c>
      <c r="B20" s="771" t="s">
        <v>338</v>
      </c>
      <c r="C20" s="772">
        <v>0</v>
      </c>
      <c r="D20" s="773">
        <v>1</v>
      </c>
      <c r="E20" s="773">
        <v>2</v>
      </c>
      <c r="F20" s="774">
        <v>3</v>
      </c>
      <c r="G20" s="773">
        <v>4</v>
      </c>
      <c r="H20" s="775">
        <v>5</v>
      </c>
      <c r="I20" s="773">
        <v>6</v>
      </c>
      <c r="J20" s="819">
        <v>7</v>
      </c>
      <c r="K20" s="820">
        <v>8</v>
      </c>
      <c r="L20" s="279"/>
      <c r="M20" s="280"/>
      <c r="N20" s="280"/>
      <c r="O20" s="280"/>
      <c r="P20" s="280"/>
      <c r="Q20" s="280"/>
      <c r="R20" s="280"/>
      <c r="S20" s="280"/>
      <c r="T20" s="280"/>
      <c r="U20" s="280"/>
      <c r="V20" s="280"/>
      <c r="W20" s="280"/>
      <c r="X20" s="281"/>
    </row>
    <row r="21" ht="21" customHeight="1" spans="1:24">
      <c r="A21" s="770"/>
      <c r="B21" s="776">
        <v>0</v>
      </c>
      <c r="C21" s="1035">
        <v>0</v>
      </c>
      <c r="D21" s="1036">
        <v>0</v>
      </c>
      <c r="E21" s="1036">
        <v>0.1</v>
      </c>
      <c r="F21" s="1037">
        <v>0.2</v>
      </c>
      <c r="G21" s="1036">
        <v>0.3</v>
      </c>
      <c r="H21" s="1037">
        <v>0.4</v>
      </c>
      <c r="I21" s="1036">
        <v>0.7</v>
      </c>
      <c r="J21" s="1037">
        <v>0.9</v>
      </c>
      <c r="K21" s="1057">
        <v>1.4</v>
      </c>
      <c r="L21" s="279"/>
      <c r="M21" s="280"/>
      <c r="N21" s="280"/>
      <c r="O21" s="280"/>
      <c r="P21" s="280"/>
      <c r="Q21" s="280"/>
      <c r="R21" s="280"/>
      <c r="S21" s="280"/>
      <c r="T21" s="280"/>
      <c r="U21" s="280"/>
      <c r="V21" s="280"/>
      <c r="W21" s="280"/>
      <c r="X21" s="281"/>
    </row>
    <row r="22" ht="21" customHeight="1" spans="1:24">
      <c r="A22" s="770"/>
      <c r="B22" s="781">
        <v>1</v>
      </c>
      <c r="C22" s="1038">
        <v>0</v>
      </c>
      <c r="D22" s="1039">
        <v>0.1</v>
      </c>
      <c r="E22" s="1039">
        <f>$C$21+E21</f>
        <v>0.1</v>
      </c>
      <c r="F22" s="1040">
        <f>$C$21+F21</f>
        <v>0.2</v>
      </c>
      <c r="G22" s="1039">
        <f>$C$21+G21</f>
        <v>0.3</v>
      </c>
      <c r="H22" s="1040">
        <f>$C$21+H21</f>
        <v>0.4</v>
      </c>
      <c r="I22" s="1039">
        <f>$C$21+I21</f>
        <v>0.7</v>
      </c>
      <c r="J22" s="1040">
        <f>$C$21+J21</f>
        <v>0.9</v>
      </c>
      <c r="K22" s="1058">
        <f>$C$21+K21</f>
        <v>1.4</v>
      </c>
      <c r="L22" s="279"/>
      <c r="M22" s="280"/>
      <c r="N22" s="280"/>
      <c r="O22" s="280"/>
      <c r="P22" s="280"/>
      <c r="Q22" s="280"/>
      <c r="R22" s="280"/>
      <c r="S22" s="280"/>
      <c r="T22" s="280"/>
      <c r="U22" s="280"/>
      <c r="V22" s="280"/>
      <c r="W22" s="280"/>
      <c r="X22" s="281"/>
    </row>
    <row r="23" ht="21" customHeight="1" spans="1:24">
      <c r="A23" s="770"/>
      <c r="B23" s="781">
        <v>2</v>
      </c>
      <c r="C23" s="1038">
        <v>0</v>
      </c>
      <c r="D23" s="1039">
        <v>0.1</v>
      </c>
      <c r="E23" s="1039">
        <v>0.2</v>
      </c>
      <c r="F23" s="1040">
        <v>0.2</v>
      </c>
      <c r="G23" s="1039">
        <v>0.4</v>
      </c>
      <c r="H23" s="1040">
        <v>0.5</v>
      </c>
      <c r="I23" s="1039">
        <v>0.7</v>
      </c>
      <c r="J23" s="1040">
        <v>0.9</v>
      </c>
      <c r="K23" s="1058">
        <v>1.4</v>
      </c>
      <c r="L23" s="279"/>
      <c r="M23" s="280"/>
      <c r="N23" s="280"/>
      <c r="O23" s="280"/>
      <c r="P23" s="280"/>
      <c r="Q23" s="280"/>
      <c r="R23" s="280"/>
      <c r="S23" s="280"/>
      <c r="T23" s="280"/>
      <c r="U23" s="280"/>
      <c r="V23" s="280"/>
      <c r="W23" s="280"/>
      <c r="X23" s="281"/>
    </row>
    <row r="24" ht="21" customHeight="1" spans="1:24">
      <c r="A24" s="770"/>
      <c r="B24" s="781">
        <v>3</v>
      </c>
      <c r="C24" s="1038">
        <v>0</v>
      </c>
      <c r="D24" s="1039">
        <v>0.1</v>
      </c>
      <c r="E24" s="1039">
        <v>0.2</v>
      </c>
      <c r="F24" s="1040">
        <v>0.3</v>
      </c>
      <c r="G24" s="1039">
        <v>0.4</v>
      </c>
      <c r="H24" s="1040">
        <v>0.5</v>
      </c>
      <c r="I24" s="1039">
        <v>0.7</v>
      </c>
      <c r="J24" s="1059" t="s">
        <v>354</v>
      </c>
      <c r="K24" s="1058">
        <v>1.4</v>
      </c>
      <c r="L24" s="279"/>
      <c r="M24" s="280"/>
      <c r="N24" s="280"/>
      <c r="O24" s="280"/>
      <c r="P24" s="280"/>
      <c r="Q24" s="280"/>
      <c r="R24" s="280"/>
      <c r="S24" s="280"/>
      <c r="T24" s="280"/>
      <c r="U24" s="280"/>
      <c r="V24" s="280"/>
      <c r="W24" s="280"/>
      <c r="X24" s="281"/>
    </row>
    <row r="25" ht="21" customHeight="1" spans="1:24">
      <c r="A25" s="770"/>
      <c r="B25" s="786">
        <v>4</v>
      </c>
      <c r="C25" s="1041">
        <v>0.1</v>
      </c>
      <c r="D25" s="1042">
        <v>0.2</v>
      </c>
      <c r="E25" s="1042">
        <v>0.2</v>
      </c>
      <c r="F25" s="1043">
        <v>0.3</v>
      </c>
      <c r="G25" s="1042">
        <v>0.5</v>
      </c>
      <c r="H25" s="1043">
        <v>0.6</v>
      </c>
      <c r="I25" s="1042">
        <v>0.8</v>
      </c>
      <c r="J25" s="1047" t="s">
        <v>354</v>
      </c>
      <c r="K25" s="1060">
        <v>1.5</v>
      </c>
      <c r="L25" s="279"/>
      <c r="M25" s="280"/>
      <c r="N25" s="280"/>
      <c r="O25" s="280"/>
      <c r="P25" s="280"/>
      <c r="Q25" s="280"/>
      <c r="R25" s="280"/>
      <c r="S25" s="280"/>
      <c r="T25" s="280"/>
      <c r="U25" s="280"/>
      <c r="V25" s="280"/>
      <c r="W25" s="280"/>
      <c r="X25" s="281"/>
    </row>
    <row r="26" ht="21" customHeight="1" spans="1:24">
      <c r="A26" s="770"/>
      <c r="B26" s="786">
        <v>5</v>
      </c>
      <c r="C26" s="1041">
        <v>0.2</v>
      </c>
      <c r="D26" s="1042">
        <v>0.2</v>
      </c>
      <c r="E26" s="1042">
        <v>3.3</v>
      </c>
      <c r="F26" s="1043">
        <v>0.4</v>
      </c>
      <c r="G26" s="1042">
        <v>0.5</v>
      </c>
      <c r="H26" s="1043">
        <v>0.6</v>
      </c>
      <c r="I26" s="1042">
        <v>0.9</v>
      </c>
      <c r="J26" s="827">
        <v>1.1</v>
      </c>
      <c r="K26" s="1060">
        <v>1.6</v>
      </c>
      <c r="L26" s="279"/>
      <c r="M26" s="280"/>
      <c r="N26" s="280"/>
      <c r="O26" s="280"/>
      <c r="P26" s="280"/>
      <c r="Q26" s="280"/>
      <c r="R26" s="280"/>
      <c r="S26" s="280"/>
      <c r="T26" s="280"/>
      <c r="U26" s="280"/>
      <c r="V26" s="280"/>
      <c r="W26" s="280"/>
      <c r="X26" s="281"/>
    </row>
    <row r="27" ht="21" customHeight="1" spans="1:24">
      <c r="A27" s="770"/>
      <c r="B27" s="791">
        <v>6</v>
      </c>
      <c r="C27" s="1044">
        <v>0.3</v>
      </c>
      <c r="D27" s="1045">
        <v>0.3</v>
      </c>
      <c r="E27" s="1045">
        <v>0.4</v>
      </c>
      <c r="F27" s="1046">
        <v>0.5</v>
      </c>
      <c r="G27" s="1045">
        <v>0.6</v>
      </c>
      <c r="H27" s="1046">
        <v>0.7</v>
      </c>
      <c r="I27" s="1061" t="s">
        <v>354</v>
      </c>
      <c r="J27" s="829">
        <v>1.2</v>
      </c>
      <c r="K27" s="1062">
        <v>1.7</v>
      </c>
      <c r="L27" s="279"/>
      <c r="M27" s="280"/>
      <c r="N27" s="280"/>
      <c r="O27" s="280"/>
      <c r="P27" s="280"/>
      <c r="Q27" s="280"/>
      <c r="R27" s="280"/>
      <c r="S27" s="280"/>
      <c r="T27" s="280"/>
      <c r="U27" s="280"/>
      <c r="V27" s="280"/>
      <c r="W27" s="280"/>
      <c r="X27" s="281"/>
    </row>
    <row r="28" ht="21" customHeight="1" spans="1:24">
      <c r="A28" s="770"/>
      <c r="B28" s="791">
        <v>7</v>
      </c>
      <c r="C28" s="1044">
        <v>0.3</v>
      </c>
      <c r="D28" s="1045">
        <v>0.4</v>
      </c>
      <c r="E28" s="1045">
        <v>0.5</v>
      </c>
      <c r="F28" s="1046">
        <v>0.6</v>
      </c>
      <c r="G28" s="1045">
        <v>0.7</v>
      </c>
      <c r="H28" s="1046">
        <v>0.8</v>
      </c>
      <c r="I28" s="1061" t="s">
        <v>354</v>
      </c>
      <c r="J28" s="829">
        <v>1.3</v>
      </c>
      <c r="K28" s="1062">
        <v>1.7</v>
      </c>
      <c r="L28" s="279"/>
      <c r="M28" s="280"/>
      <c r="N28" s="280"/>
      <c r="O28" s="280"/>
      <c r="P28" s="280"/>
      <c r="Q28" s="280"/>
      <c r="R28" s="280"/>
      <c r="S28" s="280"/>
      <c r="T28" s="280"/>
      <c r="U28" s="280"/>
      <c r="V28" s="280"/>
      <c r="W28" s="280"/>
      <c r="X28" s="281"/>
    </row>
    <row r="29" ht="21" customHeight="1" spans="1:24">
      <c r="A29" s="770"/>
      <c r="B29" s="796">
        <v>8</v>
      </c>
      <c r="C29" s="1041">
        <v>0.6</v>
      </c>
      <c r="D29" s="1042">
        <v>0.6</v>
      </c>
      <c r="E29" s="1042">
        <v>0.7</v>
      </c>
      <c r="F29" s="1043">
        <v>0.8</v>
      </c>
      <c r="G29" s="1042">
        <v>0.9</v>
      </c>
      <c r="H29" s="1047" t="s">
        <v>354</v>
      </c>
      <c r="I29" s="1063">
        <v>1.3</v>
      </c>
      <c r="J29" s="827">
        <v>1.5</v>
      </c>
      <c r="K29" s="1064" t="s">
        <v>355</v>
      </c>
      <c r="L29" s="283"/>
      <c r="M29" s="284"/>
      <c r="N29" s="284"/>
      <c r="O29" s="284"/>
      <c r="P29" s="284"/>
      <c r="Q29" s="284"/>
      <c r="R29" s="284"/>
      <c r="S29" s="284"/>
      <c r="T29" s="284"/>
      <c r="U29" s="284"/>
      <c r="V29" s="284"/>
      <c r="W29" s="284"/>
      <c r="X29" s="285"/>
    </row>
    <row r="30" ht="21" customHeight="1" spans="1:24">
      <c r="A30" s="45"/>
      <c r="B30" s="46"/>
      <c r="C30" s="46"/>
      <c r="D30" s="46"/>
      <c r="E30" s="46"/>
      <c r="F30" s="46"/>
      <c r="G30" s="46"/>
      <c r="H30" s="46"/>
      <c r="I30" s="46"/>
      <c r="J30" s="46"/>
      <c r="K30" s="46"/>
      <c r="L30" s="46"/>
      <c r="M30" s="46"/>
      <c r="N30" s="46"/>
      <c r="O30" s="46"/>
      <c r="P30" s="46"/>
      <c r="Q30" s="46"/>
      <c r="R30" s="46"/>
      <c r="S30" s="46"/>
      <c r="T30" s="46"/>
      <c r="U30" s="46"/>
      <c r="V30" s="46"/>
      <c r="W30" s="46"/>
      <c r="X30" s="252"/>
    </row>
    <row r="31" ht="44" customHeight="1" spans="1:24">
      <c r="A31" s="14"/>
      <c r="B31" s="15" t="str">
        <f>_xlfn.DISPIMG("ID_DF5AB30343BD495BBAED7C4292415A15",1)</f>
        <v>=DISPIMG("ID_DF5AB30343BD495BBAED7C4292415A15",1)</v>
      </c>
      <c r="C31" s="15" t="str">
        <f>_xlfn.DISPIMG("ID_7A6FE2F8F1D64C18A24D562070F376F5",1)</f>
        <v>=DISPIMG("ID_7A6FE2F8F1D64C18A24D562070F376F5",1)</v>
      </c>
      <c r="D31" s="15" t="str">
        <f>_xlfn.DISPIMG("ID_B17DA600AAF640DCA7B1F0409C39BF4B",1)</f>
        <v>=DISPIMG("ID_B17DA600AAF640DCA7B1F0409C39BF4B",1)</v>
      </c>
      <c r="E31" s="15" t="str">
        <f>_xlfn.DISPIMG("ID_D494B13CDB3D48C889988B6061436624",1)</f>
        <v>=DISPIMG("ID_D494B13CDB3D48C889988B6061436624",1)</v>
      </c>
      <c r="F31" s="16"/>
      <c r="G31" s="556" t="s">
        <v>356</v>
      </c>
      <c r="H31" s="557"/>
      <c r="I31" s="557"/>
      <c r="J31" s="557"/>
      <c r="K31" s="557"/>
      <c r="L31" s="557"/>
      <c r="M31" s="557"/>
      <c r="N31" s="557"/>
      <c r="O31" s="569"/>
      <c r="P31" s="1065" t="str">
        <f>_xlfn.DISPIMG("ID_AEA1071F7ABF4703B87E9830DA1F6F51",1)</f>
        <v>=DISPIMG("ID_AEA1071F7ABF4703B87E9830DA1F6F51",1)</v>
      </c>
      <c r="Q31" s="1070"/>
      <c r="R31" s="1070" t="str">
        <f>_xlfn.DISPIMG("ID_D9845B24F04743A8A52AD7B97A371A2E",1)</f>
        <v>=DISPIMG("ID_D9845B24F04743A8A52AD7B97A371A2E",1)</v>
      </c>
      <c r="S31" s="1070"/>
      <c r="T31" s="1070" t="str">
        <f>_xlfn.DISPIMG("ID_99D2ACA1825E471FBB473E520E44E9ED",1)</f>
        <v>=DISPIMG("ID_99D2ACA1825E471FBB473E520E44E9ED",1)</v>
      </c>
      <c r="U31" s="1070" t="str">
        <f>_xlfn.DISPIMG("ID_C827B09A519E4F64A0D5B33FA4E766A5",1)</f>
        <v>=DISPIMG("ID_C827B09A519E4F64A0D5B33FA4E766A5",1)</v>
      </c>
      <c r="V31" s="1070"/>
      <c r="W31" s="1070"/>
      <c r="X31" s="1071" t="str">
        <f>_xlfn.DISPIMG("ID_1881C0A300784B09AB36A0E6EB85AC84",1)</f>
        <v>=DISPIMG("ID_1881C0A300784B09AB36A0E6EB85AC84",1)</v>
      </c>
    </row>
    <row r="32" ht="21" customHeight="1" spans="1:24">
      <c r="A32" s="476" t="s">
        <v>357</v>
      </c>
      <c r="B32" s="476"/>
      <c r="C32" s="476"/>
      <c r="D32" s="476"/>
      <c r="E32" s="476"/>
      <c r="F32" s="476"/>
      <c r="G32" s="476"/>
      <c r="H32" s="476"/>
      <c r="I32" s="476"/>
      <c r="J32" s="476"/>
      <c r="K32" s="476"/>
      <c r="L32" s="476"/>
      <c r="M32" s="476"/>
      <c r="N32" s="476"/>
      <c r="O32" s="476"/>
      <c r="P32" s="476"/>
      <c r="Q32" s="476"/>
      <c r="R32" s="476"/>
      <c r="S32" s="476"/>
      <c r="T32" s="476"/>
      <c r="U32" s="476"/>
      <c r="V32" s="476"/>
      <c r="W32" s="476"/>
      <c r="X32" s="476"/>
    </row>
    <row r="33" ht="21" customHeight="1" spans="1:24">
      <c r="A33" s="21" t="s">
        <v>339</v>
      </c>
      <c r="B33" s="22"/>
      <c r="C33" s="23">
        <v>0</v>
      </c>
      <c r="D33" s="24">
        <v>1</v>
      </c>
      <c r="E33" s="24">
        <v>2</v>
      </c>
      <c r="F33" s="24">
        <v>3</v>
      </c>
      <c r="G33" s="24">
        <v>4</v>
      </c>
      <c r="H33" s="24">
        <v>5</v>
      </c>
      <c r="I33" s="24">
        <v>6</v>
      </c>
      <c r="J33" s="24">
        <v>7</v>
      </c>
      <c r="K33" s="135">
        <v>8</v>
      </c>
      <c r="L33" s="136">
        <v>9</v>
      </c>
      <c r="M33" s="137"/>
      <c r="N33" s="138"/>
      <c r="O33" s="139">
        <v>10</v>
      </c>
      <c r="P33" s="140">
        <v>11</v>
      </c>
      <c r="Q33" s="236">
        <v>12</v>
      </c>
      <c r="R33" s="236"/>
      <c r="S33" s="236"/>
      <c r="T33" s="139">
        <v>13</v>
      </c>
      <c r="U33" s="237">
        <v>14</v>
      </c>
      <c r="V33" s="140">
        <v>15</v>
      </c>
      <c r="W33" s="137">
        <v>16</v>
      </c>
      <c r="X33" s="138"/>
    </row>
    <row r="34" ht="21" customHeight="1" spans="1:24">
      <c r="A34" s="25" t="s">
        <v>358</v>
      </c>
      <c r="B34" s="26"/>
      <c r="C34" s="27">
        <v>25</v>
      </c>
      <c r="D34" s="28">
        <v>24</v>
      </c>
      <c r="E34" s="28">
        <v>23</v>
      </c>
      <c r="F34" s="28">
        <v>22</v>
      </c>
      <c r="G34" s="28">
        <v>21</v>
      </c>
      <c r="H34" s="28">
        <v>20</v>
      </c>
      <c r="I34" s="28">
        <v>19</v>
      </c>
      <c r="J34" s="28">
        <v>18</v>
      </c>
      <c r="K34" s="141">
        <v>17</v>
      </c>
      <c r="L34" s="142"/>
      <c r="M34" s="186">
        <v>16</v>
      </c>
      <c r="N34" s="144"/>
      <c r="O34" s="188">
        <v>15</v>
      </c>
      <c r="P34" s="189">
        <v>14</v>
      </c>
      <c r="Q34" s="144"/>
      <c r="R34" s="262">
        <v>13</v>
      </c>
      <c r="S34" s="144"/>
      <c r="T34" s="188">
        <v>12</v>
      </c>
      <c r="U34" s="263">
        <v>11</v>
      </c>
      <c r="V34" s="189">
        <v>10</v>
      </c>
      <c r="W34" s="240"/>
      <c r="X34" s="265">
        <v>9</v>
      </c>
    </row>
    <row r="35" ht="21" customHeight="1" spans="1:24">
      <c r="A35" s="59" t="s">
        <v>340</v>
      </c>
      <c r="B35" s="60"/>
      <c r="C35" s="61">
        <v>0</v>
      </c>
      <c r="D35" s="62">
        <v>1</v>
      </c>
      <c r="E35" s="62">
        <v>2</v>
      </c>
      <c r="F35" s="63">
        <v>3</v>
      </c>
      <c r="G35" s="62">
        <v>4</v>
      </c>
      <c r="H35" s="64">
        <v>5</v>
      </c>
      <c r="I35" s="62">
        <v>6</v>
      </c>
      <c r="J35" s="174">
        <v>7</v>
      </c>
      <c r="K35" s="175">
        <v>8</v>
      </c>
      <c r="L35" s="176" t="s">
        <v>359</v>
      </c>
      <c r="M35" s="177"/>
      <c r="N35" s="177"/>
      <c r="O35" s="177"/>
      <c r="P35" s="177"/>
      <c r="Q35" s="177"/>
      <c r="R35" s="177"/>
      <c r="S35" s="177"/>
      <c r="T35" s="177"/>
      <c r="U35" s="177"/>
      <c r="V35" s="177"/>
      <c r="W35" s="177"/>
      <c r="X35" s="258"/>
    </row>
    <row r="36" ht="21" customHeight="1" spans="1:24">
      <c r="A36" s="65" t="s">
        <v>360</v>
      </c>
      <c r="B36" s="65"/>
      <c r="C36" s="66">
        <v>25</v>
      </c>
      <c r="D36" s="67">
        <v>27</v>
      </c>
      <c r="E36" s="67">
        <v>29</v>
      </c>
      <c r="F36" s="93">
        <v>31</v>
      </c>
      <c r="G36" s="67">
        <v>34</v>
      </c>
      <c r="H36" s="69">
        <v>37</v>
      </c>
      <c r="I36" s="67">
        <v>40</v>
      </c>
      <c r="J36" s="178">
        <v>44</v>
      </c>
      <c r="K36" s="378">
        <v>48</v>
      </c>
      <c r="L36" s="86" t="s">
        <v>361</v>
      </c>
      <c r="M36" s="205"/>
      <c r="N36" s="205"/>
      <c r="O36" s="205"/>
      <c r="P36" s="205"/>
      <c r="Q36" s="205"/>
      <c r="R36" s="205"/>
      <c r="S36" s="205"/>
      <c r="T36" s="205"/>
      <c r="U36" s="205"/>
      <c r="V36" s="205"/>
      <c r="W36" s="205"/>
      <c r="X36" s="276"/>
    </row>
    <row r="37" ht="21" customHeight="1" spans="1:24">
      <c r="A37" s="26" t="s">
        <v>362</v>
      </c>
      <c r="B37" s="319"/>
      <c r="C37" s="89">
        <v>25</v>
      </c>
      <c r="D37" s="90">
        <v>25</v>
      </c>
      <c r="E37" s="90">
        <v>25</v>
      </c>
      <c r="F37" s="91">
        <v>25</v>
      </c>
      <c r="G37" s="90">
        <v>25</v>
      </c>
      <c r="H37" s="92">
        <v>25</v>
      </c>
      <c r="I37" s="90">
        <v>25</v>
      </c>
      <c r="J37" s="206">
        <v>25</v>
      </c>
      <c r="K37" s="207">
        <v>25</v>
      </c>
      <c r="L37" s="86" t="s">
        <v>363</v>
      </c>
      <c r="M37" s="205"/>
      <c r="N37" s="205"/>
      <c r="O37" s="205"/>
      <c r="P37" s="205"/>
      <c r="Q37" s="205"/>
      <c r="R37" s="205"/>
      <c r="S37" s="205"/>
      <c r="T37" s="205"/>
      <c r="U37" s="205"/>
      <c r="V37" s="205"/>
      <c r="W37" s="205"/>
      <c r="X37" s="276"/>
    </row>
    <row r="38" ht="21" customHeight="1" spans="1:24">
      <c r="A38" s="65" t="s">
        <v>364</v>
      </c>
      <c r="B38" s="65"/>
      <c r="C38" s="66">
        <v>25</v>
      </c>
      <c r="D38" s="67">
        <v>26</v>
      </c>
      <c r="E38" s="67">
        <v>27</v>
      </c>
      <c r="F38" s="93">
        <v>28</v>
      </c>
      <c r="G38" s="67">
        <v>29</v>
      </c>
      <c r="H38" s="69">
        <v>30</v>
      </c>
      <c r="I38" s="67">
        <v>31</v>
      </c>
      <c r="J38" s="178">
        <v>32</v>
      </c>
      <c r="K38" s="378">
        <v>34</v>
      </c>
      <c r="L38" s="86" t="s">
        <v>365</v>
      </c>
      <c r="M38" s="205"/>
      <c r="N38" s="205"/>
      <c r="O38" s="205"/>
      <c r="P38" s="205"/>
      <c r="Q38" s="205"/>
      <c r="R38" s="205"/>
      <c r="S38" s="205"/>
      <c r="T38" s="205"/>
      <c r="U38" s="205"/>
      <c r="V38" s="205"/>
      <c r="W38" s="205"/>
      <c r="X38" s="276"/>
    </row>
    <row r="39" ht="21" customHeight="1" spans="1:24">
      <c r="A39" s="26" t="s">
        <v>366</v>
      </c>
      <c r="B39" s="319"/>
      <c r="C39" s="89">
        <v>15</v>
      </c>
      <c r="D39" s="90">
        <v>16</v>
      </c>
      <c r="E39" s="90">
        <v>17</v>
      </c>
      <c r="F39" s="91">
        <v>18</v>
      </c>
      <c r="G39" s="90">
        <v>20</v>
      </c>
      <c r="H39" s="92">
        <v>22</v>
      </c>
      <c r="I39" s="90">
        <v>25</v>
      </c>
      <c r="J39" s="206">
        <v>28</v>
      </c>
      <c r="K39" s="207">
        <v>32</v>
      </c>
      <c r="L39" s="86" t="s">
        <v>367</v>
      </c>
      <c r="M39" s="205"/>
      <c r="N39" s="205"/>
      <c r="O39" s="205"/>
      <c r="P39" s="205"/>
      <c r="Q39" s="205"/>
      <c r="R39" s="205"/>
      <c r="S39" s="205"/>
      <c r="T39" s="205"/>
      <c r="U39" s="205"/>
      <c r="V39" s="205"/>
      <c r="W39" s="205"/>
      <c r="X39" s="276"/>
    </row>
    <row r="40" ht="21" customHeight="1" spans="1:24">
      <c r="A40" s="65" t="s">
        <v>368</v>
      </c>
      <c r="B40" s="65"/>
      <c r="C40" s="66">
        <v>55</v>
      </c>
      <c r="D40" s="67">
        <v>61</v>
      </c>
      <c r="E40" s="67">
        <v>67</v>
      </c>
      <c r="F40" s="93">
        <v>73</v>
      </c>
      <c r="G40" s="67">
        <v>79</v>
      </c>
      <c r="H40" s="69">
        <v>85</v>
      </c>
      <c r="I40" s="67">
        <v>91</v>
      </c>
      <c r="J40" s="178">
        <v>97</v>
      </c>
      <c r="K40" s="378">
        <v>108</v>
      </c>
      <c r="L40" s="86" t="s">
        <v>369</v>
      </c>
      <c r="M40" s="205"/>
      <c r="N40" s="205"/>
      <c r="O40" s="205"/>
      <c r="P40" s="205"/>
      <c r="Q40" s="205"/>
      <c r="R40" s="205"/>
      <c r="S40" s="205"/>
      <c r="T40" s="205"/>
      <c r="U40" s="205"/>
      <c r="V40" s="205"/>
      <c r="W40" s="205"/>
      <c r="X40" s="276"/>
    </row>
    <row r="41" ht="21" customHeight="1" spans="1:24">
      <c r="A41" s="26" t="s">
        <v>370</v>
      </c>
      <c r="B41" s="319"/>
      <c r="C41" s="89">
        <v>35</v>
      </c>
      <c r="D41" s="90">
        <v>35</v>
      </c>
      <c r="E41" s="90">
        <v>35</v>
      </c>
      <c r="F41" s="91">
        <v>35</v>
      </c>
      <c r="G41" s="90">
        <v>35</v>
      </c>
      <c r="H41" s="92">
        <v>35</v>
      </c>
      <c r="I41" s="90">
        <v>35</v>
      </c>
      <c r="J41" s="206">
        <v>35</v>
      </c>
      <c r="K41" s="207">
        <v>35</v>
      </c>
      <c r="L41" s="86" t="s">
        <v>371</v>
      </c>
      <c r="M41" s="205"/>
      <c r="N41" s="205"/>
      <c r="O41" s="205"/>
      <c r="P41" s="205"/>
      <c r="Q41" s="205"/>
      <c r="R41" s="205"/>
      <c r="S41" s="205"/>
      <c r="T41" s="205"/>
      <c r="U41" s="205"/>
      <c r="V41" s="205"/>
      <c r="W41" s="205"/>
      <c r="X41" s="276"/>
    </row>
    <row r="42" ht="21" customHeight="1" spans="1:24">
      <c r="A42" s="83" t="s">
        <v>269</v>
      </c>
      <c r="B42" s="84"/>
      <c r="C42" s="84"/>
      <c r="D42" s="84"/>
      <c r="E42" s="84"/>
      <c r="F42" s="84"/>
      <c r="G42" s="84"/>
      <c r="H42" s="84"/>
      <c r="I42" s="84"/>
      <c r="J42" s="84"/>
      <c r="K42" s="84"/>
      <c r="L42" s="84"/>
      <c r="M42" s="84"/>
      <c r="N42" s="84"/>
      <c r="O42" s="84"/>
      <c r="P42" s="84"/>
      <c r="Q42" s="84"/>
      <c r="R42" s="84"/>
      <c r="S42" s="84"/>
      <c r="T42" s="84"/>
      <c r="U42" s="84"/>
      <c r="V42" s="84"/>
      <c r="W42" s="84"/>
      <c r="X42" s="270"/>
    </row>
    <row r="43" ht="21" customHeight="1" spans="1:24">
      <c r="A43" s="306" t="s">
        <v>372</v>
      </c>
      <c r="B43" s="25"/>
      <c r="C43" s="89">
        <v>26</v>
      </c>
      <c r="D43" s="90">
        <v>27</v>
      </c>
      <c r="E43" s="90">
        <v>28</v>
      </c>
      <c r="F43" s="91">
        <v>29</v>
      </c>
      <c r="G43" s="90">
        <v>30</v>
      </c>
      <c r="H43" s="92">
        <v>32</v>
      </c>
      <c r="I43" s="90">
        <v>33</v>
      </c>
      <c r="J43" s="206">
        <v>34</v>
      </c>
      <c r="K43" s="207">
        <v>36</v>
      </c>
      <c r="L43" s="86" t="s">
        <v>373</v>
      </c>
      <c r="M43" s="205"/>
      <c r="N43" s="205"/>
      <c r="O43" s="205"/>
      <c r="P43" s="205"/>
      <c r="Q43" s="205"/>
      <c r="R43" s="205"/>
      <c r="S43" s="205"/>
      <c r="T43" s="205"/>
      <c r="U43" s="205"/>
      <c r="V43" s="205"/>
      <c r="W43" s="205"/>
      <c r="X43" s="276"/>
    </row>
    <row r="44" ht="21" customHeight="1" spans="1:24">
      <c r="A44" s="1048" t="s">
        <v>374</v>
      </c>
      <c r="B44" s="65"/>
      <c r="C44" s="66">
        <v>26</v>
      </c>
      <c r="D44" s="67">
        <v>27</v>
      </c>
      <c r="E44" s="67">
        <v>28</v>
      </c>
      <c r="F44" s="93">
        <v>29</v>
      </c>
      <c r="G44" s="67">
        <v>30</v>
      </c>
      <c r="H44" s="69">
        <v>31</v>
      </c>
      <c r="I44" s="67">
        <v>32</v>
      </c>
      <c r="J44" s="178">
        <v>33</v>
      </c>
      <c r="K44" s="378">
        <v>35</v>
      </c>
      <c r="L44" s="86" t="s">
        <v>375</v>
      </c>
      <c r="M44" s="205"/>
      <c r="N44" s="205"/>
      <c r="O44" s="205"/>
      <c r="P44" s="205"/>
      <c r="Q44" s="205"/>
      <c r="R44" s="205"/>
      <c r="S44" s="205"/>
      <c r="T44" s="205"/>
      <c r="U44" s="205"/>
      <c r="V44" s="205"/>
      <c r="W44" s="205"/>
      <c r="X44" s="276"/>
    </row>
    <row r="45" ht="21" customHeight="1" spans="1:24">
      <c r="A45" s="1049" t="s">
        <v>376</v>
      </c>
      <c r="B45" s="122"/>
      <c r="C45" s="41">
        <v>15</v>
      </c>
      <c r="D45" s="42">
        <v>16</v>
      </c>
      <c r="E45" s="42">
        <v>17</v>
      </c>
      <c r="F45" s="43">
        <v>18</v>
      </c>
      <c r="G45" s="42">
        <v>21</v>
      </c>
      <c r="H45" s="44">
        <v>23</v>
      </c>
      <c r="I45" s="42">
        <v>26</v>
      </c>
      <c r="J45" s="163">
        <v>29</v>
      </c>
      <c r="K45" s="164">
        <v>33</v>
      </c>
      <c r="L45" s="176" t="s">
        <v>377</v>
      </c>
      <c r="M45" s="177"/>
      <c r="N45" s="177"/>
      <c r="O45" s="177"/>
      <c r="P45" s="177"/>
      <c r="Q45" s="177"/>
      <c r="R45" s="177"/>
      <c r="S45" s="177"/>
      <c r="T45" s="177"/>
      <c r="U45" s="177"/>
      <c r="V45" s="177"/>
      <c r="W45" s="177"/>
      <c r="X45" s="258"/>
    </row>
    <row r="46" ht="21" customHeight="1" spans="1:24">
      <c r="A46" s="1050" t="s">
        <v>378</v>
      </c>
      <c r="B46" s="1051"/>
      <c r="C46" s="1051"/>
      <c r="D46" s="1051"/>
      <c r="E46" s="1051"/>
      <c r="F46" s="1051"/>
      <c r="G46" s="1051"/>
      <c r="H46" s="1051"/>
      <c r="I46" s="1051"/>
      <c r="J46" s="1051"/>
      <c r="K46" s="1051"/>
      <c r="L46" s="1066"/>
      <c r="M46" s="1066"/>
      <c r="N46" s="1066"/>
      <c r="O46" s="1066"/>
      <c r="P46" s="1066"/>
      <c r="Q46" s="1066"/>
      <c r="R46" s="1066"/>
      <c r="S46" s="1066"/>
      <c r="T46" s="1066"/>
      <c r="U46" s="1066"/>
      <c r="V46" s="1066"/>
      <c r="W46" s="1066"/>
      <c r="X46" s="1072"/>
    </row>
    <row r="47" ht="21" customHeight="1" spans="1:24">
      <c r="A47" s="59" t="s">
        <v>342</v>
      </c>
      <c r="B47" s="60"/>
      <c r="C47" s="61">
        <v>0</v>
      </c>
      <c r="D47" s="62">
        <v>1</v>
      </c>
      <c r="E47" s="62">
        <v>2</v>
      </c>
      <c r="F47" s="63">
        <v>3</v>
      </c>
      <c r="G47" s="62">
        <v>4</v>
      </c>
      <c r="H47" s="64">
        <v>5</v>
      </c>
      <c r="I47" s="62">
        <v>6</v>
      </c>
      <c r="J47" s="174">
        <v>7</v>
      </c>
      <c r="K47" s="626">
        <v>8</v>
      </c>
      <c r="L47" s="176" t="s">
        <v>379</v>
      </c>
      <c r="M47" s="177"/>
      <c r="N47" s="177"/>
      <c r="O47" s="177"/>
      <c r="P47" s="177"/>
      <c r="Q47" s="177"/>
      <c r="R47" s="177"/>
      <c r="S47" s="177"/>
      <c r="T47" s="177"/>
      <c r="U47" s="177"/>
      <c r="V47" s="177"/>
      <c r="W47" s="177"/>
      <c r="X47" s="258"/>
    </row>
    <row r="48" ht="21" customHeight="1" spans="1:24">
      <c r="A48" s="123" t="s">
        <v>380</v>
      </c>
      <c r="B48" s="408"/>
      <c r="C48" s="41">
        <v>25</v>
      </c>
      <c r="D48" s="42">
        <v>27</v>
      </c>
      <c r="E48" s="42">
        <v>29</v>
      </c>
      <c r="F48" s="43">
        <v>31</v>
      </c>
      <c r="G48" s="42">
        <v>34</v>
      </c>
      <c r="H48" s="44">
        <v>37</v>
      </c>
      <c r="I48" s="42">
        <v>40</v>
      </c>
      <c r="J48" s="163">
        <v>44</v>
      </c>
      <c r="K48" s="575">
        <v>48</v>
      </c>
      <c r="L48" s="123" t="s">
        <v>381</v>
      </c>
      <c r="M48" s="333"/>
      <c r="N48" s="333"/>
      <c r="O48" s="333"/>
      <c r="P48" s="333"/>
      <c r="Q48" s="333"/>
      <c r="R48" s="333"/>
      <c r="S48" s="333"/>
      <c r="T48" s="333"/>
      <c r="U48" s="333"/>
      <c r="V48" s="333"/>
      <c r="W48" s="333"/>
      <c r="X48" s="408"/>
    </row>
    <row r="49" ht="21" customHeight="1" spans="1:24">
      <c r="A49" s="692" t="s">
        <v>382</v>
      </c>
      <c r="B49" s="694"/>
      <c r="C49" s="66">
        <v>15</v>
      </c>
      <c r="D49" s="67">
        <v>17</v>
      </c>
      <c r="E49" s="67">
        <v>19</v>
      </c>
      <c r="F49" s="93">
        <v>21</v>
      </c>
      <c r="G49" s="67">
        <v>24</v>
      </c>
      <c r="H49" s="69">
        <v>27</v>
      </c>
      <c r="I49" s="67">
        <v>30</v>
      </c>
      <c r="J49" s="178">
        <v>34</v>
      </c>
      <c r="K49" s="179">
        <v>38</v>
      </c>
      <c r="L49" s="26" t="s">
        <v>383</v>
      </c>
      <c r="M49" s="315"/>
      <c r="N49" s="315"/>
      <c r="O49" s="315"/>
      <c r="P49" s="315"/>
      <c r="Q49" s="315"/>
      <c r="R49" s="315"/>
      <c r="S49" s="315"/>
      <c r="T49" s="315"/>
      <c r="U49" s="315"/>
      <c r="V49" s="315"/>
      <c r="W49" s="315"/>
      <c r="X49" s="319"/>
    </row>
    <row r="50" ht="21" customHeight="1" spans="1:24">
      <c r="A50" s="25" t="s">
        <v>384</v>
      </c>
      <c r="B50" s="25"/>
      <c r="C50" s="89">
        <f t="shared" ref="C50:K50" si="7">C48*2</f>
        <v>50</v>
      </c>
      <c r="D50" s="90">
        <f t="shared" si="7"/>
        <v>54</v>
      </c>
      <c r="E50" s="90">
        <f t="shared" si="7"/>
        <v>58</v>
      </c>
      <c r="F50" s="91">
        <f t="shared" si="7"/>
        <v>62</v>
      </c>
      <c r="G50" s="90">
        <f t="shared" si="7"/>
        <v>68</v>
      </c>
      <c r="H50" s="92">
        <f t="shared" si="7"/>
        <v>74</v>
      </c>
      <c r="I50" s="90">
        <f t="shared" si="7"/>
        <v>80</v>
      </c>
      <c r="J50" s="206">
        <f t="shared" si="7"/>
        <v>88</v>
      </c>
      <c r="K50" s="658">
        <f t="shared" si="7"/>
        <v>96</v>
      </c>
      <c r="L50" s="26" t="s">
        <v>385</v>
      </c>
      <c r="M50" s="315"/>
      <c r="N50" s="315"/>
      <c r="O50" s="315"/>
      <c r="P50" s="315"/>
      <c r="Q50" s="315"/>
      <c r="R50" s="315"/>
      <c r="S50" s="315"/>
      <c r="T50" s="315"/>
      <c r="U50" s="315"/>
      <c r="V50" s="315"/>
      <c r="W50" s="315"/>
      <c r="X50" s="319"/>
    </row>
    <row r="51" ht="21" customHeight="1" spans="1:24">
      <c r="A51" s="692" t="s">
        <v>362</v>
      </c>
      <c r="B51" s="694"/>
      <c r="C51" s="66">
        <v>25</v>
      </c>
      <c r="D51" s="67">
        <v>25</v>
      </c>
      <c r="E51" s="67">
        <v>25</v>
      </c>
      <c r="F51" s="93">
        <v>25</v>
      </c>
      <c r="G51" s="67">
        <v>25</v>
      </c>
      <c r="H51" s="69">
        <v>25</v>
      </c>
      <c r="I51" s="67">
        <v>25</v>
      </c>
      <c r="J51" s="178">
        <v>25</v>
      </c>
      <c r="K51" s="179">
        <v>25</v>
      </c>
      <c r="L51" s="86" t="s">
        <v>386</v>
      </c>
      <c r="M51" s="205"/>
      <c r="N51" s="205"/>
      <c r="O51" s="205"/>
      <c r="P51" s="205"/>
      <c r="Q51" s="205"/>
      <c r="R51" s="205"/>
      <c r="S51" s="205"/>
      <c r="T51" s="205"/>
      <c r="U51" s="205"/>
      <c r="V51" s="205"/>
      <c r="W51" s="205"/>
      <c r="X51" s="276"/>
    </row>
    <row r="52" ht="21" customHeight="1" spans="1:24">
      <c r="A52" s="25" t="s">
        <v>387</v>
      </c>
      <c r="B52" s="25"/>
      <c r="C52" s="89">
        <f t="shared" ref="C52:K52" si="8">C38*4</f>
        <v>100</v>
      </c>
      <c r="D52" s="90">
        <f t="shared" si="8"/>
        <v>104</v>
      </c>
      <c r="E52" s="90">
        <f t="shared" si="8"/>
        <v>108</v>
      </c>
      <c r="F52" s="91">
        <f t="shared" si="8"/>
        <v>112</v>
      </c>
      <c r="G52" s="90">
        <f t="shared" si="8"/>
        <v>116</v>
      </c>
      <c r="H52" s="92">
        <f t="shared" si="8"/>
        <v>120</v>
      </c>
      <c r="I52" s="90">
        <f t="shared" si="8"/>
        <v>124</v>
      </c>
      <c r="J52" s="206">
        <f t="shared" si="8"/>
        <v>128</v>
      </c>
      <c r="K52" s="658">
        <f t="shared" si="8"/>
        <v>136</v>
      </c>
      <c r="L52" s="26" t="s">
        <v>388</v>
      </c>
      <c r="M52" s="315"/>
      <c r="N52" s="315"/>
      <c r="O52" s="315"/>
      <c r="P52" s="315"/>
      <c r="Q52" s="315"/>
      <c r="R52" s="315"/>
      <c r="S52" s="315"/>
      <c r="T52" s="315"/>
      <c r="U52" s="315"/>
      <c r="V52" s="315"/>
      <c r="W52" s="315"/>
      <c r="X52" s="319"/>
    </row>
    <row r="53" ht="21" customHeight="1" spans="1:24">
      <c r="A53" s="692" t="s">
        <v>389</v>
      </c>
      <c r="B53" s="694"/>
      <c r="C53" s="66">
        <f t="shared" ref="C53:K53" si="9">C38*3</f>
        <v>75</v>
      </c>
      <c r="D53" s="67">
        <f t="shared" si="9"/>
        <v>78</v>
      </c>
      <c r="E53" s="67">
        <f t="shared" si="9"/>
        <v>81</v>
      </c>
      <c r="F53" s="93">
        <f t="shared" si="9"/>
        <v>84</v>
      </c>
      <c r="G53" s="67">
        <f t="shared" si="9"/>
        <v>87</v>
      </c>
      <c r="H53" s="69">
        <f t="shared" si="9"/>
        <v>90</v>
      </c>
      <c r="I53" s="67">
        <f t="shared" si="9"/>
        <v>93</v>
      </c>
      <c r="J53" s="178">
        <f t="shared" si="9"/>
        <v>96</v>
      </c>
      <c r="K53" s="179">
        <f t="shared" si="9"/>
        <v>102</v>
      </c>
      <c r="L53" s="279" t="s">
        <v>390</v>
      </c>
      <c r="M53" s="1067"/>
      <c r="N53" s="1067"/>
      <c r="O53" s="1067"/>
      <c r="P53" s="1067"/>
      <c r="Q53" s="1067"/>
      <c r="R53" s="1067"/>
      <c r="S53" s="1067"/>
      <c r="T53" s="1067"/>
      <c r="U53" s="1067"/>
      <c r="V53" s="1067"/>
      <c r="W53" s="1067"/>
      <c r="X53" s="281"/>
    </row>
    <row r="54" ht="21" customHeight="1" spans="1:24">
      <c r="A54" s="25" t="s">
        <v>391</v>
      </c>
      <c r="B54" s="25"/>
      <c r="C54" s="89">
        <f t="shared" ref="C54:K54" si="10">C38*3</f>
        <v>75</v>
      </c>
      <c r="D54" s="90">
        <f t="shared" si="10"/>
        <v>78</v>
      </c>
      <c r="E54" s="90">
        <f t="shared" si="10"/>
        <v>81</v>
      </c>
      <c r="F54" s="91">
        <f t="shared" si="10"/>
        <v>84</v>
      </c>
      <c r="G54" s="90">
        <f t="shared" si="10"/>
        <v>87</v>
      </c>
      <c r="H54" s="92">
        <f t="shared" si="10"/>
        <v>90</v>
      </c>
      <c r="I54" s="90">
        <f t="shared" si="10"/>
        <v>93</v>
      </c>
      <c r="J54" s="206">
        <f t="shared" si="10"/>
        <v>96</v>
      </c>
      <c r="K54" s="658">
        <f t="shared" si="10"/>
        <v>102</v>
      </c>
      <c r="L54" s="86" t="s">
        <v>392</v>
      </c>
      <c r="M54" s="205"/>
      <c r="N54" s="205"/>
      <c r="O54" s="205"/>
      <c r="P54" s="205"/>
      <c r="Q54" s="205"/>
      <c r="R54" s="205"/>
      <c r="S54" s="205"/>
      <c r="T54" s="205"/>
      <c r="U54" s="205"/>
      <c r="V54" s="205"/>
      <c r="W54" s="205"/>
      <c r="X54" s="276"/>
    </row>
    <row r="55" ht="21" customHeight="1" spans="1:24">
      <c r="A55" s="692" t="s">
        <v>366</v>
      </c>
      <c r="B55" s="694"/>
      <c r="C55" s="66">
        <f t="shared" ref="C55:K55" si="11">C39*3</f>
        <v>45</v>
      </c>
      <c r="D55" s="67">
        <f t="shared" si="11"/>
        <v>48</v>
      </c>
      <c r="E55" s="67">
        <f t="shared" si="11"/>
        <v>51</v>
      </c>
      <c r="F55" s="93">
        <f t="shared" si="11"/>
        <v>54</v>
      </c>
      <c r="G55" s="67">
        <f t="shared" si="11"/>
        <v>60</v>
      </c>
      <c r="H55" s="69">
        <f t="shared" si="11"/>
        <v>66</v>
      </c>
      <c r="I55" s="67">
        <f t="shared" si="11"/>
        <v>75</v>
      </c>
      <c r="J55" s="178">
        <f t="shared" si="11"/>
        <v>84</v>
      </c>
      <c r="K55" s="179">
        <f t="shared" si="11"/>
        <v>96</v>
      </c>
      <c r="L55" s="279"/>
      <c r="M55" s="280"/>
      <c r="N55" s="280"/>
      <c r="O55" s="280"/>
      <c r="P55" s="280"/>
      <c r="Q55" s="280"/>
      <c r="R55" s="280"/>
      <c r="S55" s="280"/>
      <c r="T55" s="280"/>
      <c r="U55" s="280"/>
      <c r="V55" s="280"/>
      <c r="W55" s="280"/>
      <c r="X55" s="281"/>
    </row>
    <row r="56" ht="21" customHeight="1" spans="1:24">
      <c r="A56" s="25" t="s">
        <v>368</v>
      </c>
      <c r="B56" s="25"/>
      <c r="C56" s="89">
        <f t="shared" ref="C56:K56" si="12">C40*2</f>
        <v>110</v>
      </c>
      <c r="D56" s="90">
        <f t="shared" si="12"/>
        <v>122</v>
      </c>
      <c r="E56" s="90">
        <f t="shared" si="12"/>
        <v>134</v>
      </c>
      <c r="F56" s="91">
        <f t="shared" si="12"/>
        <v>146</v>
      </c>
      <c r="G56" s="90">
        <f t="shared" si="12"/>
        <v>158</v>
      </c>
      <c r="H56" s="92">
        <f t="shared" si="12"/>
        <v>170</v>
      </c>
      <c r="I56" s="90">
        <f t="shared" si="12"/>
        <v>182</v>
      </c>
      <c r="J56" s="206">
        <f t="shared" si="12"/>
        <v>194</v>
      </c>
      <c r="K56" s="658">
        <f t="shared" si="12"/>
        <v>216</v>
      </c>
      <c r="L56" s="86" t="s">
        <v>393</v>
      </c>
      <c r="M56" s="205"/>
      <c r="N56" s="205"/>
      <c r="O56" s="205"/>
      <c r="P56" s="205"/>
      <c r="Q56" s="205"/>
      <c r="R56" s="205"/>
      <c r="S56" s="205"/>
      <c r="T56" s="205"/>
      <c r="U56" s="205"/>
      <c r="V56" s="205"/>
      <c r="W56" s="205"/>
      <c r="X56" s="276"/>
    </row>
    <row r="57" ht="21" customHeight="1" spans="1:24">
      <c r="A57" s="692" t="s">
        <v>370</v>
      </c>
      <c r="B57" s="694"/>
      <c r="C57" s="66">
        <v>35</v>
      </c>
      <c r="D57" s="67">
        <v>35</v>
      </c>
      <c r="E57" s="67">
        <v>35</v>
      </c>
      <c r="F57" s="93">
        <v>35</v>
      </c>
      <c r="G57" s="67">
        <v>35</v>
      </c>
      <c r="H57" s="69">
        <v>35</v>
      </c>
      <c r="I57" s="67">
        <v>35</v>
      </c>
      <c r="J57" s="178">
        <v>35</v>
      </c>
      <c r="K57" s="378">
        <v>35</v>
      </c>
      <c r="L57" s="86" t="s">
        <v>394</v>
      </c>
      <c r="M57" s="205"/>
      <c r="N57" s="205"/>
      <c r="O57" s="205"/>
      <c r="P57" s="205"/>
      <c r="Q57" s="205"/>
      <c r="R57" s="205"/>
      <c r="S57" s="205"/>
      <c r="T57" s="205"/>
      <c r="U57" s="205"/>
      <c r="V57" s="205"/>
      <c r="W57" s="205"/>
      <c r="X57" s="276"/>
    </row>
    <row r="58" ht="21" customHeight="1" spans="1:24">
      <c r="A58" s="83" t="s">
        <v>395</v>
      </c>
      <c r="B58" s="84"/>
      <c r="C58" s="84"/>
      <c r="D58" s="84"/>
      <c r="E58" s="84"/>
      <c r="F58" s="84"/>
      <c r="G58" s="84"/>
      <c r="H58" s="84"/>
      <c r="I58" s="84"/>
      <c r="J58" s="84"/>
      <c r="K58" s="84"/>
      <c r="L58" s="84"/>
      <c r="M58" s="84"/>
      <c r="N58" s="84"/>
      <c r="O58" s="84"/>
      <c r="P58" s="84"/>
      <c r="Q58" s="84"/>
      <c r="R58" s="84"/>
      <c r="S58" s="84"/>
      <c r="T58" s="84"/>
      <c r="U58" s="84"/>
      <c r="V58" s="84"/>
      <c r="W58" s="84"/>
      <c r="X58" s="270"/>
    </row>
    <row r="59" ht="21" customHeight="1" spans="1:24">
      <c r="A59" s="306" t="s">
        <v>396</v>
      </c>
      <c r="B59" s="25"/>
      <c r="C59" s="41">
        <v>25</v>
      </c>
      <c r="D59" s="42">
        <v>27</v>
      </c>
      <c r="E59" s="42">
        <v>29</v>
      </c>
      <c r="F59" s="43">
        <v>31</v>
      </c>
      <c r="G59" s="42">
        <v>34</v>
      </c>
      <c r="H59" s="44">
        <v>37</v>
      </c>
      <c r="I59" s="42">
        <v>40</v>
      </c>
      <c r="J59" s="163">
        <v>44</v>
      </c>
      <c r="K59" s="575">
        <v>48</v>
      </c>
      <c r="L59" s="176" t="s">
        <v>397</v>
      </c>
      <c r="M59" s="177"/>
      <c r="N59" s="177"/>
      <c r="O59" s="177"/>
      <c r="P59" s="177"/>
      <c r="Q59" s="177"/>
      <c r="R59" s="177"/>
      <c r="S59" s="177"/>
      <c r="T59" s="177"/>
      <c r="U59" s="177"/>
      <c r="V59" s="177"/>
      <c r="W59" s="177"/>
      <c r="X59" s="258"/>
    </row>
    <row r="60" ht="21" customHeight="1" spans="1:24">
      <c r="A60" s="1048" t="s">
        <v>398</v>
      </c>
      <c r="B60" s="65"/>
      <c r="C60" s="66">
        <v>15</v>
      </c>
      <c r="D60" s="67">
        <v>17</v>
      </c>
      <c r="E60" s="67">
        <v>19</v>
      </c>
      <c r="F60" s="93">
        <v>21</v>
      </c>
      <c r="G60" s="67">
        <v>24</v>
      </c>
      <c r="H60" s="69">
        <v>27</v>
      </c>
      <c r="I60" s="67">
        <v>30</v>
      </c>
      <c r="J60" s="178">
        <v>34</v>
      </c>
      <c r="K60" s="179">
        <v>38</v>
      </c>
      <c r="L60" s="176" t="s">
        <v>399</v>
      </c>
      <c r="M60" s="177"/>
      <c r="N60" s="177"/>
      <c r="O60" s="177"/>
      <c r="P60" s="177"/>
      <c r="Q60" s="177"/>
      <c r="R60" s="177"/>
      <c r="S60" s="177"/>
      <c r="T60" s="177"/>
      <c r="U60" s="177"/>
      <c r="V60" s="177"/>
      <c r="W60" s="177"/>
      <c r="X60" s="258"/>
    </row>
    <row r="61" ht="21" customHeight="1" spans="1:24">
      <c r="A61" s="306" t="s">
        <v>400</v>
      </c>
      <c r="B61" s="25"/>
      <c r="C61" s="41">
        <f t="shared" ref="C61:K61" si="13">C48*3</f>
        <v>75</v>
      </c>
      <c r="D61" s="42">
        <f t="shared" si="13"/>
        <v>81</v>
      </c>
      <c r="E61" s="42">
        <f t="shared" si="13"/>
        <v>87</v>
      </c>
      <c r="F61" s="43">
        <f t="shared" si="13"/>
        <v>93</v>
      </c>
      <c r="G61" s="42">
        <f t="shared" si="13"/>
        <v>102</v>
      </c>
      <c r="H61" s="44">
        <f t="shared" si="13"/>
        <v>111</v>
      </c>
      <c r="I61" s="42">
        <f t="shared" si="13"/>
        <v>120</v>
      </c>
      <c r="J61" s="163">
        <f t="shared" si="13"/>
        <v>132</v>
      </c>
      <c r="K61" s="575">
        <f t="shared" si="13"/>
        <v>144</v>
      </c>
      <c r="L61" s="123" t="s">
        <v>401</v>
      </c>
      <c r="M61" s="333"/>
      <c r="N61" s="333"/>
      <c r="O61" s="333"/>
      <c r="P61" s="333"/>
      <c r="Q61" s="333"/>
      <c r="R61" s="333"/>
      <c r="S61" s="333"/>
      <c r="T61" s="333"/>
      <c r="U61" s="333"/>
      <c r="V61" s="333"/>
      <c r="W61" s="333"/>
      <c r="X61" s="408"/>
    </row>
    <row r="62" ht="21" customHeight="1" spans="1:24">
      <c r="A62" s="1048" t="s">
        <v>402</v>
      </c>
      <c r="B62" s="65"/>
      <c r="C62" s="66">
        <f t="shared" ref="C62:K62" si="14">C52</f>
        <v>100</v>
      </c>
      <c r="D62" s="67">
        <f t="shared" si="14"/>
        <v>104</v>
      </c>
      <c r="E62" s="67">
        <f t="shared" si="14"/>
        <v>108</v>
      </c>
      <c r="F62" s="93">
        <f t="shared" si="14"/>
        <v>112</v>
      </c>
      <c r="G62" s="67">
        <f t="shared" si="14"/>
        <v>116</v>
      </c>
      <c r="H62" s="69">
        <f t="shared" si="14"/>
        <v>120</v>
      </c>
      <c r="I62" s="67">
        <f t="shared" si="14"/>
        <v>124</v>
      </c>
      <c r="J62" s="178">
        <f t="shared" si="14"/>
        <v>128</v>
      </c>
      <c r="K62" s="179">
        <f t="shared" si="14"/>
        <v>136</v>
      </c>
      <c r="L62" s="26" t="s">
        <v>403</v>
      </c>
      <c r="M62" s="315"/>
      <c r="N62" s="315"/>
      <c r="O62" s="315"/>
      <c r="P62" s="315"/>
      <c r="Q62" s="315"/>
      <c r="R62" s="315"/>
      <c r="S62" s="315"/>
      <c r="T62" s="315"/>
      <c r="U62" s="315"/>
      <c r="V62" s="315"/>
      <c r="W62" s="315"/>
      <c r="X62" s="319"/>
    </row>
    <row r="63" ht="21" customHeight="1" spans="1:24">
      <c r="A63" s="306" t="s">
        <v>404</v>
      </c>
      <c r="B63" s="25"/>
      <c r="C63" s="89">
        <v>100</v>
      </c>
      <c r="D63" s="90">
        <v>104</v>
      </c>
      <c r="E63" s="90">
        <v>108</v>
      </c>
      <c r="F63" s="91">
        <v>112</v>
      </c>
      <c r="G63" s="90">
        <v>116</v>
      </c>
      <c r="H63" s="92">
        <v>120</v>
      </c>
      <c r="I63" s="90">
        <v>124</v>
      </c>
      <c r="J63" s="206">
        <v>128</v>
      </c>
      <c r="K63" s="658">
        <v>136</v>
      </c>
      <c r="L63" s="26" t="s">
        <v>405</v>
      </c>
      <c r="M63" s="315"/>
      <c r="N63" s="315"/>
      <c r="O63" s="315"/>
      <c r="P63" s="315"/>
      <c r="Q63" s="315"/>
      <c r="R63" s="315"/>
      <c r="S63" s="315"/>
      <c r="T63" s="315"/>
      <c r="U63" s="315"/>
      <c r="V63" s="315"/>
      <c r="W63" s="315"/>
      <c r="X63" s="319"/>
    </row>
    <row r="64" ht="21" customHeight="1" spans="1:24">
      <c r="A64" s="1048" t="s">
        <v>406</v>
      </c>
      <c r="B64" s="65"/>
      <c r="C64" s="66">
        <v>100</v>
      </c>
      <c r="D64" s="67">
        <v>104</v>
      </c>
      <c r="E64" s="67">
        <v>108</v>
      </c>
      <c r="F64" s="93">
        <v>112</v>
      </c>
      <c r="G64" s="67">
        <v>116</v>
      </c>
      <c r="H64" s="69">
        <v>120</v>
      </c>
      <c r="I64" s="67">
        <v>124</v>
      </c>
      <c r="J64" s="178">
        <v>128</v>
      </c>
      <c r="K64" s="179">
        <v>136</v>
      </c>
      <c r="L64" s="25" t="s">
        <v>407</v>
      </c>
      <c r="M64" s="25"/>
      <c r="N64" s="25"/>
      <c r="O64" s="25"/>
      <c r="P64" s="25"/>
      <c r="Q64" s="25"/>
      <c r="R64" s="25"/>
      <c r="S64" s="25"/>
      <c r="T64" s="25"/>
      <c r="U64" s="25"/>
      <c r="V64" s="25"/>
      <c r="W64" s="25"/>
      <c r="X64" s="25"/>
    </row>
    <row r="65" ht="21" customHeight="1" spans="1:24">
      <c r="A65" s="306" t="s">
        <v>408</v>
      </c>
      <c r="B65" s="25"/>
      <c r="C65" s="89">
        <f t="shared" ref="C65:K65" si="15">C39*4</f>
        <v>60</v>
      </c>
      <c r="D65" s="90">
        <f t="shared" si="15"/>
        <v>64</v>
      </c>
      <c r="E65" s="90">
        <f t="shared" si="15"/>
        <v>68</v>
      </c>
      <c r="F65" s="91">
        <f t="shared" si="15"/>
        <v>72</v>
      </c>
      <c r="G65" s="90">
        <f t="shared" si="15"/>
        <v>80</v>
      </c>
      <c r="H65" s="92">
        <f t="shared" si="15"/>
        <v>88</v>
      </c>
      <c r="I65" s="90">
        <f t="shared" si="15"/>
        <v>100</v>
      </c>
      <c r="J65" s="206">
        <f t="shared" si="15"/>
        <v>112</v>
      </c>
      <c r="K65" s="658">
        <f t="shared" si="15"/>
        <v>128</v>
      </c>
      <c r="L65" s="25"/>
      <c r="M65" s="25"/>
      <c r="N65" s="25"/>
      <c r="O65" s="25"/>
      <c r="P65" s="25"/>
      <c r="Q65" s="25"/>
      <c r="R65" s="25"/>
      <c r="S65" s="25"/>
      <c r="T65" s="25"/>
      <c r="U65" s="25"/>
      <c r="V65" s="25"/>
      <c r="W65" s="25"/>
      <c r="X65" s="25"/>
    </row>
    <row r="66" ht="21" customHeight="1" spans="1:24">
      <c r="A66" s="1048" t="s">
        <v>409</v>
      </c>
      <c r="B66" s="65"/>
      <c r="C66" s="66">
        <f t="shared" ref="C66:K66" si="16">C40*3</f>
        <v>165</v>
      </c>
      <c r="D66" s="67">
        <f t="shared" si="16"/>
        <v>183</v>
      </c>
      <c r="E66" s="67">
        <f t="shared" si="16"/>
        <v>201</v>
      </c>
      <c r="F66" s="93">
        <f t="shared" si="16"/>
        <v>219</v>
      </c>
      <c r="G66" s="67">
        <f t="shared" si="16"/>
        <v>237</v>
      </c>
      <c r="H66" s="69">
        <f t="shared" si="16"/>
        <v>255</v>
      </c>
      <c r="I66" s="67">
        <f t="shared" si="16"/>
        <v>273</v>
      </c>
      <c r="J66" s="178">
        <f t="shared" si="16"/>
        <v>291</v>
      </c>
      <c r="K66" s="179">
        <f t="shared" si="16"/>
        <v>324</v>
      </c>
      <c r="L66" s="283" t="s">
        <v>410</v>
      </c>
      <c r="M66" s="284"/>
      <c r="N66" s="284"/>
      <c r="O66" s="284"/>
      <c r="P66" s="284"/>
      <c r="Q66" s="284"/>
      <c r="R66" s="284"/>
      <c r="S66" s="284"/>
      <c r="T66" s="284"/>
      <c r="U66" s="284"/>
      <c r="V66" s="284"/>
      <c r="W66" s="284"/>
      <c r="X66" s="285"/>
    </row>
    <row r="67" ht="21" customHeight="1" spans="1:24">
      <c r="A67" s="306" t="s">
        <v>411</v>
      </c>
      <c r="B67" s="25"/>
      <c r="C67" s="41">
        <v>35</v>
      </c>
      <c r="D67" s="42">
        <v>35</v>
      </c>
      <c r="E67" s="42">
        <v>35</v>
      </c>
      <c r="F67" s="43">
        <v>35</v>
      </c>
      <c r="G67" s="42">
        <v>35</v>
      </c>
      <c r="H67" s="44">
        <v>35</v>
      </c>
      <c r="I67" s="42">
        <v>35</v>
      </c>
      <c r="J67" s="163">
        <v>35</v>
      </c>
      <c r="K67" s="164">
        <v>35</v>
      </c>
      <c r="L67" s="25" t="s">
        <v>412</v>
      </c>
      <c r="M67" s="25"/>
      <c r="N67" s="25"/>
      <c r="O67" s="25"/>
      <c r="P67" s="25"/>
      <c r="Q67" s="25"/>
      <c r="R67" s="25"/>
      <c r="S67" s="25"/>
      <c r="T67" s="25"/>
      <c r="U67" s="25"/>
      <c r="V67" s="25"/>
      <c r="W67" s="25"/>
      <c r="X67" s="25"/>
    </row>
    <row r="68" ht="21" customHeight="1" spans="1:24">
      <c r="A68" s="83" t="s">
        <v>413</v>
      </c>
      <c r="B68" s="84"/>
      <c r="C68" s="84"/>
      <c r="D68" s="84"/>
      <c r="E68" s="84"/>
      <c r="F68" s="84"/>
      <c r="G68" s="84"/>
      <c r="H68" s="84"/>
      <c r="I68" s="84"/>
      <c r="J68" s="84"/>
      <c r="K68" s="84"/>
      <c r="L68" s="84"/>
      <c r="M68" s="84"/>
      <c r="N68" s="84"/>
      <c r="O68" s="84"/>
      <c r="P68" s="84"/>
      <c r="Q68" s="84"/>
      <c r="R68" s="84"/>
      <c r="S68" s="84"/>
      <c r="T68" s="84"/>
      <c r="U68" s="84"/>
      <c r="V68" s="84"/>
      <c r="W68" s="84"/>
      <c r="X68" s="270"/>
    </row>
    <row r="69" ht="21" customHeight="1" spans="1:24">
      <c r="A69" s="306" t="s">
        <v>414</v>
      </c>
      <c r="B69" s="25"/>
      <c r="C69" s="89">
        <v>50</v>
      </c>
      <c r="D69" s="90">
        <v>54</v>
      </c>
      <c r="E69" s="90">
        <v>58</v>
      </c>
      <c r="F69" s="91">
        <v>62</v>
      </c>
      <c r="G69" s="90">
        <v>68</v>
      </c>
      <c r="H69" s="92">
        <v>74</v>
      </c>
      <c r="I69" s="90">
        <v>80</v>
      </c>
      <c r="J69" s="206">
        <v>88</v>
      </c>
      <c r="K69" s="658">
        <v>96</v>
      </c>
      <c r="L69" s="86" t="s">
        <v>415</v>
      </c>
      <c r="M69" s="205"/>
      <c r="N69" s="205"/>
      <c r="O69" s="205"/>
      <c r="P69" s="205"/>
      <c r="Q69" s="205"/>
      <c r="R69" s="205"/>
      <c r="S69" s="205"/>
      <c r="T69" s="205"/>
      <c r="U69" s="205"/>
      <c r="V69" s="205"/>
      <c r="W69" s="205"/>
      <c r="X69" s="276"/>
    </row>
    <row r="70" ht="21" customHeight="1" spans="1:24">
      <c r="A70" s="1048" t="s">
        <v>416</v>
      </c>
      <c r="B70" s="65"/>
      <c r="C70" s="66">
        <f t="shared" ref="C70:K70" si="17">C60*2</f>
        <v>30</v>
      </c>
      <c r="D70" s="67">
        <f t="shared" si="17"/>
        <v>34</v>
      </c>
      <c r="E70" s="67">
        <f t="shared" si="17"/>
        <v>38</v>
      </c>
      <c r="F70" s="93">
        <f t="shared" si="17"/>
        <v>42</v>
      </c>
      <c r="G70" s="67">
        <f t="shared" si="17"/>
        <v>48</v>
      </c>
      <c r="H70" s="69">
        <f t="shared" si="17"/>
        <v>54</v>
      </c>
      <c r="I70" s="67">
        <f t="shared" si="17"/>
        <v>60</v>
      </c>
      <c r="J70" s="178">
        <f t="shared" si="17"/>
        <v>68</v>
      </c>
      <c r="K70" s="179">
        <f t="shared" si="17"/>
        <v>76</v>
      </c>
      <c r="L70" s="86" t="s">
        <v>417</v>
      </c>
      <c r="M70" s="205"/>
      <c r="N70" s="205"/>
      <c r="O70" s="205"/>
      <c r="P70" s="205"/>
      <c r="Q70" s="205"/>
      <c r="R70" s="205"/>
      <c r="S70" s="205"/>
      <c r="T70" s="205"/>
      <c r="U70" s="205"/>
      <c r="V70" s="205"/>
      <c r="W70" s="205"/>
      <c r="X70" s="276"/>
    </row>
    <row r="71" ht="21" customHeight="1" spans="1:24">
      <c r="A71" s="306" t="s">
        <v>418</v>
      </c>
      <c r="B71" s="25"/>
      <c r="C71" s="41">
        <v>75</v>
      </c>
      <c r="D71" s="42">
        <v>81</v>
      </c>
      <c r="E71" s="42">
        <v>87</v>
      </c>
      <c r="F71" s="43">
        <v>93</v>
      </c>
      <c r="G71" s="42">
        <v>102</v>
      </c>
      <c r="H71" s="44">
        <v>111</v>
      </c>
      <c r="I71" s="42">
        <v>120</v>
      </c>
      <c r="J71" s="163">
        <v>132</v>
      </c>
      <c r="K71" s="575">
        <v>144</v>
      </c>
      <c r="L71" s="123" t="s">
        <v>419</v>
      </c>
      <c r="M71" s="333"/>
      <c r="N71" s="333"/>
      <c r="O71" s="333"/>
      <c r="P71" s="333"/>
      <c r="Q71" s="333"/>
      <c r="R71" s="333"/>
      <c r="S71" s="333"/>
      <c r="T71" s="333"/>
      <c r="U71" s="333"/>
      <c r="V71" s="333"/>
      <c r="W71" s="333"/>
      <c r="X71" s="408"/>
    </row>
    <row r="72" ht="21" customHeight="1" spans="1:24">
      <c r="A72" s="1048" t="s">
        <v>420</v>
      </c>
      <c r="B72" s="65"/>
      <c r="C72" s="66">
        <f t="shared" ref="C72:K72" si="18">C38*6</f>
        <v>150</v>
      </c>
      <c r="D72" s="67">
        <f t="shared" si="18"/>
        <v>156</v>
      </c>
      <c r="E72" s="67">
        <f t="shared" si="18"/>
        <v>162</v>
      </c>
      <c r="F72" s="93">
        <f t="shared" si="18"/>
        <v>168</v>
      </c>
      <c r="G72" s="67">
        <f t="shared" si="18"/>
        <v>174</v>
      </c>
      <c r="H72" s="69">
        <f t="shared" si="18"/>
        <v>180</v>
      </c>
      <c r="I72" s="67">
        <f t="shared" si="18"/>
        <v>186</v>
      </c>
      <c r="J72" s="178">
        <f t="shared" si="18"/>
        <v>192</v>
      </c>
      <c r="K72" s="179">
        <f t="shared" si="18"/>
        <v>204</v>
      </c>
      <c r="L72" s="123" t="s">
        <v>421</v>
      </c>
      <c r="M72" s="333"/>
      <c r="N72" s="333"/>
      <c r="O72" s="333"/>
      <c r="P72" s="333"/>
      <c r="Q72" s="333"/>
      <c r="R72" s="333"/>
      <c r="S72" s="333"/>
      <c r="T72" s="333"/>
      <c r="U72" s="333"/>
      <c r="V72" s="333"/>
      <c r="W72" s="333"/>
      <c r="X72" s="408"/>
    </row>
    <row r="73" ht="21" customHeight="1" spans="1:24">
      <c r="A73" s="306" t="s">
        <v>422</v>
      </c>
      <c r="B73" s="25"/>
      <c r="C73" s="41">
        <f t="shared" ref="C73:K73" si="19">C43*5</f>
        <v>130</v>
      </c>
      <c r="D73" s="42">
        <f t="shared" si="19"/>
        <v>135</v>
      </c>
      <c r="E73" s="42">
        <f t="shared" si="19"/>
        <v>140</v>
      </c>
      <c r="F73" s="43">
        <f t="shared" si="19"/>
        <v>145</v>
      </c>
      <c r="G73" s="42">
        <f t="shared" si="19"/>
        <v>150</v>
      </c>
      <c r="H73" s="44">
        <f t="shared" si="19"/>
        <v>160</v>
      </c>
      <c r="I73" s="42">
        <f t="shared" si="19"/>
        <v>165</v>
      </c>
      <c r="J73" s="163">
        <f t="shared" si="19"/>
        <v>170</v>
      </c>
      <c r="K73" s="575">
        <f t="shared" si="19"/>
        <v>180</v>
      </c>
      <c r="L73" s="123" t="s">
        <v>423</v>
      </c>
      <c r="M73" s="333"/>
      <c r="N73" s="333"/>
      <c r="O73" s="333"/>
      <c r="P73" s="333"/>
      <c r="Q73" s="333"/>
      <c r="R73" s="333"/>
      <c r="S73" s="333"/>
      <c r="T73" s="333"/>
      <c r="U73" s="333"/>
      <c r="V73" s="333"/>
      <c r="W73" s="333"/>
      <c r="X73" s="408"/>
    </row>
    <row r="74" ht="21" customHeight="1" spans="1:24">
      <c r="A74" s="1048" t="s">
        <v>374</v>
      </c>
      <c r="B74" s="65"/>
      <c r="C74" s="66">
        <f t="shared" ref="C74:K74" si="20">C44*5</f>
        <v>130</v>
      </c>
      <c r="D74" s="67">
        <f t="shared" si="20"/>
        <v>135</v>
      </c>
      <c r="E74" s="67">
        <f t="shared" si="20"/>
        <v>140</v>
      </c>
      <c r="F74" s="93">
        <f t="shared" si="20"/>
        <v>145</v>
      </c>
      <c r="G74" s="67">
        <f t="shared" si="20"/>
        <v>150</v>
      </c>
      <c r="H74" s="69">
        <f t="shared" si="20"/>
        <v>155</v>
      </c>
      <c r="I74" s="67">
        <f t="shared" si="20"/>
        <v>160</v>
      </c>
      <c r="J74" s="178">
        <f t="shared" si="20"/>
        <v>165</v>
      </c>
      <c r="K74" s="179">
        <f t="shared" si="20"/>
        <v>175</v>
      </c>
      <c r="L74" s="122" t="s">
        <v>407</v>
      </c>
      <c r="M74" s="122"/>
      <c r="N74" s="122"/>
      <c r="O74" s="122"/>
      <c r="P74" s="122"/>
      <c r="Q74" s="122"/>
      <c r="R74" s="122"/>
      <c r="S74" s="122"/>
      <c r="T74" s="122"/>
      <c r="U74" s="122"/>
      <c r="V74" s="122"/>
      <c r="W74" s="122"/>
      <c r="X74" s="122"/>
    </row>
    <row r="75" ht="21" customHeight="1" spans="1:24">
      <c r="A75" s="306" t="s">
        <v>376</v>
      </c>
      <c r="B75" s="25"/>
      <c r="C75" s="89">
        <f t="shared" ref="C75:K75" si="21">C45*5</f>
        <v>75</v>
      </c>
      <c r="D75" s="90">
        <f t="shared" si="21"/>
        <v>80</v>
      </c>
      <c r="E75" s="90">
        <f t="shared" si="21"/>
        <v>85</v>
      </c>
      <c r="F75" s="91">
        <f t="shared" si="21"/>
        <v>90</v>
      </c>
      <c r="G75" s="90">
        <f t="shared" si="21"/>
        <v>105</v>
      </c>
      <c r="H75" s="92">
        <f t="shared" si="21"/>
        <v>115</v>
      </c>
      <c r="I75" s="90">
        <f t="shared" si="21"/>
        <v>130</v>
      </c>
      <c r="J75" s="206">
        <f t="shared" si="21"/>
        <v>145</v>
      </c>
      <c r="K75" s="658">
        <f t="shared" si="21"/>
        <v>165</v>
      </c>
      <c r="L75" s="122"/>
      <c r="M75" s="122"/>
      <c r="N75" s="122"/>
      <c r="O75" s="122"/>
      <c r="P75" s="122"/>
      <c r="Q75" s="122"/>
      <c r="R75" s="122"/>
      <c r="S75" s="122"/>
      <c r="T75" s="122"/>
      <c r="U75" s="122"/>
      <c r="V75" s="122"/>
      <c r="W75" s="122"/>
      <c r="X75" s="122"/>
    </row>
    <row r="76" ht="21" customHeight="1" spans="1:24">
      <c r="A76" s="1048" t="s">
        <v>424</v>
      </c>
      <c r="B76" s="65"/>
      <c r="C76" s="66">
        <v>165</v>
      </c>
      <c r="D76" s="67">
        <v>183</v>
      </c>
      <c r="E76" s="67">
        <v>201</v>
      </c>
      <c r="F76" s="93">
        <v>219</v>
      </c>
      <c r="G76" s="67">
        <v>237</v>
      </c>
      <c r="H76" s="69">
        <v>255</v>
      </c>
      <c r="I76" s="67">
        <v>273</v>
      </c>
      <c r="J76" s="178">
        <v>291</v>
      </c>
      <c r="K76" s="179">
        <v>324</v>
      </c>
      <c r="L76" s="283" t="s">
        <v>425</v>
      </c>
      <c r="M76" s="284"/>
      <c r="N76" s="284"/>
      <c r="O76" s="284"/>
      <c r="P76" s="284"/>
      <c r="Q76" s="284"/>
      <c r="R76" s="284"/>
      <c r="S76" s="284"/>
      <c r="T76" s="284"/>
      <c r="U76" s="284"/>
      <c r="V76" s="284"/>
      <c r="W76" s="284"/>
      <c r="X76" s="285"/>
    </row>
    <row r="77" ht="21" customHeight="1" spans="1:24">
      <c r="A77" s="306" t="s">
        <v>426</v>
      </c>
      <c r="B77" s="25"/>
      <c r="C77" s="41">
        <v>70</v>
      </c>
      <c r="D77" s="42">
        <v>70</v>
      </c>
      <c r="E77" s="42">
        <v>70</v>
      </c>
      <c r="F77" s="43">
        <v>70</v>
      </c>
      <c r="G77" s="42">
        <v>70</v>
      </c>
      <c r="H77" s="44">
        <v>70</v>
      </c>
      <c r="I77" s="42">
        <v>70</v>
      </c>
      <c r="J77" s="163">
        <v>70</v>
      </c>
      <c r="K77" s="164">
        <v>70</v>
      </c>
      <c r="L77" s="25" t="s">
        <v>427</v>
      </c>
      <c r="M77" s="25"/>
      <c r="N77" s="25"/>
      <c r="O77" s="25"/>
      <c r="P77" s="25"/>
      <c r="Q77" s="25"/>
      <c r="R77" s="25"/>
      <c r="S77" s="25"/>
      <c r="T77" s="25"/>
      <c r="U77" s="25"/>
      <c r="V77" s="25"/>
      <c r="W77" s="25"/>
      <c r="X77" s="25"/>
    </row>
    <row r="78" ht="21" customHeight="1" spans="1:24">
      <c r="A78" s="45"/>
      <c r="B78" s="46"/>
      <c r="C78" s="46"/>
      <c r="D78" s="46"/>
      <c r="E78" s="46"/>
      <c r="F78" s="46"/>
      <c r="G78" s="46"/>
      <c r="H78" s="46"/>
      <c r="I78" s="46"/>
      <c r="J78" s="46"/>
      <c r="K78" s="46"/>
      <c r="L78" s="106"/>
      <c r="M78" s="106"/>
      <c r="N78" s="106"/>
      <c r="O78" s="106"/>
      <c r="P78" s="106"/>
      <c r="Q78" s="106"/>
      <c r="R78" s="106"/>
      <c r="S78" s="106"/>
      <c r="T78" s="106"/>
      <c r="U78" s="106"/>
      <c r="V78" s="106"/>
      <c r="W78" s="106"/>
      <c r="X78" s="286"/>
    </row>
    <row r="79" ht="44" customHeight="1" spans="1:24">
      <c r="A79" s="14" t="str">
        <f>_xlfn.DISPIMG("ID_F4D931B311854F94B9B829E2FD60CEE1",1)</f>
        <v>=DISPIMG("ID_F4D931B311854F94B9B829E2FD60CEE1",1)</v>
      </c>
      <c r="B79" s="15" t="str">
        <f>_xlfn.DISPIMG("ID_0E92740E49A0432AB48F4DE400879C43",1)</f>
        <v>=DISPIMG("ID_0E92740E49A0432AB48F4DE400879C43",1)</v>
      </c>
      <c r="C79" s="15" t="str">
        <f>_xlfn.DISPIMG("ID_14B894B4A8104BDB9A75204388B693E0",1)</f>
        <v>=DISPIMG("ID_14B894B4A8104BDB9A75204388B693E0",1)</v>
      </c>
      <c r="D79" s="15" t="str">
        <f>_xlfn.DISPIMG("ID_C53BF9D549E04A108BBDE17CBBF2BC2F",1)</f>
        <v>=DISPIMG("ID_C53BF9D549E04A108BBDE17CBBF2BC2F",1)</v>
      </c>
      <c r="E79" s="15"/>
      <c r="F79" s="16" t="str">
        <f>_xlfn.DISPIMG("ID_EB8851E86AB14E4799834F5F572C8E9C",1)</f>
        <v>=DISPIMG("ID_EB8851E86AB14E4799834F5F572C8E9C",1)</v>
      </c>
      <c r="G79" s="500" t="s">
        <v>428</v>
      </c>
      <c r="H79" s="501"/>
      <c r="I79" s="501"/>
      <c r="J79" s="501"/>
      <c r="K79" s="501"/>
      <c r="L79" s="501"/>
      <c r="M79" s="501"/>
      <c r="N79" s="501"/>
      <c r="O79" s="1110"/>
      <c r="P79" s="181" t="s">
        <v>429</v>
      </c>
      <c r="Q79" s="1135"/>
      <c r="R79" s="1135"/>
      <c r="S79" s="1135"/>
      <c r="T79" s="1135"/>
      <c r="U79" s="1135"/>
      <c r="V79" s="1135"/>
      <c r="W79" s="1135"/>
      <c r="X79" s="1136"/>
    </row>
    <row r="80" ht="21" customHeight="1" spans="1:24">
      <c r="A80" s="714"/>
      <c r="B80" s="715"/>
      <c r="C80" s="715"/>
      <c r="D80" s="715"/>
      <c r="E80" s="715"/>
      <c r="F80" s="715"/>
      <c r="G80" s="715"/>
      <c r="H80" s="715"/>
      <c r="I80" s="715"/>
      <c r="J80" s="715"/>
      <c r="K80" s="715"/>
      <c r="L80" s="715"/>
      <c r="M80" s="715"/>
      <c r="N80" s="715"/>
      <c r="O80" s="715"/>
      <c r="P80" s="715"/>
      <c r="Q80" s="715"/>
      <c r="R80" s="715"/>
      <c r="S80" s="715"/>
      <c r="T80" s="715"/>
      <c r="U80" s="715"/>
      <c r="V80" s="715"/>
      <c r="W80" s="715"/>
      <c r="X80" s="749"/>
    </row>
    <row r="81" ht="21" customHeight="1" spans="1:24">
      <c r="A81" s="21" t="s">
        <v>339</v>
      </c>
      <c r="B81" s="22"/>
      <c r="C81" s="23">
        <v>0</v>
      </c>
      <c r="D81" s="24">
        <v>1</v>
      </c>
      <c r="E81" s="24">
        <v>2</v>
      </c>
      <c r="F81" s="24">
        <v>3</v>
      </c>
      <c r="G81" s="24">
        <v>4</v>
      </c>
      <c r="H81" s="24">
        <v>5</v>
      </c>
      <c r="I81" s="24">
        <v>6</v>
      </c>
      <c r="J81" s="24">
        <v>7</v>
      </c>
      <c r="K81" s="135">
        <v>8</v>
      </c>
      <c r="L81" s="136">
        <v>9</v>
      </c>
      <c r="M81" s="137"/>
      <c r="N81" s="138"/>
      <c r="O81" s="139">
        <v>10</v>
      </c>
      <c r="P81" s="140">
        <v>11</v>
      </c>
      <c r="Q81" s="236">
        <v>12</v>
      </c>
      <c r="R81" s="236"/>
      <c r="S81" s="236"/>
      <c r="T81" s="139">
        <v>13</v>
      </c>
      <c r="U81" s="237">
        <v>14</v>
      </c>
      <c r="V81" s="140">
        <v>15</v>
      </c>
      <c r="W81" s="137">
        <v>16</v>
      </c>
      <c r="X81" s="138"/>
    </row>
    <row r="82" ht="21" customHeight="1" spans="1:24">
      <c r="A82" s="73" t="s">
        <v>430</v>
      </c>
      <c r="B82" s="74"/>
      <c r="C82" s="321">
        <f t="shared" ref="C82:K82" si="22">25-C81</f>
        <v>25</v>
      </c>
      <c r="D82" s="322">
        <f t="shared" si="22"/>
        <v>24</v>
      </c>
      <c r="E82" s="322">
        <f t="shared" si="22"/>
        <v>23</v>
      </c>
      <c r="F82" s="322">
        <f t="shared" si="22"/>
        <v>22</v>
      </c>
      <c r="G82" s="322">
        <f t="shared" si="22"/>
        <v>21</v>
      </c>
      <c r="H82" s="322">
        <f t="shared" si="22"/>
        <v>20</v>
      </c>
      <c r="I82" s="322">
        <f t="shared" si="22"/>
        <v>19</v>
      </c>
      <c r="J82" s="322">
        <f t="shared" si="22"/>
        <v>18</v>
      </c>
      <c r="K82" s="361">
        <f t="shared" si="22"/>
        <v>17</v>
      </c>
      <c r="L82" s="362"/>
      <c r="M82" s="385">
        <v>16</v>
      </c>
      <c r="N82" s="160"/>
      <c r="O82" s="386">
        <f t="shared" ref="O82:R82" si="23">25-O81</f>
        <v>15</v>
      </c>
      <c r="P82" s="387">
        <f t="shared" si="23"/>
        <v>14</v>
      </c>
      <c r="Q82" s="160"/>
      <c r="R82" s="420">
        <f t="shared" si="23"/>
        <v>25</v>
      </c>
      <c r="S82" s="160"/>
      <c r="T82" s="386">
        <f t="shared" ref="T82:V82" si="24">25-T81</f>
        <v>12</v>
      </c>
      <c r="U82" s="421">
        <f t="shared" si="24"/>
        <v>11</v>
      </c>
      <c r="V82" s="387">
        <f t="shared" si="24"/>
        <v>10</v>
      </c>
      <c r="W82" s="249"/>
      <c r="X82" s="422">
        <v>8</v>
      </c>
    </row>
    <row r="83" ht="21" customHeight="1" spans="1:24">
      <c r="A83" s="25" t="s">
        <v>431</v>
      </c>
      <c r="B83" s="26"/>
      <c r="C83" s="336">
        <v>25</v>
      </c>
      <c r="D83" s="337">
        <v>24</v>
      </c>
      <c r="E83" s="337">
        <v>23</v>
      </c>
      <c r="F83" s="337">
        <v>22</v>
      </c>
      <c r="G83" s="337">
        <v>21</v>
      </c>
      <c r="H83" s="337">
        <v>20</v>
      </c>
      <c r="I83" s="337">
        <v>19</v>
      </c>
      <c r="J83" s="337">
        <v>18</v>
      </c>
      <c r="K83" s="379">
        <v>17</v>
      </c>
      <c r="L83" s="380"/>
      <c r="M83" s="218">
        <v>16</v>
      </c>
      <c r="N83" s="367"/>
      <c r="O83" s="203">
        <v>15</v>
      </c>
      <c r="P83" s="204">
        <v>14</v>
      </c>
      <c r="Q83" s="367"/>
      <c r="R83" s="272">
        <v>13</v>
      </c>
      <c r="S83" s="367"/>
      <c r="T83" s="203">
        <v>12</v>
      </c>
      <c r="U83" s="273">
        <v>11</v>
      </c>
      <c r="V83" s="204">
        <v>10</v>
      </c>
      <c r="W83" s="403"/>
      <c r="X83" s="275">
        <v>9</v>
      </c>
    </row>
    <row r="84" ht="21" customHeight="1" spans="1:24">
      <c r="A84" s="73" t="s">
        <v>432</v>
      </c>
      <c r="B84" s="74"/>
      <c r="C84" s="321">
        <v>25</v>
      </c>
      <c r="D84" s="322">
        <v>24</v>
      </c>
      <c r="E84" s="322">
        <v>23</v>
      </c>
      <c r="F84" s="322">
        <v>22</v>
      </c>
      <c r="G84" s="322">
        <v>21</v>
      </c>
      <c r="H84" s="322">
        <v>20</v>
      </c>
      <c r="I84" s="322">
        <v>19</v>
      </c>
      <c r="J84" s="322">
        <v>18</v>
      </c>
      <c r="K84" s="361">
        <v>17</v>
      </c>
      <c r="L84" s="196"/>
      <c r="M84" s="197">
        <v>16</v>
      </c>
      <c r="N84" s="198"/>
      <c r="O84" s="161">
        <v>15</v>
      </c>
      <c r="P84" s="162">
        <v>14</v>
      </c>
      <c r="Q84" s="198"/>
      <c r="R84" s="247">
        <v>13</v>
      </c>
      <c r="S84" s="198"/>
      <c r="T84" s="161">
        <v>12</v>
      </c>
      <c r="U84" s="248">
        <v>11</v>
      </c>
      <c r="V84" s="162">
        <v>10</v>
      </c>
      <c r="W84" s="271"/>
      <c r="X84" s="250">
        <v>9</v>
      </c>
    </row>
    <row r="85" ht="21" customHeight="1" spans="1:24">
      <c r="A85" s="122" t="s">
        <v>433</v>
      </c>
      <c r="B85" s="123"/>
      <c r="C85" s="336">
        <v>27</v>
      </c>
      <c r="D85" s="337">
        <v>26</v>
      </c>
      <c r="E85" s="337">
        <v>25</v>
      </c>
      <c r="F85" s="337">
        <v>24</v>
      </c>
      <c r="G85" s="337">
        <v>23</v>
      </c>
      <c r="H85" s="337">
        <v>22</v>
      </c>
      <c r="I85" s="337">
        <v>21</v>
      </c>
      <c r="J85" s="337">
        <v>20</v>
      </c>
      <c r="K85" s="379">
        <v>19</v>
      </c>
      <c r="L85" s="380"/>
      <c r="M85" s="218">
        <v>18</v>
      </c>
      <c r="N85" s="367"/>
      <c r="O85" s="203">
        <v>17</v>
      </c>
      <c r="P85" s="204">
        <v>16</v>
      </c>
      <c r="Q85" s="367"/>
      <c r="R85" s="272">
        <v>15</v>
      </c>
      <c r="S85" s="367"/>
      <c r="T85" s="203">
        <v>14</v>
      </c>
      <c r="U85" s="273">
        <v>13</v>
      </c>
      <c r="V85" s="204">
        <v>12</v>
      </c>
      <c r="W85" s="403"/>
      <c r="X85" s="275">
        <v>11</v>
      </c>
    </row>
    <row r="86" ht="21" customHeight="1" spans="1:24">
      <c r="A86" s="73" t="s">
        <v>434</v>
      </c>
      <c r="B86" s="74"/>
      <c r="C86" s="75">
        <v>20</v>
      </c>
      <c r="D86" s="76">
        <v>20</v>
      </c>
      <c r="E86" s="76">
        <v>20</v>
      </c>
      <c r="F86" s="76">
        <v>20</v>
      </c>
      <c r="G86" s="76">
        <v>20</v>
      </c>
      <c r="H86" s="76">
        <v>20</v>
      </c>
      <c r="I86" s="76">
        <v>20</v>
      </c>
      <c r="J86" s="76">
        <v>20</v>
      </c>
      <c r="K86" s="182">
        <v>20</v>
      </c>
      <c r="L86" s="196"/>
      <c r="M86" s="197">
        <v>20</v>
      </c>
      <c r="N86" s="198"/>
      <c r="O86" s="161">
        <v>20</v>
      </c>
      <c r="P86" s="162">
        <v>20</v>
      </c>
      <c r="Q86" s="198"/>
      <c r="R86" s="247">
        <v>20</v>
      </c>
      <c r="S86" s="198"/>
      <c r="T86" s="161">
        <v>20</v>
      </c>
      <c r="U86" s="248">
        <v>20</v>
      </c>
      <c r="V86" s="162">
        <v>20</v>
      </c>
      <c r="W86" s="271"/>
      <c r="X86" s="250">
        <v>20</v>
      </c>
    </row>
    <row r="87" ht="21" customHeight="1" spans="1:24">
      <c r="A87" s="59" t="s">
        <v>340</v>
      </c>
      <c r="B87" s="60"/>
      <c r="C87" s="61">
        <v>0</v>
      </c>
      <c r="D87" s="62">
        <v>1</v>
      </c>
      <c r="E87" s="62">
        <v>2</v>
      </c>
      <c r="F87" s="63">
        <v>3</v>
      </c>
      <c r="G87" s="62">
        <v>4</v>
      </c>
      <c r="H87" s="64">
        <v>5</v>
      </c>
      <c r="I87" s="62">
        <v>6</v>
      </c>
      <c r="J87" s="174">
        <v>7</v>
      </c>
      <c r="K87" s="175">
        <v>8</v>
      </c>
      <c r="L87" s="86" t="s">
        <v>435</v>
      </c>
      <c r="M87" s="205"/>
      <c r="N87" s="205"/>
      <c r="O87" s="205"/>
      <c r="P87" s="205"/>
      <c r="Q87" s="205"/>
      <c r="R87" s="205"/>
      <c r="S87" s="205"/>
      <c r="T87" s="205"/>
      <c r="U87" s="205"/>
      <c r="V87" s="205"/>
      <c r="W87" s="205"/>
      <c r="X87" s="276"/>
    </row>
    <row r="88" ht="21" customHeight="1" spans="1:24">
      <c r="A88" s="65" t="s">
        <v>430</v>
      </c>
      <c r="B88" s="692"/>
      <c r="C88" s="66">
        <v>25</v>
      </c>
      <c r="D88" s="67">
        <v>27</v>
      </c>
      <c r="E88" s="67">
        <v>29</v>
      </c>
      <c r="F88" s="93">
        <v>31</v>
      </c>
      <c r="G88" s="67">
        <v>34</v>
      </c>
      <c r="H88" s="69">
        <v>37</v>
      </c>
      <c r="I88" s="67">
        <v>41</v>
      </c>
      <c r="J88" s="178">
        <v>45</v>
      </c>
      <c r="K88" s="378">
        <v>49</v>
      </c>
      <c r="L88" s="86" t="s">
        <v>436</v>
      </c>
      <c r="M88" s="205"/>
      <c r="N88" s="205"/>
      <c r="O88" s="205"/>
      <c r="P88" s="205"/>
      <c r="Q88" s="205"/>
      <c r="R88" s="205"/>
      <c r="S88" s="205"/>
      <c r="T88" s="205"/>
      <c r="U88" s="205"/>
      <c r="V88" s="205"/>
      <c r="W88" s="205"/>
      <c r="X88" s="276"/>
    </row>
    <row r="89" ht="21" customHeight="1" spans="1:24">
      <c r="A89" s="25" t="s">
        <v>431</v>
      </c>
      <c r="B89" s="26"/>
      <c r="C89" s="89">
        <v>25</v>
      </c>
      <c r="D89" s="90">
        <v>27</v>
      </c>
      <c r="E89" s="90">
        <v>29</v>
      </c>
      <c r="F89" s="91">
        <v>31</v>
      </c>
      <c r="G89" s="90">
        <v>33</v>
      </c>
      <c r="H89" s="92">
        <v>37</v>
      </c>
      <c r="I89" s="90">
        <v>41</v>
      </c>
      <c r="J89" s="206">
        <v>45</v>
      </c>
      <c r="K89" s="207">
        <v>49</v>
      </c>
      <c r="L89" s="86" t="s">
        <v>437</v>
      </c>
      <c r="M89" s="205"/>
      <c r="N89" s="205"/>
      <c r="O89" s="205"/>
      <c r="P89" s="205"/>
      <c r="Q89" s="205"/>
      <c r="R89" s="205"/>
      <c r="S89" s="205"/>
      <c r="T89" s="205"/>
      <c r="U89" s="205"/>
      <c r="V89" s="205"/>
      <c r="W89" s="205"/>
      <c r="X89" s="276"/>
    </row>
    <row r="90" ht="21" customHeight="1" spans="1:24">
      <c r="A90" s="65" t="s">
        <v>432</v>
      </c>
      <c r="B90" s="692"/>
      <c r="C90" s="66">
        <f t="shared" ref="C90:K90" si="25">C89+3</f>
        <v>28</v>
      </c>
      <c r="D90" s="67">
        <f t="shared" si="25"/>
        <v>30</v>
      </c>
      <c r="E90" s="67">
        <f t="shared" si="25"/>
        <v>32</v>
      </c>
      <c r="F90" s="93">
        <f t="shared" si="25"/>
        <v>34</v>
      </c>
      <c r="G90" s="67">
        <f t="shared" si="25"/>
        <v>36</v>
      </c>
      <c r="H90" s="69">
        <f t="shared" si="25"/>
        <v>40</v>
      </c>
      <c r="I90" s="67">
        <f t="shared" si="25"/>
        <v>44</v>
      </c>
      <c r="J90" s="178">
        <f t="shared" si="25"/>
        <v>48</v>
      </c>
      <c r="K90" s="179">
        <f t="shared" si="25"/>
        <v>52</v>
      </c>
      <c r="L90" s="86" t="s">
        <v>438</v>
      </c>
      <c r="M90" s="205"/>
      <c r="N90" s="205"/>
      <c r="O90" s="205"/>
      <c r="P90" s="205"/>
      <c r="Q90" s="205"/>
      <c r="R90" s="205"/>
      <c r="S90" s="205"/>
      <c r="T90" s="205"/>
      <c r="U90" s="205"/>
      <c r="V90" s="205"/>
      <c r="W90" s="205"/>
      <c r="X90" s="276"/>
    </row>
    <row r="91" ht="21" customHeight="1" spans="1:24">
      <c r="A91" s="176" t="s">
        <v>433</v>
      </c>
      <c r="B91" s="177"/>
      <c r="C91" s="1073">
        <v>5</v>
      </c>
      <c r="D91" s="595">
        <v>7</v>
      </c>
      <c r="E91" s="595">
        <v>9</v>
      </c>
      <c r="F91" s="596">
        <v>11</v>
      </c>
      <c r="G91" s="595">
        <v>13</v>
      </c>
      <c r="H91" s="597">
        <v>15</v>
      </c>
      <c r="I91" s="595">
        <v>17</v>
      </c>
      <c r="J91" s="629">
        <v>20</v>
      </c>
      <c r="K91" s="1111">
        <v>25</v>
      </c>
      <c r="L91" s="86" t="s">
        <v>439</v>
      </c>
      <c r="M91" s="205"/>
      <c r="N91" s="205"/>
      <c r="O91" s="205"/>
      <c r="P91" s="205"/>
      <c r="Q91" s="205"/>
      <c r="R91" s="205"/>
      <c r="S91" s="205"/>
      <c r="T91" s="205"/>
      <c r="U91" s="205"/>
      <c r="V91" s="205"/>
      <c r="W91" s="205"/>
      <c r="X91" s="276"/>
    </row>
    <row r="92" ht="21" customHeight="1" spans="1:24">
      <c r="A92" s="617" t="s">
        <v>434</v>
      </c>
      <c r="B92" s="952"/>
      <c r="C92" s="618">
        <v>25</v>
      </c>
      <c r="D92" s="619">
        <v>25</v>
      </c>
      <c r="E92" s="619">
        <v>25</v>
      </c>
      <c r="F92" s="620">
        <v>25</v>
      </c>
      <c r="G92" s="619">
        <v>25</v>
      </c>
      <c r="H92" s="621">
        <v>25</v>
      </c>
      <c r="I92" s="619">
        <v>25</v>
      </c>
      <c r="J92" s="659">
        <v>25</v>
      </c>
      <c r="K92" s="687">
        <v>25</v>
      </c>
      <c r="L92" s="86"/>
      <c r="M92" s="686" t="s">
        <v>440</v>
      </c>
      <c r="N92" s="833"/>
      <c r="O92" s="833"/>
      <c r="P92" s="833"/>
      <c r="Q92" s="833"/>
      <c r="R92" s="833"/>
      <c r="S92" s="833"/>
      <c r="T92" s="833"/>
      <c r="U92" s="833"/>
      <c r="V92" s="833"/>
      <c r="W92" s="833"/>
      <c r="X92" s="846"/>
    </row>
    <row r="93" ht="21" customHeight="1" spans="1:24">
      <c r="A93" s="123" t="s">
        <v>441</v>
      </c>
      <c r="B93" s="333"/>
      <c r="C93" s="87">
        <v>200</v>
      </c>
      <c r="D93" s="88">
        <v>200</v>
      </c>
      <c r="E93" s="88">
        <v>200</v>
      </c>
      <c r="F93" s="88">
        <v>300</v>
      </c>
      <c r="G93" s="88">
        <v>300</v>
      </c>
      <c r="H93" s="88">
        <v>300</v>
      </c>
      <c r="I93" s="88">
        <v>400</v>
      </c>
      <c r="J93" s="88">
        <v>400</v>
      </c>
      <c r="K93" s="199">
        <v>400</v>
      </c>
      <c r="L93" s="624"/>
      <c r="M93" s="201">
        <v>500</v>
      </c>
      <c r="N93" s="625"/>
      <c r="O93" s="203">
        <v>500</v>
      </c>
      <c r="P93" s="204">
        <v>500</v>
      </c>
      <c r="Q93" s="625"/>
      <c r="R93" s="272">
        <v>600</v>
      </c>
      <c r="S93" s="625"/>
      <c r="T93" s="203">
        <v>650</v>
      </c>
      <c r="U93" s="273">
        <v>700</v>
      </c>
      <c r="V93" s="204">
        <v>800</v>
      </c>
      <c r="W93" s="661"/>
      <c r="X93" s="275">
        <v>900</v>
      </c>
    </row>
    <row r="94" ht="21" customHeight="1" spans="1:24">
      <c r="A94" s="74" t="s">
        <v>442</v>
      </c>
      <c r="B94" s="482"/>
      <c r="C94" s="75">
        <v>200</v>
      </c>
      <c r="D94" s="76">
        <v>250</v>
      </c>
      <c r="E94" s="76">
        <v>300</v>
      </c>
      <c r="F94" s="76">
        <v>350</v>
      </c>
      <c r="G94" s="76">
        <v>400</v>
      </c>
      <c r="H94" s="76">
        <v>450</v>
      </c>
      <c r="I94" s="76">
        <v>500</v>
      </c>
      <c r="J94" s="76">
        <v>550</v>
      </c>
      <c r="K94" s="182">
        <v>600</v>
      </c>
      <c r="L94" s="524"/>
      <c r="M94" s="197">
        <v>650</v>
      </c>
      <c r="N94" s="525"/>
      <c r="O94" s="161">
        <v>700</v>
      </c>
      <c r="P94" s="162">
        <v>750</v>
      </c>
      <c r="Q94" s="525"/>
      <c r="R94" s="247">
        <v>800</v>
      </c>
      <c r="S94" s="525"/>
      <c r="T94" s="161">
        <v>900</v>
      </c>
      <c r="U94" s="248">
        <v>1000</v>
      </c>
      <c r="V94" s="162">
        <v>1200</v>
      </c>
      <c r="W94" s="546"/>
      <c r="X94" s="250">
        <v>1500</v>
      </c>
    </row>
    <row r="95" ht="21" customHeight="1" spans="1:24">
      <c r="A95" s="551" t="s">
        <v>443</v>
      </c>
      <c r="B95" s="552"/>
      <c r="C95" s="552"/>
      <c r="D95" s="552"/>
      <c r="E95" s="552"/>
      <c r="F95" s="552"/>
      <c r="G95" s="552"/>
      <c r="H95" s="552"/>
      <c r="I95" s="552"/>
      <c r="J95" s="552"/>
      <c r="K95" s="552"/>
      <c r="L95" s="552"/>
      <c r="M95" s="552"/>
      <c r="N95" s="552"/>
      <c r="O95" s="552"/>
      <c r="P95" s="552"/>
      <c r="Q95" s="552"/>
      <c r="R95" s="552"/>
      <c r="S95" s="552"/>
      <c r="T95" s="552"/>
      <c r="U95" s="552"/>
      <c r="V95" s="552"/>
      <c r="W95" s="552"/>
      <c r="X95" s="580"/>
    </row>
    <row r="96" ht="21" customHeight="1" spans="1:24">
      <c r="A96" s="1074" t="s">
        <v>444</v>
      </c>
      <c r="B96" s="1075"/>
      <c r="C96" s="1075"/>
      <c r="D96" s="1075"/>
      <c r="E96" s="1075"/>
      <c r="F96" s="1075"/>
      <c r="G96" s="1075"/>
      <c r="H96" s="1075"/>
      <c r="I96" s="1075"/>
      <c r="J96" s="1075"/>
      <c r="K96" s="1075"/>
      <c r="L96" s="1075"/>
      <c r="M96" s="1075"/>
      <c r="N96" s="1075"/>
      <c r="O96" s="1075"/>
      <c r="P96" s="1075"/>
      <c r="Q96" s="1075"/>
      <c r="R96" s="1075"/>
      <c r="S96" s="1075"/>
      <c r="T96" s="1075"/>
      <c r="U96" s="1075"/>
      <c r="V96" s="1075"/>
      <c r="W96" s="1075"/>
      <c r="X96" s="1137"/>
    </row>
    <row r="97" ht="21" customHeight="1" spans="1:24">
      <c r="A97" s="1076"/>
      <c r="B97" s="1077"/>
      <c r="C97" s="1077"/>
      <c r="D97" s="1077"/>
      <c r="E97" s="1077"/>
      <c r="F97" s="1077"/>
      <c r="G97" s="1077"/>
      <c r="H97" s="1077"/>
      <c r="I97" s="1077"/>
      <c r="J97" s="1077"/>
      <c r="K97" s="1077"/>
      <c r="L97" s="1077"/>
      <c r="M97" s="1077"/>
      <c r="N97" s="1077"/>
      <c r="O97" s="1077"/>
      <c r="P97" s="1077"/>
      <c r="Q97" s="1077"/>
      <c r="R97" s="1077"/>
      <c r="S97" s="1077"/>
      <c r="T97" s="1077"/>
      <c r="U97" s="1077"/>
      <c r="V97" s="1077"/>
      <c r="W97" s="1077"/>
      <c r="X97" s="1138"/>
    </row>
    <row r="98" ht="21" customHeight="1" spans="1:24">
      <c r="A98" s="1078"/>
      <c r="B98" s="1079"/>
      <c r="C98" s="1079"/>
      <c r="D98" s="1079"/>
      <c r="E98" s="1079"/>
      <c r="F98" s="1079"/>
      <c r="G98" s="1079"/>
      <c r="H98" s="1079"/>
      <c r="I98" s="1079"/>
      <c r="J98" s="1079"/>
      <c r="K98" s="1079"/>
      <c r="L98" s="1079"/>
      <c r="M98" s="1079"/>
      <c r="N98" s="1079"/>
      <c r="O98" s="1079"/>
      <c r="P98" s="1079"/>
      <c r="Q98" s="1079"/>
      <c r="R98" s="1079"/>
      <c r="S98" s="1079"/>
      <c r="T98" s="1079"/>
      <c r="U98" s="1079"/>
      <c r="V98" s="1079"/>
      <c r="W98" s="1079"/>
      <c r="X98" s="1139"/>
    </row>
    <row r="99" ht="21" customHeight="1" spans="1:24">
      <c r="A99" s="105"/>
      <c r="B99" s="106"/>
      <c r="C99" s="106"/>
      <c r="D99" s="106"/>
      <c r="E99" s="106"/>
      <c r="F99" s="106"/>
      <c r="G99" s="106"/>
      <c r="H99" s="106"/>
      <c r="I99" s="106"/>
      <c r="J99" s="106"/>
      <c r="K99" s="106"/>
      <c r="L99" s="106"/>
      <c r="M99" s="106"/>
      <c r="N99" s="106"/>
      <c r="O99" s="106"/>
      <c r="P99" s="106"/>
      <c r="Q99" s="106"/>
      <c r="R99" s="106"/>
      <c r="S99" s="106"/>
      <c r="T99" s="106"/>
      <c r="U99" s="106"/>
      <c r="V99" s="106"/>
      <c r="W99" s="106"/>
      <c r="X99" s="286"/>
    </row>
    <row r="100" ht="44" customHeight="1" spans="1:24">
      <c r="A100" s="14"/>
      <c r="B100" s="15" t="str">
        <f>_xlfn.DISPIMG("ID_1C1A22EFC2E14C99B33B95F0DF783FDD",1)</f>
        <v>=DISPIMG("ID_1C1A22EFC2E14C99B33B95F0DF783FDD",1)</v>
      </c>
      <c r="C100" s="15" t="str">
        <f>_xlfn.DISPIMG("ID_ABD5906352174791BCAFC9AC6B0292EE",1)</f>
        <v>=DISPIMG("ID_ABD5906352174791BCAFC9AC6B0292EE",1)</v>
      </c>
      <c r="D100" s="15"/>
      <c r="E100" s="15" t="str">
        <f>_xlfn.DISPIMG("ID_046E83E4724D43C0BEE58B24779CAD7A",1)</f>
        <v>=DISPIMG("ID_046E83E4724D43C0BEE58B24779CAD7A",1)</v>
      </c>
      <c r="F100" s="16"/>
      <c r="G100" s="340" t="s">
        <v>445</v>
      </c>
      <c r="H100" s="341"/>
      <c r="I100" s="341"/>
      <c r="J100" s="341"/>
      <c r="K100" s="341"/>
      <c r="L100" s="341"/>
      <c r="M100" s="341"/>
      <c r="N100" s="341"/>
      <c r="O100" s="384"/>
      <c r="P100" s="181" t="s">
        <v>446</v>
      </c>
      <c r="Q100" s="1135"/>
      <c r="R100" s="1135"/>
      <c r="S100" s="1135"/>
      <c r="T100" s="1135"/>
      <c r="U100" s="1135"/>
      <c r="V100" s="1135"/>
      <c r="W100" s="1135"/>
      <c r="X100" s="1136"/>
    </row>
    <row r="101" ht="21" customHeight="1" spans="1:24">
      <c r="A101" s="714"/>
      <c r="B101" s="715"/>
      <c r="C101" s="715"/>
      <c r="D101" s="715"/>
      <c r="E101" s="715"/>
      <c r="F101" s="715"/>
      <c r="G101" s="715"/>
      <c r="H101" s="715"/>
      <c r="I101" s="715"/>
      <c r="J101" s="715"/>
      <c r="K101" s="715"/>
      <c r="L101" s="715"/>
      <c r="M101" s="715"/>
      <c r="N101" s="715"/>
      <c r="O101" s="715"/>
      <c r="P101" s="715"/>
      <c r="Q101" s="715"/>
      <c r="R101" s="715"/>
      <c r="S101" s="715"/>
      <c r="T101" s="715"/>
      <c r="U101" s="715"/>
      <c r="V101" s="715"/>
      <c r="W101" s="715"/>
      <c r="X101" s="749"/>
    </row>
    <row r="102" ht="21" customHeight="1" spans="1:24">
      <c r="A102" s="21" t="s">
        <v>447</v>
      </c>
      <c r="B102" s="22"/>
      <c r="C102" s="23">
        <v>0</v>
      </c>
      <c r="D102" s="24">
        <v>1</v>
      </c>
      <c r="E102" s="24">
        <v>2</v>
      </c>
      <c r="F102" s="24">
        <v>3</v>
      </c>
      <c r="G102" s="24">
        <v>4</v>
      </c>
      <c r="H102" s="24">
        <v>5</v>
      </c>
      <c r="I102" s="24">
        <v>6</v>
      </c>
      <c r="J102" s="24">
        <v>7</v>
      </c>
      <c r="K102" s="135">
        <v>8</v>
      </c>
      <c r="L102" s="136">
        <v>9</v>
      </c>
      <c r="M102" s="137"/>
      <c r="N102" s="138"/>
      <c r="O102" s="139">
        <v>10</v>
      </c>
      <c r="P102" s="140">
        <v>11</v>
      </c>
      <c r="Q102" s="236">
        <v>12</v>
      </c>
      <c r="R102" s="236"/>
      <c r="S102" s="236"/>
      <c r="T102" s="139">
        <v>13</v>
      </c>
      <c r="U102" s="237">
        <v>14</v>
      </c>
      <c r="V102" s="140">
        <v>15</v>
      </c>
      <c r="W102" s="137">
        <v>16</v>
      </c>
      <c r="X102" s="138"/>
    </row>
    <row r="103" ht="21" customHeight="1" spans="1:24">
      <c r="A103" s="73" t="s">
        <v>448</v>
      </c>
      <c r="B103" s="74"/>
      <c r="C103" s="1080">
        <v>0.05</v>
      </c>
      <c r="D103" s="1081">
        <v>0.06</v>
      </c>
      <c r="E103" s="1081">
        <v>0.07</v>
      </c>
      <c r="F103" s="1081">
        <v>0.08</v>
      </c>
      <c r="G103" s="1081">
        <v>0.09</v>
      </c>
      <c r="H103" s="1081">
        <v>0.1</v>
      </c>
      <c r="I103" s="1081">
        <v>0.11</v>
      </c>
      <c r="J103" s="1081">
        <v>0.12</v>
      </c>
      <c r="K103" s="1112">
        <v>0.13</v>
      </c>
      <c r="L103" s="1113"/>
      <c r="M103" s="1114">
        <v>0.15</v>
      </c>
      <c r="N103" s="1115"/>
      <c r="O103" s="1116">
        <v>0.17</v>
      </c>
      <c r="P103" s="1117">
        <v>0.19</v>
      </c>
      <c r="Q103" s="1115"/>
      <c r="R103" s="1140">
        <v>0.22</v>
      </c>
      <c r="S103" s="1115"/>
      <c r="T103" s="1116">
        <v>0.25</v>
      </c>
      <c r="U103" s="1141">
        <v>0.28</v>
      </c>
      <c r="V103" s="1117">
        <v>0.31</v>
      </c>
      <c r="W103" s="1142"/>
      <c r="X103" s="1143">
        <v>0.35</v>
      </c>
    </row>
    <row r="104" ht="21" customHeight="1" spans="1:24">
      <c r="A104" s="25" t="s">
        <v>449</v>
      </c>
      <c r="B104" s="26"/>
      <c r="C104" s="1082">
        <v>0.1</v>
      </c>
      <c r="D104" s="1083">
        <v>0.11</v>
      </c>
      <c r="E104" s="1083">
        <v>0.12</v>
      </c>
      <c r="F104" s="1083">
        <v>0.13</v>
      </c>
      <c r="G104" s="1083">
        <v>0.14</v>
      </c>
      <c r="H104" s="1083">
        <v>0.15</v>
      </c>
      <c r="I104" s="1083">
        <v>0.16</v>
      </c>
      <c r="J104" s="1083">
        <v>0.17</v>
      </c>
      <c r="K104" s="1118">
        <v>0.18</v>
      </c>
      <c r="L104" s="1119"/>
      <c r="M104" s="1120">
        <v>0.2</v>
      </c>
      <c r="N104" s="1121"/>
      <c r="O104" s="1122">
        <v>0.25</v>
      </c>
      <c r="P104" s="1123">
        <v>0.3</v>
      </c>
      <c r="Q104" s="1121"/>
      <c r="R104" s="1144">
        <v>0.4</v>
      </c>
      <c r="S104" s="1121"/>
      <c r="T104" s="1122">
        <v>0.5</v>
      </c>
      <c r="U104" s="1145">
        <v>0.6</v>
      </c>
      <c r="V104" s="1123">
        <v>0.7</v>
      </c>
      <c r="W104" s="1146"/>
      <c r="X104" s="1147">
        <v>0.8</v>
      </c>
    </row>
    <row r="105" ht="21" customHeight="1" spans="1:24">
      <c r="A105" s="73" t="s">
        <v>370</v>
      </c>
      <c r="B105" s="74"/>
      <c r="C105" s="1080">
        <v>0.12</v>
      </c>
      <c r="D105" s="1081">
        <v>0.13</v>
      </c>
      <c r="E105" s="1081">
        <v>0.14</v>
      </c>
      <c r="F105" s="1081">
        <v>0.15</v>
      </c>
      <c r="G105" s="1081">
        <v>0.16</v>
      </c>
      <c r="H105" s="1081">
        <v>0.17</v>
      </c>
      <c r="I105" s="1081">
        <v>0.18</v>
      </c>
      <c r="J105" s="1081">
        <v>0.19</v>
      </c>
      <c r="K105" s="1112">
        <v>0.2</v>
      </c>
      <c r="L105" s="1113"/>
      <c r="M105" s="1114">
        <v>0.25</v>
      </c>
      <c r="N105" s="1115"/>
      <c r="O105" s="1116">
        <v>0.3</v>
      </c>
      <c r="P105" s="1117">
        <v>0.35</v>
      </c>
      <c r="Q105" s="1115"/>
      <c r="R105" s="1140">
        <v>0.45</v>
      </c>
      <c r="S105" s="1115"/>
      <c r="T105" s="1116">
        <v>0.55</v>
      </c>
      <c r="U105" s="1141">
        <v>0.65</v>
      </c>
      <c r="V105" s="1117">
        <v>0.75</v>
      </c>
      <c r="W105" s="1142"/>
      <c r="X105" s="1143">
        <v>0.85</v>
      </c>
    </row>
    <row r="106" ht="21" customHeight="1" spans="1:24">
      <c r="A106" s="59" t="s">
        <v>288</v>
      </c>
      <c r="B106" s="60"/>
      <c r="C106" s="61">
        <v>0</v>
      </c>
      <c r="D106" s="62">
        <v>1</v>
      </c>
      <c r="E106" s="62">
        <v>2</v>
      </c>
      <c r="F106" s="63">
        <v>3</v>
      </c>
      <c r="G106" s="62">
        <v>4</v>
      </c>
      <c r="H106" s="64">
        <v>5</v>
      </c>
      <c r="I106" s="62">
        <v>6</v>
      </c>
      <c r="J106" s="174">
        <v>7</v>
      </c>
      <c r="K106" s="175">
        <v>8</v>
      </c>
      <c r="L106" s="86" t="s">
        <v>450</v>
      </c>
      <c r="M106" s="205"/>
      <c r="N106" s="205"/>
      <c r="O106" s="205"/>
      <c r="P106" s="205"/>
      <c r="Q106" s="205"/>
      <c r="R106" s="205"/>
      <c r="S106" s="205"/>
      <c r="T106" s="205"/>
      <c r="U106" s="205"/>
      <c r="V106" s="205"/>
      <c r="W106" s="205"/>
      <c r="X106" s="276"/>
    </row>
    <row r="107" ht="21" customHeight="1" spans="1:24">
      <c r="A107" s="122" t="s">
        <v>448</v>
      </c>
      <c r="B107" s="123"/>
      <c r="C107" s="41">
        <v>90</v>
      </c>
      <c r="D107" s="42">
        <v>90</v>
      </c>
      <c r="E107" s="42">
        <v>90</v>
      </c>
      <c r="F107" s="43">
        <v>90</v>
      </c>
      <c r="G107" s="42">
        <v>90</v>
      </c>
      <c r="H107" s="44">
        <v>90</v>
      </c>
      <c r="I107" s="42">
        <v>90</v>
      </c>
      <c r="J107" s="163">
        <v>90</v>
      </c>
      <c r="K107" s="164">
        <v>90</v>
      </c>
      <c r="L107" s="734" t="s">
        <v>451</v>
      </c>
      <c r="M107" s="1124"/>
      <c r="N107" s="1124"/>
      <c r="O107" s="1124"/>
      <c r="P107" s="1124"/>
      <c r="Q107" s="1124"/>
      <c r="R107" s="1124"/>
      <c r="S107" s="1124"/>
      <c r="T107" s="1124"/>
      <c r="U107" s="1124"/>
      <c r="V107" s="1124"/>
      <c r="W107" s="1124"/>
      <c r="X107" s="1148"/>
    </row>
    <row r="108" ht="21" customHeight="1" spans="1:24">
      <c r="A108" s="617" t="s">
        <v>449</v>
      </c>
      <c r="B108" s="952"/>
      <c r="C108" s="618">
        <v>85</v>
      </c>
      <c r="D108" s="619">
        <v>83</v>
      </c>
      <c r="E108" s="619">
        <v>81</v>
      </c>
      <c r="F108" s="620">
        <v>79</v>
      </c>
      <c r="G108" s="619">
        <v>77</v>
      </c>
      <c r="H108" s="621">
        <v>75</v>
      </c>
      <c r="I108" s="619">
        <v>73</v>
      </c>
      <c r="J108" s="659">
        <v>70</v>
      </c>
      <c r="K108" s="687">
        <v>50</v>
      </c>
      <c r="L108" s="176" t="s">
        <v>452</v>
      </c>
      <c r="M108" s="177"/>
      <c r="N108" s="177"/>
      <c r="O108" s="177"/>
      <c r="P108" s="177"/>
      <c r="Q108" s="177"/>
      <c r="R108" s="177"/>
      <c r="S108" s="177"/>
      <c r="T108" s="177"/>
      <c r="U108" s="177"/>
      <c r="V108" s="177"/>
      <c r="W108" s="177"/>
      <c r="X108" s="258"/>
    </row>
    <row r="109" ht="21" customHeight="1" spans="1:24">
      <c r="A109" s="122" t="s">
        <v>370</v>
      </c>
      <c r="B109" s="123"/>
      <c r="C109" s="41">
        <v>55</v>
      </c>
      <c r="D109" s="42">
        <v>52</v>
      </c>
      <c r="E109" s="42">
        <v>49</v>
      </c>
      <c r="F109" s="43">
        <v>49</v>
      </c>
      <c r="G109" s="42">
        <v>43</v>
      </c>
      <c r="H109" s="44">
        <v>40</v>
      </c>
      <c r="I109" s="42">
        <v>37</v>
      </c>
      <c r="J109" s="163">
        <v>34</v>
      </c>
      <c r="K109" s="164">
        <v>30</v>
      </c>
      <c r="L109" s="523" t="s">
        <v>453</v>
      </c>
      <c r="M109" s="574"/>
      <c r="N109" s="574"/>
      <c r="O109" s="574"/>
      <c r="P109" s="574"/>
      <c r="Q109" s="574"/>
      <c r="R109" s="574"/>
      <c r="S109" s="574"/>
      <c r="T109" s="574"/>
      <c r="U109" s="574"/>
      <c r="V109" s="574"/>
      <c r="W109" s="574"/>
      <c r="X109" s="584"/>
    </row>
    <row r="110" ht="21" customHeight="1" spans="1:24">
      <c r="A110" s="1084" t="s">
        <v>454</v>
      </c>
      <c r="B110" s="1084"/>
      <c r="C110" s="1084"/>
      <c r="D110" s="1084"/>
      <c r="E110" s="1084"/>
      <c r="F110" s="1084"/>
      <c r="G110" s="1084"/>
      <c r="H110" s="1084"/>
      <c r="I110" s="1084"/>
      <c r="J110" s="1084"/>
      <c r="K110" s="1084"/>
      <c r="L110" s="1084"/>
      <c r="M110" s="1084"/>
      <c r="N110" s="1084"/>
      <c r="O110" s="1084"/>
      <c r="P110" s="1084"/>
      <c r="Q110" s="1084"/>
      <c r="R110" s="1084"/>
      <c r="S110" s="1084"/>
      <c r="T110" s="1084"/>
      <c r="U110" s="1084"/>
      <c r="V110" s="1084"/>
      <c r="W110" s="1084"/>
      <c r="X110" s="1084"/>
    </row>
    <row r="111" ht="21" customHeight="1" spans="1:24">
      <c r="A111" s="1074" t="s">
        <v>455</v>
      </c>
      <c r="B111" s="1075"/>
      <c r="C111" s="1075"/>
      <c r="D111" s="1075"/>
      <c r="E111" s="1075"/>
      <c r="F111" s="1075"/>
      <c r="G111" s="1075"/>
      <c r="H111" s="1075"/>
      <c r="I111" s="1075"/>
      <c r="J111" s="1075"/>
      <c r="K111" s="1075"/>
      <c r="L111" s="1075"/>
      <c r="M111" s="1075"/>
      <c r="N111" s="1075"/>
      <c r="O111" s="1075"/>
      <c r="P111" s="1075"/>
      <c r="Q111" s="1075"/>
      <c r="R111" s="1075"/>
      <c r="S111" s="1075"/>
      <c r="T111" s="1075"/>
      <c r="U111" s="1075"/>
      <c r="V111" s="1075"/>
      <c r="W111" s="1075"/>
      <c r="X111" s="1137"/>
    </row>
    <row r="112" ht="21" customHeight="1" spans="1:24">
      <c r="A112" s="1085" t="s">
        <v>456</v>
      </c>
      <c r="B112" s="1086"/>
      <c r="C112" s="1086"/>
      <c r="D112" s="1087">
        <v>0</v>
      </c>
      <c r="E112" s="1088">
        <v>1</v>
      </c>
      <c r="F112" s="1088">
        <v>2</v>
      </c>
      <c r="G112" s="1088">
        <v>3</v>
      </c>
      <c r="H112" s="1088">
        <v>4</v>
      </c>
      <c r="I112" s="1088">
        <v>5</v>
      </c>
      <c r="J112" s="1088">
        <v>6</v>
      </c>
      <c r="K112" s="1087">
        <v>7</v>
      </c>
      <c r="L112" s="1088">
        <v>8</v>
      </c>
      <c r="M112" s="1088"/>
      <c r="N112" s="1088">
        <v>9</v>
      </c>
      <c r="O112" s="1088"/>
      <c r="P112" s="1088">
        <v>10</v>
      </c>
      <c r="Q112" s="1087">
        <v>11</v>
      </c>
      <c r="R112" s="1087"/>
      <c r="S112" s="1088">
        <v>12</v>
      </c>
      <c r="T112" s="1088"/>
      <c r="U112" s="1088">
        <v>13</v>
      </c>
      <c r="V112" s="1087">
        <v>14</v>
      </c>
      <c r="W112" s="1087">
        <v>15</v>
      </c>
      <c r="X112" s="1087"/>
    </row>
    <row r="113" ht="21" customHeight="1" spans="1:24">
      <c r="A113" s="74" t="s">
        <v>457</v>
      </c>
      <c r="B113" s="482"/>
      <c r="C113" s="482"/>
      <c r="D113" s="1089">
        <v>1</v>
      </c>
      <c r="E113" s="1090">
        <v>1</v>
      </c>
      <c r="F113" s="1091">
        <v>1</v>
      </c>
      <c r="G113" s="1091">
        <v>1</v>
      </c>
      <c r="H113" s="1091">
        <v>1</v>
      </c>
      <c r="I113" s="1091">
        <v>1</v>
      </c>
      <c r="J113" s="1090">
        <v>1</v>
      </c>
      <c r="K113" s="1125">
        <v>2</v>
      </c>
      <c r="L113" s="1126">
        <v>2</v>
      </c>
      <c r="M113" s="1126"/>
      <c r="N113" s="1127">
        <v>2</v>
      </c>
      <c r="O113" s="1127"/>
      <c r="P113" s="1126">
        <v>2</v>
      </c>
      <c r="Q113" s="1149">
        <v>3</v>
      </c>
      <c r="R113" s="1150"/>
      <c r="S113" s="1126">
        <v>3</v>
      </c>
      <c r="T113" s="1126"/>
      <c r="U113" s="1127">
        <v>3</v>
      </c>
      <c r="V113" s="1150">
        <v>4</v>
      </c>
      <c r="W113" s="1151">
        <v>5</v>
      </c>
      <c r="X113" s="1152"/>
    </row>
    <row r="114" spans="1:24">
      <c r="A114" s="959"/>
      <c r="B114" s="959"/>
      <c r="C114" s="959"/>
      <c r="D114" s="959"/>
      <c r="E114" s="959"/>
      <c r="F114" s="959"/>
      <c r="G114" s="959"/>
      <c r="H114" s="959"/>
      <c r="I114" s="959"/>
      <c r="J114" s="959"/>
      <c r="K114" s="959"/>
      <c r="L114" s="959"/>
      <c r="M114" s="959"/>
      <c r="N114" s="959"/>
      <c r="O114" s="959"/>
      <c r="P114" s="959"/>
      <c r="Q114" s="959"/>
      <c r="R114" s="959"/>
      <c r="S114" s="959"/>
      <c r="T114" s="959"/>
      <c r="U114" s="959"/>
      <c r="V114" s="959"/>
      <c r="W114" s="959"/>
      <c r="X114" s="959"/>
    </row>
    <row r="115" ht="42" customHeight="1" spans="1:24">
      <c r="A115" s="1092" t="str">
        <f>_xlfn.DISPIMG("ID_C1000CDB9E574F01B7B93707FAB57172",1)</f>
        <v>=DISPIMG("ID_C1000CDB9E574F01B7B93707FAB57172",1)</v>
      </c>
      <c r="B115" s="1092" t="str">
        <f>_xlfn.DISPIMG("ID_C1C82FE8AE544974BBF3DEC9153EB50C",1)</f>
        <v>=DISPIMG("ID_C1C82FE8AE544974BBF3DEC9153EB50C",1)</v>
      </c>
      <c r="C115" s="1092" t="str">
        <f>_xlfn.DISPIMG("ID_B98B888C60E34AE999EDA300B67245DF",1)</f>
        <v>=DISPIMG("ID_B98B888C60E34AE999EDA300B67245DF",1)</v>
      </c>
      <c r="D115" s="1092" t="str">
        <f>_xlfn.DISPIMG("ID_A93E12148BE04414AD9CECB4AAA614EC",1)</f>
        <v>=DISPIMG("ID_A93E12148BE04414AD9CECB4AAA614EC",1)</v>
      </c>
      <c r="E115" s="1093" t="s">
        <v>458</v>
      </c>
      <c r="F115" s="1093"/>
      <c r="G115" s="1093"/>
      <c r="H115" s="1093"/>
      <c r="I115" s="1092" t="str">
        <f>_xlfn.DISPIMG("ID_48F0D9660579441F94B742E9949EB7E3",1)</f>
        <v>=DISPIMG("ID_48F0D9660579441F94B742E9949EB7E3",1)</v>
      </c>
      <c r="J115" s="1092" t="str">
        <f>_xlfn.DISPIMG("ID_D6E6ABB6F8614D5C8EE4DD340D4ADFB1",1)</f>
        <v>=DISPIMG("ID_D6E6ABB6F8614D5C8EE4DD340D4ADFB1",1)</v>
      </c>
      <c r="K115" s="1092" t="str">
        <f>_xlfn.DISPIMG("ID_81C92B6FC84B4AC7AB297A52665849ED",1)</f>
        <v>=DISPIMG("ID_81C92B6FC84B4AC7AB297A52665849ED",1)</v>
      </c>
      <c r="L115" s="959"/>
      <c r="M115" s="959"/>
      <c r="N115" s="959"/>
      <c r="O115" s="959"/>
      <c r="P115" s="959"/>
      <c r="Q115" s="959"/>
      <c r="R115" s="959"/>
      <c r="S115" s="959"/>
      <c r="T115" s="959"/>
      <c r="U115" s="959"/>
      <c r="V115" s="959"/>
      <c r="W115" s="959"/>
      <c r="X115" s="959"/>
    </row>
    <row r="116" ht="21" spans="1:11">
      <c r="A116" s="1094" t="s">
        <v>459</v>
      </c>
      <c r="B116" s="1095"/>
      <c r="C116" s="1096">
        <v>0</v>
      </c>
      <c r="D116" s="1097">
        <v>1</v>
      </c>
      <c r="E116" s="1097">
        <v>2</v>
      </c>
      <c r="F116" s="1098">
        <v>3</v>
      </c>
      <c r="G116" s="1097">
        <v>4</v>
      </c>
      <c r="H116" s="1099">
        <v>5</v>
      </c>
      <c r="I116" s="1097">
        <v>6</v>
      </c>
      <c r="J116" s="1128">
        <v>7</v>
      </c>
      <c r="K116" s="1129">
        <v>8</v>
      </c>
    </row>
    <row r="117" ht="21" spans="1:11">
      <c r="A117" s="65" t="s">
        <v>460</v>
      </c>
      <c r="B117" s="692"/>
      <c r="C117" s="66">
        <f t="shared" ref="C117:K117" si="26">C36*3</f>
        <v>75</v>
      </c>
      <c r="D117" s="67">
        <f t="shared" si="26"/>
        <v>81</v>
      </c>
      <c r="E117" s="67">
        <f t="shared" si="26"/>
        <v>87</v>
      </c>
      <c r="F117" s="93">
        <f t="shared" si="26"/>
        <v>93</v>
      </c>
      <c r="G117" s="67">
        <f t="shared" si="26"/>
        <v>102</v>
      </c>
      <c r="H117" s="69">
        <f t="shared" si="26"/>
        <v>111</v>
      </c>
      <c r="I117" s="67">
        <f t="shared" si="26"/>
        <v>120</v>
      </c>
      <c r="J117" s="178">
        <f t="shared" si="26"/>
        <v>132</v>
      </c>
      <c r="K117" s="378">
        <f t="shared" si="26"/>
        <v>144</v>
      </c>
    </row>
    <row r="118" ht="21" spans="1:12">
      <c r="A118" s="25" t="s">
        <v>389</v>
      </c>
      <c r="B118" s="26"/>
      <c r="C118" s="89">
        <f t="shared" ref="C118:L118" si="27">C38*3</f>
        <v>75</v>
      </c>
      <c r="D118" s="90">
        <f t="shared" si="27"/>
        <v>78</v>
      </c>
      <c r="E118" s="90">
        <f t="shared" si="27"/>
        <v>81</v>
      </c>
      <c r="F118" s="91">
        <f t="shared" si="27"/>
        <v>84</v>
      </c>
      <c r="G118" s="90">
        <f t="shared" si="27"/>
        <v>87</v>
      </c>
      <c r="H118" s="92">
        <f t="shared" si="27"/>
        <v>90</v>
      </c>
      <c r="I118" s="90">
        <f t="shared" si="27"/>
        <v>93</v>
      </c>
      <c r="J118" s="206">
        <f t="shared" si="27"/>
        <v>96</v>
      </c>
      <c r="K118" s="207">
        <f t="shared" si="27"/>
        <v>102</v>
      </c>
      <c r="L118" s="1" t="e">
        <f t="shared" si="27"/>
        <v>#VALUE!</v>
      </c>
    </row>
    <row r="119" ht="21" spans="1:11">
      <c r="A119" s="1100" t="s">
        <v>461</v>
      </c>
      <c r="B119" s="1101"/>
      <c r="C119" s="1102">
        <f t="shared" ref="C119:K119" si="28">C38*4</f>
        <v>100</v>
      </c>
      <c r="D119" s="1103">
        <f t="shared" si="28"/>
        <v>104</v>
      </c>
      <c r="E119" s="1103">
        <f t="shared" si="28"/>
        <v>108</v>
      </c>
      <c r="F119" s="1104">
        <f t="shared" si="28"/>
        <v>112</v>
      </c>
      <c r="G119" s="1103">
        <f t="shared" si="28"/>
        <v>116</v>
      </c>
      <c r="H119" s="1105">
        <f t="shared" si="28"/>
        <v>120</v>
      </c>
      <c r="I119" s="1103">
        <f t="shared" si="28"/>
        <v>124</v>
      </c>
      <c r="J119" s="1130">
        <f t="shared" si="28"/>
        <v>128</v>
      </c>
      <c r="K119" s="1131">
        <f t="shared" si="28"/>
        <v>136</v>
      </c>
    </row>
    <row r="120" ht="21" spans="1:11">
      <c r="A120" s="25" t="s">
        <v>462</v>
      </c>
      <c r="B120" s="26"/>
      <c r="C120" s="89">
        <f t="shared" ref="C120:K120" si="29">C43*5</f>
        <v>130</v>
      </c>
      <c r="D120" s="90">
        <f t="shared" si="29"/>
        <v>135</v>
      </c>
      <c r="E120" s="90">
        <f t="shared" si="29"/>
        <v>140</v>
      </c>
      <c r="F120" s="91">
        <f t="shared" si="29"/>
        <v>145</v>
      </c>
      <c r="G120" s="90">
        <f t="shared" si="29"/>
        <v>150</v>
      </c>
      <c r="H120" s="92">
        <f t="shared" si="29"/>
        <v>160</v>
      </c>
      <c r="I120" s="90">
        <f t="shared" si="29"/>
        <v>165</v>
      </c>
      <c r="J120" s="206">
        <f t="shared" si="29"/>
        <v>170</v>
      </c>
      <c r="K120" s="207">
        <f t="shared" si="29"/>
        <v>180</v>
      </c>
    </row>
    <row r="121" ht="21" spans="1:11">
      <c r="A121" s="73" t="s">
        <v>463</v>
      </c>
      <c r="B121" s="74"/>
      <c r="C121" s="991">
        <v>100</v>
      </c>
      <c r="D121" s="992">
        <v>104</v>
      </c>
      <c r="E121" s="992">
        <v>108</v>
      </c>
      <c r="F121" s="993">
        <v>112</v>
      </c>
      <c r="G121" s="992">
        <v>116</v>
      </c>
      <c r="H121" s="994">
        <v>120</v>
      </c>
      <c r="I121" s="992">
        <v>124</v>
      </c>
      <c r="J121" s="1009">
        <v>128</v>
      </c>
      <c r="K121" s="1132">
        <v>136</v>
      </c>
    </row>
    <row r="122" ht="21" spans="1:11">
      <c r="A122" s="25" t="s">
        <v>464</v>
      </c>
      <c r="B122" s="26"/>
      <c r="C122" s="89">
        <v>100</v>
      </c>
      <c r="D122" s="90">
        <v>104</v>
      </c>
      <c r="E122" s="90">
        <v>108</v>
      </c>
      <c r="F122" s="91">
        <v>112</v>
      </c>
      <c r="G122" s="90">
        <v>116</v>
      </c>
      <c r="H122" s="92">
        <v>120</v>
      </c>
      <c r="I122" s="90">
        <v>124</v>
      </c>
      <c r="J122" s="206">
        <v>128</v>
      </c>
      <c r="K122" s="207">
        <v>136</v>
      </c>
    </row>
    <row r="123" ht="21" spans="1:11">
      <c r="A123" s="73" t="s">
        <v>465</v>
      </c>
      <c r="B123" s="74"/>
      <c r="C123" s="991">
        <f t="shared" ref="C123:K123" si="30">C38*6</f>
        <v>150</v>
      </c>
      <c r="D123" s="992">
        <f t="shared" si="30"/>
        <v>156</v>
      </c>
      <c r="E123" s="992">
        <f t="shared" si="30"/>
        <v>162</v>
      </c>
      <c r="F123" s="993">
        <f t="shared" si="30"/>
        <v>168</v>
      </c>
      <c r="G123" s="992">
        <f t="shared" si="30"/>
        <v>174</v>
      </c>
      <c r="H123" s="994">
        <f t="shared" si="30"/>
        <v>180</v>
      </c>
      <c r="I123" s="992">
        <f t="shared" si="30"/>
        <v>186</v>
      </c>
      <c r="J123" s="1009">
        <f t="shared" si="30"/>
        <v>192</v>
      </c>
      <c r="K123" s="1132">
        <f t="shared" si="30"/>
        <v>204</v>
      </c>
    </row>
    <row r="124" ht="21" customHeight="1" spans="1:11">
      <c r="A124" s="1106" t="s">
        <v>336</v>
      </c>
      <c r="B124" s="1107"/>
      <c r="C124" s="1107"/>
      <c r="D124" s="1107"/>
      <c r="E124" s="1107"/>
      <c r="F124" s="1107"/>
      <c r="G124" s="1107"/>
      <c r="H124" s="1107"/>
      <c r="I124" s="1107"/>
      <c r="J124" s="1107"/>
      <c r="K124" s="1133"/>
    </row>
    <row r="125" ht="21" customHeight="1" spans="1:11">
      <c r="A125" s="1108"/>
      <c r="B125" s="1109"/>
      <c r="C125" s="1109"/>
      <c r="D125" s="1109"/>
      <c r="E125" s="1109"/>
      <c r="F125" s="1109"/>
      <c r="G125" s="1109"/>
      <c r="H125" s="1109"/>
      <c r="I125" s="1109"/>
      <c r="J125" s="1109"/>
      <c r="K125" s="1134"/>
    </row>
    <row r="128" ht="42" customHeight="1" spans="1:11">
      <c r="A128" s="1092" t="str">
        <f>_xlfn.DISPIMG("ID_C1000CDB9E574F01B7B93707FAB57172",1)</f>
        <v>=DISPIMG("ID_C1000CDB9E574F01B7B93707FAB57172",1)</v>
      </c>
      <c r="B128" s="1092" t="str">
        <f>_xlfn.DISPIMG("ID_C1C82FE8AE544974BBF3DEC9153EB50C",1)</f>
        <v>=DISPIMG("ID_C1C82FE8AE544974BBF3DEC9153EB50C",1)</v>
      </c>
      <c r="C128" s="1092" t="str">
        <f>_xlfn.DISPIMG("ID_B98B888C60E34AE999EDA300B67245DF",1)</f>
        <v>=DISPIMG("ID_B98B888C60E34AE999EDA300B67245DF",1)</v>
      </c>
      <c r="D128" s="1092" t="str">
        <f>_xlfn.DISPIMG("ID_A93E12148BE04414AD9CECB4AAA614EC",1)</f>
        <v>=DISPIMG("ID_A93E12148BE04414AD9CECB4AAA614EC",1)</v>
      </c>
      <c r="E128" s="1093" t="s">
        <v>458</v>
      </c>
      <c r="F128" s="1093"/>
      <c r="G128" s="1093"/>
      <c r="H128" s="1093"/>
      <c r="I128" s="1092" t="str">
        <f>_xlfn.DISPIMG("ID_48F0D9660579441F94B742E9949EB7E3",1)</f>
        <v>=DISPIMG("ID_48F0D9660579441F94B742E9949EB7E3",1)</v>
      </c>
      <c r="J128" s="1092" t="str">
        <f>_xlfn.DISPIMG("ID_D6E6ABB6F8614D5C8EE4DD340D4ADFB1",1)</f>
        <v>=DISPIMG("ID_D6E6ABB6F8614D5C8EE4DD340D4ADFB1",1)</v>
      </c>
      <c r="K128" s="1092" t="str">
        <f>_xlfn.DISPIMG("ID_81C92B6FC84B4AC7AB297A52665849ED",1)</f>
        <v>=DISPIMG("ID_81C92B6FC84B4AC7AB297A52665849ED",1)</v>
      </c>
    </row>
    <row r="129" ht="21" customHeight="1" spans="1:11">
      <c r="A129" s="1094" t="s">
        <v>466</v>
      </c>
      <c r="B129" s="1095"/>
      <c r="C129" s="1096">
        <v>0</v>
      </c>
      <c r="D129" s="1097">
        <v>1</v>
      </c>
      <c r="E129" s="1097">
        <v>2</v>
      </c>
      <c r="F129" s="1098">
        <v>3</v>
      </c>
      <c r="G129" s="1097">
        <v>4</v>
      </c>
      <c r="H129" s="1099">
        <v>5</v>
      </c>
      <c r="I129" s="1097">
        <v>6</v>
      </c>
      <c r="J129" s="1128">
        <v>7</v>
      </c>
      <c r="K129" s="1129">
        <v>8</v>
      </c>
    </row>
    <row r="130" ht="21" customHeight="1" spans="1:11">
      <c r="A130" s="65" t="s">
        <v>460</v>
      </c>
      <c r="B130" s="692"/>
      <c r="C130" s="66">
        <v>25</v>
      </c>
      <c r="D130" s="67">
        <v>27</v>
      </c>
      <c r="E130" s="67">
        <v>29</v>
      </c>
      <c r="F130" s="93">
        <v>31</v>
      </c>
      <c r="G130" s="67">
        <v>34</v>
      </c>
      <c r="H130" s="69">
        <v>37</v>
      </c>
      <c r="I130" s="67">
        <v>40</v>
      </c>
      <c r="J130" s="178">
        <v>44</v>
      </c>
      <c r="K130" s="378">
        <v>48</v>
      </c>
    </row>
    <row r="131" ht="21" customHeight="1" spans="1:11">
      <c r="A131" s="25" t="s">
        <v>389</v>
      </c>
      <c r="B131" s="26"/>
      <c r="C131" s="89">
        <v>25</v>
      </c>
      <c r="D131" s="90">
        <v>26</v>
      </c>
      <c r="E131" s="90">
        <v>27</v>
      </c>
      <c r="F131" s="91">
        <v>28</v>
      </c>
      <c r="G131" s="90">
        <v>29</v>
      </c>
      <c r="H131" s="92">
        <v>30</v>
      </c>
      <c r="I131" s="90">
        <v>31</v>
      </c>
      <c r="J131" s="206">
        <v>32</v>
      </c>
      <c r="K131" s="207">
        <v>34</v>
      </c>
    </row>
    <row r="132" ht="21" customHeight="1" spans="1:11">
      <c r="A132" s="1100" t="s">
        <v>461</v>
      </c>
      <c r="B132" s="1101"/>
      <c r="C132" s="1102">
        <v>25</v>
      </c>
      <c r="D132" s="1103">
        <v>26</v>
      </c>
      <c r="E132" s="1103">
        <v>27</v>
      </c>
      <c r="F132" s="1104">
        <v>28</v>
      </c>
      <c r="G132" s="1103">
        <v>29</v>
      </c>
      <c r="H132" s="1105">
        <v>30</v>
      </c>
      <c r="I132" s="1103">
        <v>31</v>
      </c>
      <c r="J132" s="1130">
        <v>32</v>
      </c>
      <c r="K132" s="1131">
        <v>34</v>
      </c>
    </row>
    <row r="133" ht="21" customHeight="1" spans="1:11">
      <c r="A133" s="25" t="s">
        <v>462</v>
      </c>
      <c r="B133" s="26"/>
      <c r="C133" s="89">
        <v>26</v>
      </c>
      <c r="D133" s="90">
        <v>27</v>
      </c>
      <c r="E133" s="90">
        <v>28</v>
      </c>
      <c r="F133" s="91">
        <v>29</v>
      </c>
      <c r="G133" s="90">
        <v>30</v>
      </c>
      <c r="H133" s="92">
        <v>32</v>
      </c>
      <c r="I133" s="90">
        <v>33</v>
      </c>
      <c r="J133" s="206">
        <v>34</v>
      </c>
      <c r="K133" s="207">
        <v>36</v>
      </c>
    </row>
    <row r="134" ht="21" customHeight="1" spans="1:11">
      <c r="A134" s="73" t="s">
        <v>463</v>
      </c>
      <c r="B134" s="74"/>
      <c r="C134" s="991">
        <v>25</v>
      </c>
      <c r="D134" s="992">
        <v>26</v>
      </c>
      <c r="E134" s="992">
        <v>27</v>
      </c>
      <c r="F134" s="993">
        <v>28</v>
      </c>
      <c r="G134" s="992">
        <v>29</v>
      </c>
      <c r="H134" s="994">
        <v>30</v>
      </c>
      <c r="I134" s="992">
        <v>31</v>
      </c>
      <c r="J134" s="1009">
        <v>32</v>
      </c>
      <c r="K134" s="1132">
        <v>34</v>
      </c>
    </row>
    <row r="135" ht="21" customHeight="1" spans="1:11">
      <c r="A135" s="25" t="s">
        <v>464</v>
      </c>
      <c r="B135" s="26"/>
      <c r="C135" s="89">
        <v>25</v>
      </c>
      <c r="D135" s="90">
        <v>26</v>
      </c>
      <c r="E135" s="90">
        <v>27</v>
      </c>
      <c r="F135" s="91">
        <v>28</v>
      </c>
      <c r="G135" s="90">
        <v>29</v>
      </c>
      <c r="H135" s="92">
        <v>30</v>
      </c>
      <c r="I135" s="90">
        <v>31</v>
      </c>
      <c r="J135" s="206">
        <v>32</v>
      </c>
      <c r="K135" s="207">
        <v>34</v>
      </c>
    </row>
    <row r="136" ht="21" customHeight="1" spans="1:11">
      <c r="A136" s="73" t="s">
        <v>465</v>
      </c>
      <c r="B136" s="74"/>
      <c r="C136" s="991">
        <v>25</v>
      </c>
      <c r="D136" s="992">
        <v>26</v>
      </c>
      <c r="E136" s="992">
        <v>27</v>
      </c>
      <c r="F136" s="993">
        <v>28</v>
      </c>
      <c r="G136" s="992">
        <v>29</v>
      </c>
      <c r="H136" s="994">
        <v>30</v>
      </c>
      <c r="I136" s="992">
        <v>31</v>
      </c>
      <c r="J136" s="1009">
        <v>32</v>
      </c>
      <c r="K136" s="1132">
        <v>34</v>
      </c>
    </row>
  </sheetData>
  <sheetProtection formatCells="0" insertHyperlinks="0" autoFilter="0"/>
  <mergeCells count="204">
    <mergeCell ref="A1:C1"/>
    <mergeCell ref="D1:T1"/>
    <mergeCell ref="U1:X1"/>
    <mergeCell ref="B2:D2"/>
    <mergeCell ref="F2:H2"/>
    <mergeCell ref="J2:V2"/>
    <mergeCell ref="W2:X2"/>
    <mergeCell ref="A3:X3"/>
    <mergeCell ref="G4:O4"/>
    <mergeCell ref="P4:X4"/>
    <mergeCell ref="A5:X5"/>
    <mergeCell ref="A6:B6"/>
    <mergeCell ref="L6:N6"/>
    <mergeCell ref="Q6:S6"/>
    <mergeCell ref="W6:X6"/>
    <mergeCell ref="A7:B7"/>
    <mergeCell ref="A8:B8"/>
    <mergeCell ref="L8:X8"/>
    <mergeCell ref="A9:B9"/>
    <mergeCell ref="L9:X9"/>
    <mergeCell ref="A10:B10"/>
    <mergeCell ref="A11:B11"/>
    <mergeCell ref="A12:B12"/>
    <mergeCell ref="A13:X13"/>
    <mergeCell ref="A14:B14"/>
    <mergeCell ref="L14:X14"/>
    <mergeCell ref="A15:B15"/>
    <mergeCell ref="L15:X15"/>
    <mergeCell ref="A16:B16"/>
    <mergeCell ref="A17:B17"/>
    <mergeCell ref="A18:B18"/>
    <mergeCell ref="B19:K19"/>
    <mergeCell ref="A30:X30"/>
    <mergeCell ref="G31:O31"/>
    <mergeCell ref="A32:X32"/>
    <mergeCell ref="A33:B33"/>
    <mergeCell ref="L33:N33"/>
    <mergeCell ref="Q33:S33"/>
    <mergeCell ref="W33:X33"/>
    <mergeCell ref="A34:B34"/>
    <mergeCell ref="A35:B35"/>
    <mergeCell ref="L35:X35"/>
    <mergeCell ref="A36:B36"/>
    <mergeCell ref="L36:X36"/>
    <mergeCell ref="A37:B37"/>
    <mergeCell ref="L37:X37"/>
    <mergeCell ref="A38:B38"/>
    <mergeCell ref="L38:X38"/>
    <mergeCell ref="A39:B39"/>
    <mergeCell ref="L39:X39"/>
    <mergeCell ref="A40:B40"/>
    <mergeCell ref="L40:X40"/>
    <mergeCell ref="A41:B41"/>
    <mergeCell ref="L41:X41"/>
    <mergeCell ref="A42:X42"/>
    <mergeCell ref="A43:B43"/>
    <mergeCell ref="L43:X43"/>
    <mergeCell ref="A44:B44"/>
    <mergeCell ref="L44:X44"/>
    <mergeCell ref="A45:B45"/>
    <mergeCell ref="L45:X45"/>
    <mergeCell ref="A46:X46"/>
    <mergeCell ref="A47:B47"/>
    <mergeCell ref="L47:X47"/>
    <mergeCell ref="A48:B48"/>
    <mergeCell ref="L48:X48"/>
    <mergeCell ref="A49:B49"/>
    <mergeCell ref="L49:X49"/>
    <mergeCell ref="A50:B50"/>
    <mergeCell ref="L50:X50"/>
    <mergeCell ref="A51:B51"/>
    <mergeCell ref="L51:X51"/>
    <mergeCell ref="A52:B52"/>
    <mergeCell ref="L52:X52"/>
    <mergeCell ref="A53:B53"/>
    <mergeCell ref="L53:X53"/>
    <mergeCell ref="A54:B54"/>
    <mergeCell ref="A55:B55"/>
    <mergeCell ref="A56:B56"/>
    <mergeCell ref="L56:X56"/>
    <mergeCell ref="A57:B57"/>
    <mergeCell ref="L57:X57"/>
    <mergeCell ref="A58:X58"/>
    <mergeCell ref="A59:B59"/>
    <mergeCell ref="L59:X59"/>
    <mergeCell ref="A60:B60"/>
    <mergeCell ref="L60:X60"/>
    <mergeCell ref="A61:B61"/>
    <mergeCell ref="L61:X61"/>
    <mergeCell ref="A62:B62"/>
    <mergeCell ref="L62:X62"/>
    <mergeCell ref="A63:B63"/>
    <mergeCell ref="L63:X63"/>
    <mergeCell ref="A64:B64"/>
    <mergeCell ref="A65:B65"/>
    <mergeCell ref="A66:B66"/>
    <mergeCell ref="L66:X66"/>
    <mergeCell ref="A67:B67"/>
    <mergeCell ref="L67:X67"/>
    <mergeCell ref="A68:X68"/>
    <mergeCell ref="A69:B69"/>
    <mergeCell ref="L69:X69"/>
    <mergeCell ref="A70:B70"/>
    <mergeCell ref="L70:X70"/>
    <mergeCell ref="A71:B71"/>
    <mergeCell ref="L71:X71"/>
    <mergeCell ref="A72:B72"/>
    <mergeCell ref="L72:X72"/>
    <mergeCell ref="A73:B73"/>
    <mergeCell ref="L73:X73"/>
    <mergeCell ref="A74:B74"/>
    <mergeCell ref="A75:B75"/>
    <mergeCell ref="A76:B76"/>
    <mergeCell ref="L76:X76"/>
    <mergeCell ref="A77:B77"/>
    <mergeCell ref="L77:X77"/>
    <mergeCell ref="A78:X78"/>
    <mergeCell ref="G79:O79"/>
    <mergeCell ref="P79:X79"/>
    <mergeCell ref="A80:X80"/>
    <mergeCell ref="A81:B81"/>
    <mergeCell ref="L81:N81"/>
    <mergeCell ref="Q81:S81"/>
    <mergeCell ref="W81:X81"/>
    <mergeCell ref="A82:B82"/>
    <mergeCell ref="A83:B83"/>
    <mergeCell ref="A84:B84"/>
    <mergeCell ref="A85:B85"/>
    <mergeCell ref="A86:B86"/>
    <mergeCell ref="A87:B87"/>
    <mergeCell ref="L87:X87"/>
    <mergeCell ref="A88:B88"/>
    <mergeCell ref="L88:X88"/>
    <mergeCell ref="A89:B89"/>
    <mergeCell ref="L89:X89"/>
    <mergeCell ref="A90:B90"/>
    <mergeCell ref="L90:X90"/>
    <mergeCell ref="A91:B91"/>
    <mergeCell ref="L91:X91"/>
    <mergeCell ref="A92:B92"/>
    <mergeCell ref="M92:X92"/>
    <mergeCell ref="A93:B93"/>
    <mergeCell ref="A94:B94"/>
    <mergeCell ref="A95:X95"/>
    <mergeCell ref="A99:X99"/>
    <mergeCell ref="G100:O100"/>
    <mergeCell ref="P100:X100"/>
    <mergeCell ref="A101:X101"/>
    <mergeCell ref="A102:B102"/>
    <mergeCell ref="L102:N102"/>
    <mergeCell ref="Q102:S102"/>
    <mergeCell ref="W102:X102"/>
    <mergeCell ref="A103:B103"/>
    <mergeCell ref="A104:B104"/>
    <mergeCell ref="A105:B105"/>
    <mergeCell ref="A106:B106"/>
    <mergeCell ref="L106:X106"/>
    <mergeCell ref="A107:B107"/>
    <mergeCell ref="L107:X107"/>
    <mergeCell ref="A108:B108"/>
    <mergeCell ref="L108:X108"/>
    <mergeCell ref="A109:B109"/>
    <mergeCell ref="L109:X109"/>
    <mergeCell ref="A110:X110"/>
    <mergeCell ref="A111:X111"/>
    <mergeCell ref="A112:C112"/>
    <mergeCell ref="L112:M112"/>
    <mergeCell ref="N112:O112"/>
    <mergeCell ref="Q112:R112"/>
    <mergeCell ref="S112:T112"/>
    <mergeCell ref="W112:X112"/>
    <mergeCell ref="A113:C113"/>
    <mergeCell ref="L113:M113"/>
    <mergeCell ref="N113:O113"/>
    <mergeCell ref="Q113:R113"/>
    <mergeCell ref="S113:T113"/>
    <mergeCell ref="W113:X113"/>
    <mergeCell ref="E115:H115"/>
    <mergeCell ref="A116:B116"/>
    <mergeCell ref="A117:B117"/>
    <mergeCell ref="A118:B118"/>
    <mergeCell ref="A119:B119"/>
    <mergeCell ref="A120:B120"/>
    <mergeCell ref="A121:B121"/>
    <mergeCell ref="A122:B122"/>
    <mergeCell ref="A123:B123"/>
    <mergeCell ref="E128:H128"/>
    <mergeCell ref="A129:B129"/>
    <mergeCell ref="A130:B130"/>
    <mergeCell ref="A131:B131"/>
    <mergeCell ref="A132:B132"/>
    <mergeCell ref="A133:B133"/>
    <mergeCell ref="A134:B134"/>
    <mergeCell ref="A135:B135"/>
    <mergeCell ref="A136:B136"/>
    <mergeCell ref="A20:A29"/>
    <mergeCell ref="L10:X12"/>
    <mergeCell ref="L16:X17"/>
    <mergeCell ref="L18:X29"/>
    <mergeCell ref="L54:X55"/>
    <mergeCell ref="L64:X65"/>
    <mergeCell ref="L74:X75"/>
    <mergeCell ref="A96:X98"/>
    <mergeCell ref="A124:K125"/>
  </mergeCells>
  <pageMargins left="0.75" right="0.75" top="1" bottom="1" header="0.5" footer="0.5"/>
  <headerFooter/>
  <pictur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7"/>
  <sheetViews>
    <sheetView workbookViewId="0">
      <selection activeCell="J10" sqref="J10"/>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6</v>
      </c>
      <c r="B1" s="2"/>
      <c r="C1" s="2"/>
      <c r="D1" s="3" t="s">
        <v>467</v>
      </c>
      <c r="E1" s="2"/>
      <c r="F1" s="2"/>
      <c r="G1" s="2"/>
      <c r="H1" s="2"/>
      <c r="I1" s="2"/>
      <c r="J1" s="2"/>
      <c r="K1" s="2"/>
      <c r="L1" s="2"/>
      <c r="M1" s="2"/>
      <c r="N1" s="2"/>
      <c r="O1" s="2"/>
      <c r="P1" s="2"/>
      <c r="Q1" s="2"/>
      <c r="R1" s="2"/>
      <c r="S1" s="2"/>
      <c r="T1" s="2"/>
      <c r="U1" s="2">
        <v>6</v>
      </c>
      <c r="V1" s="2"/>
      <c r="W1" s="2"/>
      <c r="X1" s="2"/>
    </row>
    <row r="2" ht="21" customHeight="1" spans="1:24">
      <c r="A2" s="5"/>
      <c r="B2" s="6" t="s">
        <v>1</v>
      </c>
      <c r="C2" s="7"/>
      <c r="D2" s="8"/>
      <c r="E2" s="9"/>
      <c r="F2" s="6" t="s">
        <v>468</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14"/>
      <c r="B5" s="15" t="str">
        <f>_xlfn.DISPIMG("ID_635F7211A4154CA8A9767410EE602609",1)</f>
        <v>=DISPIMG("ID_635F7211A4154CA8A9767410EE602609",1)</v>
      </c>
      <c r="C5" s="15" t="str">
        <f>_xlfn.DISPIMG("ID_5242C2E6D77D4559B5DFB60A6CF75C51",1)</f>
        <v>=DISPIMG("ID_5242C2E6D77D4559B5DFB60A6CF75C51",1)</v>
      </c>
      <c r="D5" s="15" t="str">
        <f>_xlfn.DISPIMG("ID_AFA2AFC27402489C99929FF3B180B9DC",1)</f>
        <v>=DISPIMG("ID_AFA2AFC27402489C99929FF3B180B9DC",1)</v>
      </c>
      <c r="E5" s="15" t="str">
        <f>_xlfn.DISPIMG("ID_0CC578DAAD4B4756B03CBE1B8B05925B",1)</f>
        <v>=DISPIMG("ID_0CC578DAAD4B4756B03CBE1B8B05925B",1)</v>
      </c>
      <c r="F5" s="16"/>
      <c r="G5" s="936" t="s">
        <v>469</v>
      </c>
      <c r="H5" s="937"/>
      <c r="I5" s="937"/>
      <c r="J5" s="937"/>
      <c r="K5" s="937"/>
      <c r="L5" s="937"/>
      <c r="M5" s="937"/>
      <c r="N5" s="937"/>
      <c r="O5" s="960"/>
      <c r="P5" s="968" t="s">
        <v>470</v>
      </c>
      <c r="Q5" s="977"/>
      <c r="R5" s="977"/>
      <c r="S5" s="977"/>
      <c r="T5" s="977"/>
      <c r="U5" s="977"/>
      <c r="V5" s="977"/>
      <c r="W5" s="977"/>
      <c r="X5" s="978"/>
    </row>
    <row r="6" ht="21" customHeight="1" spans="1:24">
      <c r="A6" s="555"/>
      <c r="B6" s="555"/>
      <c r="C6" s="555"/>
      <c r="D6" s="555"/>
      <c r="E6" s="555"/>
      <c r="F6" s="555"/>
      <c r="G6" s="555"/>
      <c r="H6" s="555"/>
      <c r="I6" s="555"/>
      <c r="J6" s="555"/>
      <c r="K6" s="555"/>
      <c r="L6" s="555"/>
      <c r="M6" s="555"/>
      <c r="N6" s="555"/>
      <c r="O6" s="555"/>
      <c r="P6" s="555"/>
      <c r="Q6" s="555"/>
      <c r="R6" s="555"/>
      <c r="S6" s="555"/>
      <c r="T6" s="555"/>
      <c r="U6" s="555"/>
      <c r="V6" s="555"/>
      <c r="W6" s="555"/>
      <c r="X6" s="555"/>
    </row>
    <row r="7" ht="21" customHeight="1" spans="1:24">
      <c r="A7" s="21" t="s">
        <v>471</v>
      </c>
      <c r="B7" s="21"/>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25" t="s">
        <v>472</v>
      </c>
      <c r="B8" s="25"/>
      <c r="C8" s="87">
        <v>3</v>
      </c>
      <c r="D8" s="88">
        <v>3.5</v>
      </c>
      <c r="E8" s="88">
        <v>4</v>
      </c>
      <c r="F8" s="88">
        <v>4.5</v>
      </c>
      <c r="G8" s="88">
        <v>5</v>
      </c>
      <c r="H8" s="88">
        <v>5.5</v>
      </c>
      <c r="I8" s="88">
        <v>6</v>
      </c>
      <c r="J8" s="88">
        <v>6.5</v>
      </c>
      <c r="K8" s="199">
        <v>7</v>
      </c>
      <c r="L8" s="217"/>
      <c r="M8" s="218">
        <v>10</v>
      </c>
      <c r="N8" s="219"/>
      <c r="O8" s="203">
        <v>13</v>
      </c>
      <c r="P8" s="204">
        <v>16</v>
      </c>
      <c r="Q8" s="219"/>
      <c r="R8" s="272">
        <v>20</v>
      </c>
      <c r="S8" s="219"/>
      <c r="T8" s="203">
        <v>24</v>
      </c>
      <c r="U8" s="273">
        <v>28</v>
      </c>
      <c r="V8" s="204">
        <v>32</v>
      </c>
      <c r="W8" s="295"/>
      <c r="X8" s="275">
        <v>36</v>
      </c>
    </row>
    <row r="9" ht="21" customHeight="1" spans="1:24">
      <c r="A9" s="73" t="s">
        <v>473</v>
      </c>
      <c r="B9" s="73"/>
      <c r="C9" s="75">
        <v>6</v>
      </c>
      <c r="D9" s="76">
        <v>7</v>
      </c>
      <c r="E9" s="76">
        <v>8</v>
      </c>
      <c r="F9" s="76">
        <v>9</v>
      </c>
      <c r="G9" s="76">
        <v>10</v>
      </c>
      <c r="H9" s="76">
        <v>11</v>
      </c>
      <c r="I9" s="76">
        <v>13</v>
      </c>
      <c r="J9" s="76">
        <v>16</v>
      </c>
      <c r="K9" s="182">
        <v>20</v>
      </c>
      <c r="L9" s="212"/>
      <c r="M9" s="197">
        <v>28</v>
      </c>
      <c r="N9" s="214"/>
      <c r="O9" s="161">
        <v>35</v>
      </c>
      <c r="P9" s="162">
        <v>43</v>
      </c>
      <c r="Q9" s="214"/>
      <c r="R9" s="247">
        <v>50</v>
      </c>
      <c r="S9" s="214"/>
      <c r="T9" s="161">
        <v>60</v>
      </c>
      <c r="U9" s="248">
        <v>70</v>
      </c>
      <c r="V9" s="162">
        <v>80</v>
      </c>
      <c r="W9" s="291"/>
      <c r="X9" s="250">
        <v>100</v>
      </c>
    </row>
    <row r="10" ht="21" customHeight="1" spans="1:24">
      <c r="A10" s="94" t="s">
        <v>474</v>
      </c>
      <c r="B10" s="94"/>
      <c r="C10" s="27">
        <v>8</v>
      </c>
      <c r="D10" s="28">
        <v>9</v>
      </c>
      <c r="E10" s="28">
        <v>10</v>
      </c>
      <c r="F10" s="28">
        <v>12</v>
      </c>
      <c r="G10" s="28">
        <v>13</v>
      </c>
      <c r="H10" s="28">
        <v>14</v>
      </c>
      <c r="I10" s="28">
        <v>17</v>
      </c>
      <c r="J10" s="28">
        <v>21</v>
      </c>
      <c r="K10" s="141">
        <v>26</v>
      </c>
      <c r="L10" s="506"/>
      <c r="M10" s="468">
        <v>36</v>
      </c>
      <c r="N10" s="508"/>
      <c r="O10" s="188">
        <v>46</v>
      </c>
      <c r="P10" s="189">
        <v>56</v>
      </c>
      <c r="Q10" s="508"/>
      <c r="R10" s="262">
        <v>66</v>
      </c>
      <c r="S10" s="508"/>
      <c r="T10" s="188">
        <v>78</v>
      </c>
      <c r="U10" s="263">
        <v>91</v>
      </c>
      <c r="V10" s="189">
        <v>104</v>
      </c>
      <c r="W10" s="424"/>
      <c r="X10" s="265">
        <v>118</v>
      </c>
    </row>
    <row r="11" ht="21" customHeight="1" spans="1:24">
      <c r="A11" s="485" t="s">
        <v>269</v>
      </c>
      <c r="B11" s="486"/>
      <c r="C11" s="486"/>
      <c r="D11" s="486"/>
      <c r="E11" s="486"/>
      <c r="F11" s="486"/>
      <c r="G11" s="486"/>
      <c r="H11" s="486"/>
      <c r="I11" s="486"/>
      <c r="J11" s="486"/>
      <c r="K11" s="486"/>
      <c r="L11" s="486"/>
      <c r="M11" s="486"/>
      <c r="N11" s="486"/>
      <c r="O11" s="486"/>
      <c r="P11" s="486"/>
      <c r="Q11" s="486"/>
      <c r="R11" s="486"/>
      <c r="S11" s="486"/>
      <c r="T11" s="486"/>
      <c r="U11" s="486"/>
      <c r="V11" s="486"/>
      <c r="W11" s="486"/>
      <c r="X11" s="533"/>
    </row>
    <row r="12" ht="21" customHeight="1" spans="1:24">
      <c r="A12" s="986" t="s">
        <v>475</v>
      </c>
      <c r="B12" s="128"/>
      <c r="C12" s="110">
        <f t="shared" ref="C12:K12" si="0">C9*2</f>
        <v>12</v>
      </c>
      <c r="D12" s="130">
        <f t="shared" si="0"/>
        <v>14</v>
      </c>
      <c r="E12" s="130">
        <f t="shared" si="0"/>
        <v>16</v>
      </c>
      <c r="F12" s="130">
        <f t="shared" si="0"/>
        <v>18</v>
      </c>
      <c r="G12" s="130">
        <f t="shared" si="0"/>
        <v>20</v>
      </c>
      <c r="H12" s="130">
        <f t="shared" si="0"/>
        <v>22</v>
      </c>
      <c r="I12" s="130">
        <f t="shared" si="0"/>
        <v>26</v>
      </c>
      <c r="J12" s="130">
        <f t="shared" si="0"/>
        <v>32</v>
      </c>
      <c r="K12" s="221">
        <f t="shared" si="0"/>
        <v>40</v>
      </c>
      <c r="L12" s="212"/>
      <c r="M12" s="222">
        <f t="shared" ref="M12:P12" si="1">M9*2</f>
        <v>56</v>
      </c>
      <c r="N12" s="214"/>
      <c r="O12" s="223">
        <f t="shared" si="1"/>
        <v>70</v>
      </c>
      <c r="P12" s="224">
        <f t="shared" si="1"/>
        <v>86</v>
      </c>
      <c r="Q12" s="214"/>
      <c r="R12" s="297">
        <f t="shared" ref="R12:V12" si="2">R9*2</f>
        <v>100</v>
      </c>
      <c r="S12" s="214"/>
      <c r="T12" s="223">
        <f t="shared" si="2"/>
        <v>120</v>
      </c>
      <c r="U12" s="298">
        <f t="shared" si="2"/>
        <v>140</v>
      </c>
      <c r="V12" s="224">
        <f t="shared" si="2"/>
        <v>160</v>
      </c>
      <c r="W12" s="291"/>
      <c r="X12" s="299">
        <v>190</v>
      </c>
    </row>
    <row r="13" ht="21" customHeight="1" spans="1:24">
      <c r="A13" s="987" t="s">
        <v>476</v>
      </c>
      <c r="B13" s="25"/>
      <c r="C13" s="35">
        <f t="shared" ref="C13:K13" si="3">C10*2</f>
        <v>16</v>
      </c>
      <c r="D13" s="36">
        <f t="shared" si="3"/>
        <v>18</v>
      </c>
      <c r="E13" s="36">
        <f t="shared" si="3"/>
        <v>20</v>
      </c>
      <c r="F13" s="36">
        <f t="shared" si="3"/>
        <v>24</v>
      </c>
      <c r="G13" s="36">
        <f t="shared" si="3"/>
        <v>26</v>
      </c>
      <c r="H13" s="36">
        <f t="shared" si="3"/>
        <v>28</v>
      </c>
      <c r="I13" s="36">
        <f t="shared" si="3"/>
        <v>34</v>
      </c>
      <c r="J13" s="36">
        <f t="shared" si="3"/>
        <v>42</v>
      </c>
      <c r="K13" s="835">
        <f t="shared" si="3"/>
        <v>52</v>
      </c>
      <c r="L13" s="836"/>
      <c r="M13" s="837">
        <f t="shared" ref="M13:P13" si="4">M10*2</f>
        <v>72</v>
      </c>
      <c r="N13" s="838"/>
      <c r="O13" s="509">
        <f t="shared" si="4"/>
        <v>92</v>
      </c>
      <c r="P13" s="423">
        <f t="shared" si="4"/>
        <v>112</v>
      </c>
      <c r="Q13" s="838"/>
      <c r="R13" s="238">
        <f t="shared" ref="R13:V13" si="5">R10*2</f>
        <v>132</v>
      </c>
      <c r="S13" s="838"/>
      <c r="T13" s="509">
        <f t="shared" si="5"/>
        <v>156</v>
      </c>
      <c r="U13" s="535">
        <f t="shared" si="5"/>
        <v>182</v>
      </c>
      <c r="V13" s="423">
        <f t="shared" si="5"/>
        <v>208</v>
      </c>
      <c r="W13" s="850"/>
      <c r="X13" s="241">
        <f>X10*2</f>
        <v>236</v>
      </c>
    </row>
    <row r="14" ht="21" customHeight="1" spans="1:24">
      <c r="A14" s="21" t="s">
        <v>250</v>
      </c>
      <c r="B14" s="22"/>
      <c r="C14" s="23">
        <v>0</v>
      </c>
      <c r="D14" s="24">
        <v>1</v>
      </c>
      <c r="E14" s="24">
        <v>2</v>
      </c>
      <c r="F14" s="24">
        <v>3</v>
      </c>
      <c r="G14" s="24">
        <v>4</v>
      </c>
      <c r="H14" s="24">
        <v>5</v>
      </c>
      <c r="I14" s="24">
        <v>6</v>
      </c>
      <c r="J14" s="24">
        <v>7</v>
      </c>
      <c r="K14" s="135">
        <v>8</v>
      </c>
      <c r="L14" s="136">
        <v>9</v>
      </c>
      <c r="M14" s="137"/>
      <c r="N14" s="138"/>
      <c r="O14" s="139">
        <v>10</v>
      </c>
      <c r="P14" s="140">
        <v>11</v>
      </c>
      <c r="Q14" s="236">
        <v>12</v>
      </c>
      <c r="R14" s="236"/>
      <c r="S14" s="236"/>
      <c r="T14" s="139">
        <v>13</v>
      </c>
      <c r="U14" s="237">
        <v>14</v>
      </c>
      <c r="V14" s="140">
        <v>15</v>
      </c>
      <c r="W14" s="137">
        <v>16</v>
      </c>
      <c r="X14" s="138"/>
    </row>
    <row r="15" ht="21" customHeight="1" spans="1:24">
      <c r="A15" s="25" t="s">
        <v>477</v>
      </c>
      <c r="B15" s="26"/>
      <c r="C15" s="27">
        <v>50</v>
      </c>
      <c r="D15" s="28">
        <v>60</v>
      </c>
      <c r="E15" s="28">
        <v>70</v>
      </c>
      <c r="F15" s="28">
        <v>80</v>
      </c>
      <c r="G15" s="28">
        <v>90</v>
      </c>
      <c r="H15" s="28">
        <v>100</v>
      </c>
      <c r="I15" s="28">
        <v>110</v>
      </c>
      <c r="J15" s="28">
        <v>130</v>
      </c>
      <c r="K15" s="141">
        <v>150</v>
      </c>
      <c r="L15" s="142"/>
      <c r="M15" s="143">
        <v>170</v>
      </c>
      <c r="N15" s="144"/>
      <c r="O15" s="145">
        <v>210</v>
      </c>
      <c r="P15" s="146">
        <v>250</v>
      </c>
      <c r="Q15" s="144"/>
      <c r="R15" s="238">
        <v>290</v>
      </c>
      <c r="S15" s="144"/>
      <c r="T15" s="145">
        <v>330</v>
      </c>
      <c r="U15" s="239">
        <v>370</v>
      </c>
      <c r="V15" s="146">
        <v>410</v>
      </c>
      <c r="W15" s="240"/>
      <c r="X15" s="241">
        <v>450</v>
      </c>
    </row>
    <row r="16" ht="21" customHeight="1" spans="1:24">
      <c r="A16" s="74" t="s">
        <v>478</v>
      </c>
      <c r="B16" s="482"/>
      <c r="C16" s="39">
        <v>70</v>
      </c>
      <c r="D16" s="40">
        <v>84</v>
      </c>
      <c r="E16" s="40">
        <v>98</v>
      </c>
      <c r="F16" s="40">
        <v>112</v>
      </c>
      <c r="G16" s="40">
        <v>126</v>
      </c>
      <c r="H16" s="40">
        <v>140</v>
      </c>
      <c r="I16" s="40">
        <v>154</v>
      </c>
      <c r="J16" s="40">
        <v>182</v>
      </c>
      <c r="K16" s="157">
        <v>210</v>
      </c>
      <c r="L16" s="158"/>
      <c r="M16" s="159">
        <v>238</v>
      </c>
      <c r="N16" s="160"/>
      <c r="O16" s="161">
        <v>294</v>
      </c>
      <c r="P16" s="162">
        <v>350</v>
      </c>
      <c r="Q16" s="160"/>
      <c r="R16" s="247">
        <v>406</v>
      </c>
      <c r="S16" s="160"/>
      <c r="T16" s="161">
        <v>462</v>
      </c>
      <c r="U16" s="248">
        <v>518</v>
      </c>
      <c r="V16" s="162">
        <v>574</v>
      </c>
      <c r="W16" s="249"/>
      <c r="X16" s="250">
        <v>630</v>
      </c>
    </row>
    <row r="17" ht="21" customHeight="1" spans="1:24">
      <c r="A17" s="25" t="s">
        <v>472</v>
      </c>
      <c r="B17" s="26"/>
      <c r="C17" s="35">
        <v>50</v>
      </c>
      <c r="D17" s="36">
        <v>60</v>
      </c>
      <c r="E17" s="36">
        <v>70</v>
      </c>
      <c r="F17" s="36">
        <v>80</v>
      </c>
      <c r="G17" s="36">
        <v>90</v>
      </c>
      <c r="H17" s="36">
        <v>100</v>
      </c>
      <c r="I17" s="36">
        <v>110</v>
      </c>
      <c r="J17" s="36">
        <v>130</v>
      </c>
      <c r="K17" s="153">
        <v>150</v>
      </c>
      <c r="L17" s="154"/>
      <c r="M17" s="155">
        <v>170</v>
      </c>
      <c r="N17" s="156"/>
      <c r="O17" s="145">
        <v>200</v>
      </c>
      <c r="P17" s="146">
        <v>230</v>
      </c>
      <c r="Q17" s="156"/>
      <c r="R17" s="238">
        <v>260</v>
      </c>
      <c r="S17" s="156"/>
      <c r="T17" s="145">
        <v>290</v>
      </c>
      <c r="U17" s="239">
        <v>320</v>
      </c>
      <c r="V17" s="146">
        <v>350</v>
      </c>
      <c r="W17" s="246"/>
      <c r="X17" s="241">
        <v>380</v>
      </c>
    </row>
    <row r="18" ht="21" customHeight="1" spans="1:24">
      <c r="A18" s="73" t="s">
        <v>473</v>
      </c>
      <c r="B18" s="74"/>
      <c r="C18" s="75">
        <v>70</v>
      </c>
      <c r="D18" s="76">
        <v>80</v>
      </c>
      <c r="E18" s="76">
        <v>90</v>
      </c>
      <c r="F18" s="76">
        <v>100</v>
      </c>
      <c r="G18" s="76">
        <v>110</v>
      </c>
      <c r="H18" s="76">
        <v>120</v>
      </c>
      <c r="I18" s="76">
        <v>130</v>
      </c>
      <c r="J18" s="76">
        <v>150</v>
      </c>
      <c r="K18" s="182">
        <v>170</v>
      </c>
      <c r="L18" s="196"/>
      <c r="M18" s="197">
        <v>190</v>
      </c>
      <c r="N18" s="198"/>
      <c r="O18" s="161">
        <v>220</v>
      </c>
      <c r="P18" s="162">
        <v>250</v>
      </c>
      <c r="Q18" s="198"/>
      <c r="R18" s="247">
        <v>290</v>
      </c>
      <c r="S18" s="198"/>
      <c r="T18" s="161">
        <v>330</v>
      </c>
      <c r="U18" s="248">
        <v>370</v>
      </c>
      <c r="V18" s="162">
        <v>410</v>
      </c>
      <c r="W18" s="271"/>
      <c r="X18" s="250">
        <v>460</v>
      </c>
    </row>
    <row r="19" ht="21" customHeight="1" spans="1:24">
      <c r="A19" s="25" t="s">
        <v>474</v>
      </c>
      <c r="B19" s="26"/>
      <c r="C19" s="359">
        <v>70</v>
      </c>
      <c r="D19" s="360">
        <v>80</v>
      </c>
      <c r="E19" s="360">
        <v>90</v>
      </c>
      <c r="F19" s="360">
        <v>100</v>
      </c>
      <c r="G19" s="360">
        <v>110</v>
      </c>
      <c r="H19" s="360">
        <v>120</v>
      </c>
      <c r="I19" s="360">
        <v>130</v>
      </c>
      <c r="J19" s="360">
        <v>150</v>
      </c>
      <c r="K19" s="1005">
        <v>170</v>
      </c>
      <c r="L19" s="1006"/>
      <c r="M19" s="1007">
        <v>190</v>
      </c>
      <c r="N19" s="1008"/>
      <c r="O19" s="401">
        <v>220</v>
      </c>
      <c r="P19" s="402">
        <v>250</v>
      </c>
      <c r="Q19" s="1008"/>
      <c r="R19" s="272">
        <v>290</v>
      </c>
      <c r="S19" s="1008"/>
      <c r="T19" s="401">
        <v>330</v>
      </c>
      <c r="U19" s="430">
        <v>370</v>
      </c>
      <c r="V19" s="402">
        <v>410</v>
      </c>
      <c r="W19" s="1025"/>
      <c r="X19" s="275">
        <v>450</v>
      </c>
    </row>
    <row r="20" ht="21" customHeight="1" spans="1:24">
      <c r="A20" s="59" t="s">
        <v>288</v>
      </c>
      <c r="B20" s="60"/>
      <c r="C20" s="61">
        <v>0</v>
      </c>
      <c r="D20" s="62">
        <v>1</v>
      </c>
      <c r="E20" s="62">
        <v>2</v>
      </c>
      <c r="F20" s="63">
        <v>3</v>
      </c>
      <c r="G20" s="62">
        <v>4</v>
      </c>
      <c r="H20" s="64">
        <v>5</v>
      </c>
      <c r="I20" s="62">
        <v>6</v>
      </c>
      <c r="J20" s="174">
        <v>7</v>
      </c>
      <c r="K20" s="175">
        <v>8</v>
      </c>
      <c r="L20" s="176" t="s">
        <v>479</v>
      </c>
      <c r="M20" s="177"/>
      <c r="N20" s="177"/>
      <c r="O20" s="177"/>
      <c r="P20" s="177"/>
      <c r="Q20" s="177"/>
      <c r="R20" s="177"/>
      <c r="S20" s="177"/>
      <c r="T20" s="177"/>
      <c r="U20" s="177"/>
      <c r="V20" s="177"/>
      <c r="W20" s="177"/>
      <c r="X20" s="258"/>
    </row>
    <row r="21" ht="21" customHeight="1" spans="1:24">
      <c r="A21" s="122" t="s">
        <v>477</v>
      </c>
      <c r="B21" s="122"/>
      <c r="C21" s="41">
        <v>7</v>
      </c>
      <c r="D21" s="42">
        <v>7</v>
      </c>
      <c r="E21" s="42">
        <v>7</v>
      </c>
      <c r="F21" s="43">
        <v>7</v>
      </c>
      <c r="G21" s="42">
        <v>7</v>
      </c>
      <c r="H21" s="44">
        <v>7</v>
      </c>
      <c r="I21" s="42">
        <v>7</v>
      </c>
      <c r="J21" s="163">
        <v>7</v>
      </c>
      <c r="K21" s="164">
        <v>7</v>
      </c>
      <c r="L21" s="176" t="s">
        <v>480</v>
      </c>
      <c r="M21" s="177"/>
      <c r="N21" s="177"/>
      <c r="O21" s="177"/>
      <c r="P21" s="177"/>
      <c r="Q21" s="177"/>
      <c r="R21" s="177"/>
      <c r="S21" s="177"/>
      <c r="T21" s="177"/>
      <c r="U21" s="177"/>
      <c r="V21" s="177"/>
      <c r="W21" s="177"/>
      <c r="X21" s="258"/>
    </row>
    <row r="22" ht="21" customHeight="1" spans="1:24">
      <c r="A22" s="65" t="s">
        <v>472</v>
      </c>
      <c r="B22" s="65"/>
      <c r="C22" s="66">
        <v>16</v>
      </c>
      <c r="D22" s="67">
        <v>15</v>
      </c>
      <c r="E22" s="67">
        <v>14</v>
      </c>
      <c r="F22" s="93">
        <v>13</v>
      </c>
      <c r="G22" s="67">
        <v>12</v>
      </c>
      <c r="H22" s="69">
        <v>11</v>
      </c>
      <c r="I22" s="67">
        <v>10</v>
      </c>
      <c r="J22" s="178">
        <v>9</v>
      </c>
      <c r="K22" s="179">
        <v>7</v>
      </c>
      <c r="L22" s="176" t="s">
        <v>481</v>
      </c>
      <c r="M22" s="177"/>
      <c r="N22" s="177"/>
      <c r="O22" s="177"/>
      <c r="P22" s="177"/>
      <c r="Q22" s="177"/>
      <c r="R22" s="177"/>
      <c r="S22" s="177"/>
      <c r="T22" s="177"/>
      <c r="U22" s="177"/>
      <c r="V22" s="177"/>
      <c r="W22" s="177"/>
      <c r="X22" s="258"/>
    </row>
    <row r="23" ht="21" customHeight="1" spans="1:24">
      <c r="A23" s="122" t="s">
        <v>473</v>
      </c>
      <c r="B23" s="122"/>
      <c r="C23" s="41">
        <v>10</v>
      </c>
      <c r="D23" s="42">
        <v>10</v>
      </c>
      <c r="E23" s="42">
        <v>10</v>
      </c>
      <c r="F23" s="43">
        <v>10</v>
      </c>
      <c r="G23" s="42">
        <v>10</v>
      </c>
      <c r="H23" s="44">
        <v>10</v>
      </c>
      <c r="I23" s="42">
        <v>10</v>
      </c>
      <c r="J23" s="163">
        <v>10</v>
      </c>
      <c r="K23" s="164">
        <v>10</v>
      </c>
      <c r="L23" s="176" t="s">
        <v>482</v>
      </c>
      <c r="M23" s="177"/>
      <c r="N23" s="177"/>
      <c r="O23" s="177"/>
      <c r="P23" s="177"/>
      <c r="Q23" s="177"/>
      <c r="R23" s="177"/>
      <c r="S23" s="177"/>
      <c r="T23" s="177"/>
      <c r="U23" s="177"/>
      <c r="V23" s="177"/>
      <c r="W23" s="177"/>
      <c r="X23" s="258"/>
    </row>
    <row r="24" ht="21" customHeight="1" spans="1:24">
      <c r="A24" s="65" t="s">
        <v>474</v>
      </c>
      <c r="B24" s="65"/>
      <c r="C24" s="66">
        <v>10</v>
      </c>
      <c r="D24" s="67">
        <v>10</v>
      </c>
      <c r="E24" s="67">
        <v>10</v>
      </c>
      <c r="F24" s="93">
        <v>10</v>
      </c>
      <c r="G24" s="67">
        <v>10</v>
      </c>
      <c r="H24" s="69">
        <v>10</v>
      </c>
      <c r="I24" s="67">
        <v>10</v>
      </c>
      <c r="J24" s="178">
        <v>10</v>
      </c>
      <c r="K24" s="378">
        <v>10</v>
      </c>
      <c r="L24" s="176" t="s">
        <v>483</v>
      </c>
      <c r="M24" s="177"/>
      <c r="N24" s="177"/>
      <c r="O24" s="177"/>
      <c r="P24" s="177"/>
      <c r="Q24" s="177"/>
      <c r="R24" s="177"/>
      <c r="S24" s="177"/>
      <c r="T24" s="177"/>
      <c r="U24" s="177"/>
      <c r="V24" s="177"/>
      <c r="W24" s="177"/>
      <c r="X24" s="258"/>
    </row>
    <row r="25" ht="21" customHeight="1" spans="1:24">
      <c r="A25" s="45"/>
      <c r="B25" s="46"/>
      <c r="C25" s="46"/>
      <c r="D25" s="46"/>
      <c r="E25" s="46"/>
      <c r="F25" s="46"/>
      <c r="G25" s="46"/>
      <c r="H25" s="46"/>
      <c r="I25" s="46"/>
      <c r="J25" s="46"/>
      <c r="K25" s="46"/>
      <c r="L25" s="46"/>
      <c r="M25" s="46"/>
      <c r="N25" s="46"/>
      <c r="O25" s="46"/>
      <c r="P25" s="46"/>
      <c r="Q25" s="46"/>
      <c r="R25" s="46"/>
      <c r="S25" s="46"/>
      <c r="T25" s="46"/>
      <c r="U25" s="46"/>
      <c r="V25" s="46"/>
      <c r="W25" s="46"/>
      <c r="X25" s="252"/>
    </row>
    <row r="26" ht="44" customHeight="1" spans="1:24">
      <c r="A26" s="14"/>
      <c r="B26" s="15" t="str">
        <f>_xlfn.DISPIMG("ID_4BA7952B2E124B31B701F575AD50D5A8",1)</f>
        <v>=DISPIMG("ID_4BA7952B2E124B31B701F575AD50D5A8",1)</v>
      </c>
      <c r="C26" s="15" t="str">
        <f>_xlfn.DISPIMG("ID_E06BE0E9FC394FC6A8A6B66BC2C3A18A",1)</f>
        <v>=DISPIMG("ID_E06BE0E9FC394FC6A8A6B66BC2C3A18A",1)</v>
      </c>
      <c r="D26" s="15" t="str">
        <f>_xlfn.DISPIMG("ID_70D70E06D47546B1AF141048CED5403E",1)</f>
        <v>=DISPIMG("ID_70D70E06D47546B1AF141048CED5403E",1)</v>
      </c>
      <c r="E26" s="15"/>
      <c r="F26" s="16"/>
      <c r="G26" s="334" t="s">
        <v>484</v>
      </c>
      <c r="H26" s="335"/>
      <c r="I26" s="335"/>
      <c r="J26" s="335"/>
      <c r="K26" s="335"/>
      <c r="L26" s="335"/>
      <c r="M26" s="335"/>
      <c r="N26" s="335"/>
      <c r="O26" s="374"/>
      <c r="P26" s="14"/>
      <c r="Q26" s="15"/>
      <c r="R26" s="15" t="str">
        <f>_xlfn.DISPIMG("ID_25C25EBBE7A7473D92B484C0AB4F9793",1)</f>
        <v>=DISPIMG("ID_25C25EBBE7A7473D92B484C0AB4F9793",1)</v>
      </c>
      <c r="S26" s="15"/>
      <c r="T26" s="15" t="str">
        <f>_xlfn.DISPIMG("ID_75EFC33BDF3E4C6EA92C55A5F914C592",1)</f>
        <v>=DISPIMG("ID_75EFC33BDF3E4C6EA92C55A5F914C592",1)</v>
      </c>
      <c r="U26" s="15" t="str">
        <f>_xlfn.DISPIMG("ID_B14BB45C32234BC582EA9260DCCD9070",1)</f>
        <v>=DISPIMG("ID_B14BB45C32234BC582EA9260DCCD9070",1)</v>
      </c>
      <c r="V26" s="15"/>
      <c r="W26" s="15"/>
      <c r="X26" s="16"/>
    </row>
    <row r="27" ht="21" customHeight="1" spans="1:24">
      <c r="A27" s="714"/>
      <c r="B27" s="715"/>
      <c r="C27" s="715"/>
      <c r="D27" s="715"/>
      <c r="E27" s="715"/>
      <c r="F27" s="715"/>
      <c r="G27" s="715"/>
      <c r="H27" s="715"/>
      <c r="I27" s="715"/>
      <c r="J27" s="715"/>
      <c r="K27" s="715"/>
      <c r="L27" s="715"/>
      <c r="M27" s="715"/>
      <c r="N27" s="715"/>
      <c r="O27" s="715"/>
      <c r="P27" s="715"/>
      <c r="Q27" s="715"/>
      <c r="R27" s="715"/>
      <c r="S27" s="715"/>
      <c r="T27" s="715"/>
      <c r="U27" s="715"/>
      <c r="V27" s="715"/>
      <c r="W27" s="715"/>
      <c r="X27" s="749"/>
    </row>
    <row r="28" ht="21" customHeight="1" spans="1:24">
      <c r="A28" s="21" t="s">
        <v>250</v>
      </c>
      <c r="B28" s="22"/>
      <c r="C28" s="23">
        <v>0</v>
      </c>
      <c r="D28" s="24">
        <v>1</v>
      </c>
      <c r="E28" s="24">
        <v>2</v>
      </c>
      <c r="F28" s="24">
        <v>3</v>
      </c>
      <c r="G28" s="24">
        <v>4</v>
      </c>
      <c r="H28" s="24">
        <v>5</v>
      </c>
      <c r="I28" s="24">
        <v>6</v>
      </c>
      <c r="J28" s="24">
        <v>7</v>
      </c>
      <c r="K28" s="135">
        <v>8</v>
      </c>
      <c r="L28" s="136">
        <v>9</v>
      </c>
      <c r="M28" s="137"/>
      <c r="N28" s="138"/>
      <c r="O28" s="139">
        <v>10</v>
      </c>
      <c r="P28" s="140">
        <v>11</v>
      </c>
      <c r="Q28" s="236">
        <v>12</v>
      </c>
      <c r="R28" s="236"/>
      <c r="S28" s="236"/>
      <c r="T28" s="139">
        <v>13</v>
      </c>
      <c r="U28" s="237">
        <v>14</v>
      </c>
      <c r="V28" s="140">
        <v>15</v>
      </c>
      <c r="W28" s="137">
        <v>16</v>
      </c>
      <c r="X28" s="138"/>
    </row>
    <row r="29" ht="21" customHeight="1" spans="1:24">
      <c r="A29" s="122" t="s">
        <v>358</v>
      </c>
      <c r="B29" s="123"/>
      <c r="C29" s="336">
        <v>50</v>
      </c>
      <c r="D29" s="337">
        <f t="shared" ref="D29:I29" si="6">50+D28*10</f>
        <v>60</v>
      </c>
      <c r="E29" s="337">
        <f t="shared" si="6"/>
        <v>70</v>
      </c>
      <c r="F29" s="337">
        <f t="shared" si="6"/>
        <v>80</v>
      </c>
      <c r="G29" s="337">
        <f t="shared" si="6"/>
        <v>90</v>
      </c>
      <c r="H29" s="337">
        <f t="shared" si="6"/>
        <v>100</v>
      </c>
      <c r="I29" s="337">
        <f t="shared" si="6"/>
        <v>110</v>
      </c>
      <c r="J29" s="337">
        <f>50+10*6+20*(J28-6)</f>
        <v>130</v>
      </c>
      <c r="K29" s="379">
        <f>50+10*6+20*(K28-6)</f>
        <v>150</v>
      </c>
      <c r="L29" s="380"/>
      <c r="M29" s="218">
        <f>50+10*6+20*(L28-6)</f>
        <v>170</v>
      </c>
      <c r="N29" s="367"/>
      <c r="O29" s="203">
        <v>200</v>
      </c>
      <c r="P29" s="204">
        <v>230</v>
      </c>
      <c r="Q29" s="367"/>
      <c r="R29" s="272">
        <v>260</v>
      </c>
      <c r="S29" s="367"/>
      <c r="T29" s="203">
        <v>290</v>
      </c>
      <c r="U29" s="273">
        <v>320</v>
      </c>
      <c r="V29" s="204">
        <v>350</v>
      </c>
      <c r="W29" s="403"/>
      <c r="X29" s="275">
        <v>380</v>
      </c>
    </row>
    <row r="30" ht="21" customHeight="1" spans="1:24">
      <c r="A30" s="59" t="s">
        <v>288</v>
      </c>
      <c r="B30" s="60"/>
      <c r="C30" s="61">
        <v>0</v>
      </c>
      <c r="D30" s="62">
        <v>1</v>
      </c>
      <c r="E30" s="62">
        <v>2</v>
      </c>
      <c r="F30" s="63">
        <v>3</v>
      </c>
      <c r="G30" s="62">
        <v>4</v>
      </c>
      <c r="H30" s="64">
        <v>5</v>
      </c>
      <c r="I30" s="62">
        <v>6</v>
      </c>
      <c r="J30" s="174">
        <v>7</v>
      </c>
      <c r="K30" s="175">
        <v>8</v>
      </c>
      <c r="L30" s="176" t="s">
        <v>485</v>
      </c>
      <c r="M30" s="177"/>
      <c r="N30" s="177"/>
      <c r="O30" s="177"/>
      <c r="P30" s="177"/>
      <c r="Q30" s="177"/>
      <c r="R30" s="177"/>
      <c r="S30" s="177"/>
      <c r="T30" s="177"/>
      <c r="U30" s="177"/>
      <c r="V30" s="177"/>
      <c r="W30" s="177"/>
      <c r="X30" s="258"/>
    </row>
    <row r="31" ht="21" customHeight="1" spans="1:24">
      <c r="A31" s="122" t="s">
        <v>358</v>
      </c>
      <c r="B31" s="122"/>
      <c r="C31" s="41">
        <v>7</v>
      </c>
      <c r="D31" s="42">
        <v>6.5</v>
      </c>
      <c r="E31" s="42">
        <v>6</v>
      </c>
      <c r="F31" s="43">
        <v>5.5</v>
      </c>
      <c r="G31" s="42">
        <v>5</v>
      </c>
      <c r="H31" s="44">
        <v>4.5</v>
      </c>
      <c r="I31" s="42">
        <v>4</v>
      </c>
      <c r="J31" s="163">
        <v>3.5</v>
      </c>
      <c r="K31" s="164">
        <v>3</v>
      </c>
      <c r="L31" s="176" t="s">
        <v>486</v>
      </c>
      <c r="M31" s="177"/>
      <c r="N31" s="177"/>
      <c r="O31" s="177"/>
      <c r="P31" s="177"/>
      <c r="Q31" s="177"/>
      <c r="R31" s="177"/>
      <c r="S31" s="177"/>
      <c r="T31" s="177"/>
      <c r="U31" s="177"/>
      <c r="V31" s="177"/>
      <c r="W31" s="177"/>
      <c r="X31" s="258"/>
    </row>
    <row r="32" ht="21" customHeight="1" spans="1:24">
      <c r="A32" s="988" t="s">
        <v>487</v>
      </c>
      <c r="B32" s="989"/>
      <c r="C32" s="989"/>
      <c r="D32" s="989"/>
      <c r="E32" s="989"/>
      <c r="F32" s="989"/>
      <c r="G32" s="989"/>
      <c r="H32" s="989"/>
      <c r="I32" s="989"/>
      <c r="J32" s="989"/>
      <c r="K32" s="989"/>
      <c r="L32" s="989"/>
      <c r="M32" s="989"/>
      <c r="N32" s="989"/>
      <c r="O32" s="989"/>
      <c r="P32" s="989"/>
      <c r="Q32" s="989"/>
      <c r="R32" s="989"/>
      <c r="S32" s="989"/>
      <c r="T32" s="989"/>
      <c r="U32" s="989"/>
      <c r="V32" s="989"/>
      <c r="W32" s="989"/>
      <c r="X32" s="1026"/>
    </row>
    <row r="33" ht="21" customHeight="1" spans="1:24">
      <c r="A33" s="21" t="s">
        <v>488</v>
      </c>
      <c r="B33" s="22"/>
      <c r="C33" s="23">
        <v>0</v>
      </c>
      <c r="D33" s="24">
        <v>1</v>
      </c>
      <c r="E33" s="24">
        <v>2</v>
      </c>
      <c r="F33" s="24">
        <v>3</v>
      </c>
      <c r="G33" s="24">
        <v>4</v>
      </c>
      <c r="H33" s="24">
        <v>5</v>
      </c>
      <c r="I33" s="24">
        <v>6</v>
      </c>
      <c r="J33" s="24">
        <v>7</v>
      </c>
      <c r="K33" s="135">
        <v>8</v>
      </c>
      <c r="L33" s="136">
        <v>9</v>
      </c>
      <c r="M33" s="137"/>
      <c r="N33" s="138"/>
      <c r="O33" s="139">
        <v>10</v>
      </c>
      <c r="P33" s="140">
        <v>11</v>
      </c>
      <c r="Q33" s="236">
        <v>12</v>
      </c>
      <c r="R33" s="236"/>
      <c r="S33" s="236"/>
      <c r="T33" s="139">
        <v>13</v>
      </c>
      <c r="U33" s="237">
        <v>14</v>
      </c>
      <c r="V33" s="140">
        <v>15</v>
      </c>
      <c r="W33" s="137">
        <v>16</v>
      </c>
      <c r="X33" s="138"/>
    </row>
    <row r="34" ht="21" customHeight="1" spans="1:24">
      <c r="A34" s="73" t="s">
        <v>489</v>
      </c>
      <c r="B34" s="74"/>
      <c r="C34" s="321">
        <v>36</v>
      </c>
      <c r="D34" s="322">
        <v>38</v>
      </c>
      <c r="E34" s="322">
        <v>40</v>
      </c>
      <c r="F34" s="322">
        <v>42</v>
      </c>
      <c r="G34" s="322">
        <v>45</v>
      </c>
      <c r="H34" s="322">
        <v>48</v>
      </c>
      <c r="I34" s="322">
        <v>51</v>
      </c>
      <c r="J34" s="322">
        <v>57</v>
      </c>
      <c r="K34" s="361">
        <v>63</v>
      </c>
      <c r="L34" s="362"/>
      <c r="M34" s="159">
        <v>69</v>
      </c>
      <c r="N34" s="160"/>
      <c r="O34" s="161">
        <v>77</v>
      </c>
      <c r="P34" s="162">
        <v>85</v>
      </c>
      <c r="Q34" s="160"/>
      <c r="R34" s="247">
        <v>93</v>
      </c>
      <c r="S34" s="160"/>
      <c r="T34" s="161">
        <v>101</v>
      </c>
      <c r="U34" s="248">
        <v>109</v>
      </c>
      <c r="V34" s="162">
        <v>117</v>
      </c>
      <c r="W34" s="249"/>
      <c r="X34" s="250">
        <v>125</v>
      </c>
    </row>
    <row r="35" ht="21" customHeight="1" spans="1:24">
      <c r="A35" s="122" t="s">
        <v>490</v>
      </c>
      <c r="B35" s="123"/>
      <c r="C35" s="87">
        <f t="shared" ref="C35:K35" si="7">C34*10</f>
        <v>360</v>
      </c>
      <c r="D35" s="88">
        <f t="shared" si="7"/>
        <v>380</v>
      </c>
      <c r="E35" s="88">
        <f t="shared" si="7"/>
        <v>400</v>
      </c>
      <c r="F35" s="88">
        <f t="shared" si="7"/>
        <v>420</v>
      </c>
      <c r="G35" s="88">
        <f t="shared" si="7"/>
        <v>450</v>
      </c>
      <c r="H35" s="88">
        <f t="shared" si="7"/>
        <v>480</v>
      </c>
      <c r="I35" s="88">
        <f t="shared" si="7"/>
        <v>510</v>
      </c>
      <c r="J35" s="88">
        <f t="shared" si="7"/>
        <v>570</v>
      </c>
      <c r="K35" s="199">
        <f t="shared" si="7"/>
        <v>630</v>
      </c>
      <c r="L35" s="200"/>
      <c r="M35" s="201">
        <f t="shared" ref="M35:P35" si="8">M34*10</f>
        <v>690</v>
      </c>
      <c r="N35" s="202"/>
      <c r="O35" s="203">
        <f t="shared" si="8"/>
        <v>770</v>
      </c>
      <c r="P35" s="204">
        <f t="shared" si="8"/>
        <v>850</v>
      </c>
      <c r="Q35" s="202"/>
      <c r="R35" s="272">
        <f t="shared" ref="R35:V35" si="9">R34*10</f>
        <v>930</v>
      </c>
      <c r="S35" s="202"/>
      <c r="T35" s="203">
        <f t="shared" si="9"/>
        <v>1010</v>
      </c>
      <c r="U35" s="273">
        <f t="shared" si="9"/>
        <v>1090</v>
      </c>
      <c r="V35" s="204">
        <f t="shared" si="9"/>
        <v>1170</v>
      </c>
      <c r="W35" s="274"/>
      <c r="X35" s="275">
        <f>X34*10</f>
        <v>1250</v>
      </c>
    </row>
    <row r="36" ht="21" customHeight="1" spans="1:24">
      <c r="A36" s="59" t="s">
        <v>288</v>
      </c>
      <c r="B36" s="60"/>
      <c r="C36" s="61">
        <v>0</v>
      </c>
      <c r="D36" s="62">
        <v>1</v>
      </c>
      <c r="E36" s="62">
        <v>2</v>
      </c>
      <c r="F36" s="63">
        <v>3</v>
      </c>
      <c r="G36" s="62">
        <v>4</v>
      </c>
      <c r="H36" s="64">
        <v>5</v>
      </c>
      <c r="I36" s="62">
        <v>6</v>
      </c>
      <c r="J36" s="174">
        <v>7</v>
      </c>
      <c r="K36" s="175">
        <v>8</v>
      </c>
      <c r="L36" s="176" t="s">
        <v>491</v>
      </c>
      <c r="M36" s="177"/>
      <c r="N36" s="177"/>
      <c r="O36" s="177"/>
      <c r="P36" s="177"/>
      <c r="Q36" s="177"/>
      <c r="R36" s="177"/>
      <c r="S36" s="177"/>
      <c r="T36" s="177"/>
      <c r="U36" s="177"/>
      <c r="V36" s="177"/>
      <c r="W36" s="177"/>
      <c r="X36" s="258"/>
    </row>
    <row r="37" ht="21" customHeight="1" spans="1:24">
      <c r="A37" s="122" t="s">
        <v>492</v>
      </c>
      <c r="B37" s="122"/>
      <c r="C37" s="41">
        <v>10</v>
      </c>
      <c r="D37" s="42">
        <v>9</v>
      </c>
      <c r="E37" s="42">
        <v>8</v>
      </c>
      <c r="F37" s="43">
        <v>7</v>
      </c>
      <c r="G37" s="42">
        <v>6</v>
      </c>
      <c r="H37" s="44">
        <v>5</v>
      </c>
      <c r="I37" s="42">
        <v>4</v>
      </c>
      <c r="J37" s="163">
        <v>3</v>
      </c>
      <c r="K37" s="164">
        <v>2</v>
      </c>
      <c r="L37" s="176" t="s">
        <v>493</v>
      </c>
      <c r="M37" s="177"/>
      <c r="N37" s="177"/>
      <c r="O37" s="177"/>
      <c r="P37" s="177"/>
      <c r="Q37" s="177"/>
      <c r="R37" s="177"/>
      <c r="S37" s="177"/>
      <c r="T37" s="177"/>
      <c r="U37" s="177"/>
      <c r="V37" s="177"/>
      <c r="W37" s="177"/>
      <c r="X37" s="258"/>
    </row>
    <row r="38" ht="21" customHeight="1" spans="1:24">
      <c r="A38" s="65" t="s">
        <v>494</v>
      </c>
      <c r="B38" s="65"/>
      <c r="C38" s="66">
        <v>10</v>
      </c>
      <c r="D38" s="67">
        <v>9.5</v>
      </c>
      <c r="E38" s="67">
        <v>9</v>
      </c>
      <c r="F38" s="93">
        <v>8.5</v>
      </c>
      <c r="G38" s="67">
        <v>8</v>
      </c>
      <c r="H38" s="69">
        <v>7.5</v>
      </c>
      <c r="I38" s="67">
        <v>7</v>
      </c>
      <c r="J38" s="178">
        <v>6.5</v>
      </c>
      <c r="K38" s="179">
        <v>6</v>
      </c>
      <c r="L38" s="176" t="s">
        <v>495</v>
      </c>
      <c r="M38" s="177"/>
      <c r="N38" s="177"/>
      <c r="O38" s="177"/>
      <c r="P38" s="177"/>
      <c r="Q38" s="177"/>
      <c r="R38" s="177"/>
      <c r="S38" s="177"/>
      <c r="T38" s="177"/>
      <c r="U38" s="177"/>
      <c r="V38" s="177"/>
      <c r="W38" s="177"/>
      <c r="X38" s="258"/>
    </row>
    <row r="39" ht="21" customHeight="1" spans="1:24">
      <c r="A39" s="122" t="s">
        <v>490</v>
      </c>
      <c r="B39" s="122"/>
      <c r="C39" s="41">
        <v>7</v>
      </c>
      <c r="D39" s="42">
        <v>6.5</v>
      </c>
      <c r="E39" s="42">
        <v>6</v>
      </c>
      <c r="F39" s="43">
        <v>5.5</v>
      </c>
      <c r="G39" s="42">
        <v>5</v>
      </c>
      <c r="H39" s="44">
        <v>4.5</v>
      </c>
      <c r="I39" s="42">
        <v>4</v>
      </c>
      <c r="J39" s="163">
        <v>3.5</v>
      </c>
      <c r="K39" s="164">
        <v>3</v>
      </c>
      <c r="L39" s="523" t="s">
        <v>496</v>
      </c>
      <c r="M39" s="574"/>
      <c r="N39" s="574"/>
      <c r="O39" s="574"/>
      <c r="P39" s="574"/>
      <c r="Q39" s="574"/>
      <c r="R39" s="574"/>
      <c r="S39" s="574"/>
      <c r="T39" s="574"/>
      <c r="U39" s="574"/>
      <c r="V39" s="574"/>
      <c r="W39" s="574"/>
      <c r="X39" s="584"/>
    </row>
    <row r="40" ht="21" customHeight="1" spans="1:24">
      <c r="A40" s="990" t="s">
        <v>497</v>
      </c>
      <c r="B40" s="990"/>
      <c r="C40" s="990"/>
      <c r="D40" s="990"/>
      <c r="E40" s="990"/>
      <c r="F40" s="990"/>
      <c r="G40" s="990"/>
      <c r="H40" s="990"/>
      <c r="I40" s="990"/>
      <c r="J40" s="990"/>
      <c r="K40" s="990"/>
      <c r="L40" s="990"/>
      <c r="M40" s="990"/>
      <c r="N40" s="990"/>
      <c r="O40" s="990"/>
      <c r="P40" s="990"/>
      <c r="Q40" s="990"/>
      <c r="R40" s="990"/>
      <c r="S40" s="990"/>
      <c r="T40" s="990"/>
      <c r="U40" s="990"/>
      <c r="V40" s="990"/>
      <c r="W40" s="990"/>
      <c r="X40" s="990"/>
    </row>
    <row r="41" ht="21" customHeight="1" spans="1:24">
      <c r="A41" s="872" t="s">
        <v>498</v>
      </c>
      <c r="B41" s="872" t="s">
        <v>499</v>
      </c>
      <c r="C41" s="23">
        <v>0</v>
      </c>
      <c r="D41" s="24">
        <v>1</v>
      </c>
      <c r="E41" s="24">
        <v>2</v>
      </c>
      <c r="F41" s="24">
        <v>3</v>
      </c>
      <c r="G41" s="24">
        <v>4</v>
      </c>
      <c r="H41" s="24">
        <v>5</v>
      </c>
      <c r="I41" s="24">
        <v>6</v>
      </c>
      <c r="J41" s="24">
        <v>7</v>
      </c>
      <c r="K41" s="135">
        <v>8</v>
      </c>
      <c r="L41" s="136">
        <v>9</v>
      </c>
      <c r="M41" s="137"/>
      <c r="N41" s="138"/>
      <c r="O41" s="139">
        <v>10</v>
      </c>
      <c r="P41" s="140">
        <v>11</v>
      </c>
      <c r="Q41" s="236">
        <v>12</v>
      </c>
      <c r="R41" s="236"/>
      <c r="S41" s="236"/>
      <c r="T41" s="139">
        <v>13</v>
      </c>
      <c r="U41" s="237">
        <v>14</v>
      </c>
      <c r="V41" s="140">
        <v>15</v>
      </c>
      <c r="W41" s="137">
        <v>16</v>
      </c>
      <c r="X41" s="138"/>
    </row>
    <row r="42" ht="21" customHeight="1" spans="1:24">
      <c r="A42" s="73" t="s">
        <v>500</v>
      </c>
      <c r="B42" s="73" t="s">
        <v>501</v>
      </c>
      <c r="C42" s="991">
        <v>6</v>
      </c>
      <c r="D42" s="992">
        <f t="shared" ref="D42:K42" si="10">D34/6</f>
        <v>6.33333333333333</v>
      </c>
      <c r="E42" s="992">
        <f t="shared" si="10"/>
        <v>6.66666666666667</v>
      </c>
      <c r="F42" s="993">
        <f t="shared" si="10"/>
        <v>7</v>
      </c>
      <c r="G42" s="992">
        <f t="shared" si="10"/>
        <v>7.5</v>
      </c>
      <c r="H42" s="994">
        <f t="shared" si="10"/>
        <v>8</v>
      </c>
      <c r="I42" s="992">
        <f t="shared" si="10"/>
        <v>8.5</v>
      </c>
      <c r="J42" s="1009">
        <f t="shared" si="10"/>
        <v>9.5</v>
      </c>
      <c r="K42" s="1010">
        <f t="shared" si="10"/>
        <v>10.5</v>
      </c>
      <c r="L42" s="196"/>
      <c r="M42" s="197">
        <f t="shared" ref="M42:P42" si="11">M34/6</f>
        <v>11.5</v>
      </c>
      <c r="N42" s="198"/>
      <c r="O42" s="161">
        <f t="shared" si="11"/>
        <v>12.8333333333333</v>
      </c>
      <c r="P42" s="162">
        <f t="shared" si="11"/>
        <v>14.1666666666667</v>
      </c>
      <c r="Q42" s="198"/>
      <c r="R42" s="247">
        <f t="shared" ref="R42:V42" si="12">R34/6</f>
        <v>15.5</v>
      </c>
      <c r="S42" s="198"/>
      <c r="T42" s="161">
        <f t="shared" si="12"/>
        <v>16.8333333333333</v>
      </c>
      <c r="U42" s="248">
        <f t="shared" si="12"/>
        <v>18.1666666666667</v>
      </c>
      <c r="V42" s="162">
        <f t="shared" si="12"/>
        <v>19.5</v>
      </c>
      <c r="W42" s="271"/>
      <c r="X42" s="250">
        <v>20</v>
      </c>
    </row>
    <row r="43" ht="21" customHeight="1" spans="1:24">
      <c r="A43" s="122" t="s">
        <v>490</v>
      </c>
      <c r="B43" s="122" t="s">
        <v>501</v>
      </c>
      <c r="C43" s="41">
        <v>20</v>
      </c>
      <c r="D43" s="42">
        <v>20</v>
      </c>
      <c r="E43" s="42">
        <v>20</v>
      </c>
      <c r="F43" s="43">
        <v>20</v>
      </c>
      <c r="G43" s="42">
        <v>20</v>
      </c>
      <c r="H43" s="44">
        <v>20</v>
      </c>
      <c r="I43" s="42">
        <v>20</v>
      </c>
      <c r="J43" s="163">
        <v>20</v>
      </c>
      <c r="K43" s="575">
        <v>20</v>
      </c>
      <c r="L43" s="200"/>
      <c r="M43" s="201">
        <v>20</v>
      </c>
      <c r="N43" s="202"/>
      <c r="O43" s="203">
        <v>20</v>
      </c>
      <c r="P43" s="204">
        <v>20</v>
      </c>
      <c r="Q43" s="202"/>
      <c r="R43" s="272">
        <v>20</v>
      </c>
      <c r="S43" s="202"/>
      <c r="T43" s="203">
        <v>20</v>
      </c>
      <c r="U43" s="273">
        <v>20</v>
      </c>
      <c r="V43" s="204">
        <v>20</v>
      </c>
      <c r="W43" s="274"/>
      <c r="X43" s="275">
        <v>20</v>
      </c>
    </row>
    <row r="44" ht="21" customHeight="1" spans="1:24">
      <c r="A44" s="995" t="s">
        <v>502</v>
      </c>
      <c r="B44" s="995" t="s">
        <v>503</v>
      </c>
      <c r="C44" s="996">
        <v>6</v>
      </c>
      <c r="D44" s="997">
        <v>6.33333333333333</v>
      </c>
      <c r="E44" s="997">
        <v>6.66666666666667</v>
      </c>
      <c r="F44" s="998">
        <v>7</v>
      </c>
      <c r="G44" s="997">
        <v>7.5</v>
      </c>
      <c r="H44" s="999">
        <v>8</v>
      </c>
      <c r="I44" s="997">
        <v>8.5</v>
      </c>
      <c r="J44" s="1011">
        <v>9.5</v>
      </c>
      <c r="K44" s="1012">
        <v>10.5</v>
      </c>
      <c r="L44" s="1013"/>
      <c r="M44" s="1014">
        <v>11.5</v>
      </c>
      <c r="N44" s="1015"/>
      <c r="O44" s="1016">
        <v>12.8333333333333</v>
      </c>
      <c r="P44" s="1017">
        <v>14.1666666666667</v>
      </c>
      <c r="Q44" s="1015"/>
      <c r="R44" s="1027">
        <v>15.5</v>
      </c>
      <c r="S44" s="1015"/>
      <c r="T44" s="1016">
        <v>16.8333333333333</v>
      </c>
      <c r="U44" s="1028">
        <v>18.1666666666667</v>
      </c>
      <c r="V44" s="1017">
        <v>19.5</v>
      </c>
      <c r="W44" s="1029"/>
      <c r="X44" s="1030">
        <v>20</v>
      </c>
    </row>
    <row r="45" ht="21" customHeight="1" spans="1:24">
      <c r="A45" s="122" t="s">
        <v>490</v>
      </c>
      <c r="B45" s="122" t="s">
        <v>503</v>
      </c>
      <c r="C45" s="41">
        <v>20</v>
      </c>
      <c r="D45" s="42">
        <v>20</v>
      </c>
      <c r="E45" s="42">
        <v>20</v>
      </c>
      <c r="F45" s="43">
        <v>20</v>
      </c>
      <c r="G45" s="42">
        <v>20</v>
      </c>
      <c r="H45" s="44">
        <v>20</v>
      </c>
      <c r="I45" s="42">
        <v>20</v>
      </c>
      <c r="J45" s="163">
        <v>20</v>
      </c>
      <c r="K45" s="575">
        <v>20</v>
      </c>
      <c r="L45" s="200"/>
      <c r="M45" s="201">
        <v>20</v>
      </c>
      <c r="N45" s="202"/>
      <c r="O45" s="203">
        <v>20</v>
      </c>
      <c r="P45" s="204">
        <v>20</v>
      </c>
      <c r="Q45" s="202"/>
      <c r="R45" s="272">
        <v>20</v>
      </c>
      <c r="S45" s="202"/>
      <c r="T45" s="203">
        <v>20</v>
      </c>
      <c r="U45" s="273">
        <v>20</v>
      </c>
      <c r="V45" s="204">
        <v>20</v>
      </c>
      <c r="W45" s="274"/>
      <c r="X45" s="275">
        <v>20</v>
      </c>
    </row>
    <row r="46" ht="21" customHeight="1" spans="1:24">
      <c r="A46" s="1000" t="s">
        <v>500</v>
      </c>
      <c r="B46" s="1000" t="s">
        <v>504</v>
      </c>
      <c r="C46" s="1001">
        <f t="shared" ref="C46:K46" si="13">C34/60</f>
        <v>0.6</v>
      </c>
      <c r="D46" s="1002">
        <f t="shared" si="13"/>
        <v>0.633333333333333</v>
      </c>
      <c r="E46" s="1002">
        <f t="shared" si="13"/>
        <v>0.666666666666667</v>
      </c>
      <c r="F46" s="1003">
        <f t="shared" si="13"/>
        <v>0.7</v>
      </c>
      <c r="G46" s="1002">
        <f t="shared" si="13"/>
        <v>0.75</v>
      </c>
      <c r="H46" s="1004">
        <f t="shared" si="13"/>
        <v>0.8</v>
      </c>
      <c r="I46" s="1002">
        <f t="shared" si="13"/>
        <v>0.85</v>
      </c>
      <c r="J46" s="1018">
        <f t="shared" si="13"/>
        <v>0.95</v>
      </c>
      <c r="K46" s="1019">
        <f t="shared" si="13"/>
        <v>1.05</v>
      </c>
      <c r="L46" s="1020"/>
      <c r="M46" s="1021">
        <f t="shared" ref="M46:P46" si="14">M34/60</f>
        <v>1.15</v>
      </c>
      <c r="N46" s="1022"/>
      <c r="O46" s="1023">
        <f t="shared" si="14"/>
        <v>1.28333333333333</v>
      </c>
      <c r="P46" s="1024">
        <f t="shared" si="14"/>
        <v>1.41666666666667</v>
      </c>
      <c r="Q46" s="1022"/>
      <c r="R46" s="1031">
        <f t="shared" ref="R46:V46" si="15">R34/60</f>
        <v>1.55</v>
      </c>
      <c r="S46" s="1022"/>
      <c r="T46" s="1023">
        <f t="shared" si="15"/>
        <v>1.68333333333333</v>
      </c>
      <c r="U46" s="1032">
        <f t="shared" si="15"/>
        <v>1.81666666666667</v>
      </c>
      <c r="V46" s="1024">
        <f t="shared" si="15"/>
        <v>1.95</v>
      </c>
      <c r="W46" s="1033"/>
      <c r="X46" s="1034">
        <f>X34/60</f>
        <v>2.08333333333333</v>
      </c>
    </row>
    <row r="47" ht="21" customHeight="1" spans="1:24">
      <c r="A47" s="122" t="s">
        <v>490</v>
      </c>
      <c r="B47" s="122" t="s">
        <v>504</v>
      </c>
      <c r="C47" s="41">
        <v>6</v>
      </c>
      <c r="D47" s="42">
        <v>6.33333333333333</v>
      </c>
      <c r="E47" s="42">
        <v>6.66666666666667</v>
      </c>
      <c r="F47" s="43">
        <v>7</v>
      </c>
      <c r="G47" s="42">
        <v>7.5</v>
      </c>
      <c r="H47" s="44">
        <v>8</v>
      </c>
      <c r="I47" s="42">
        <v>8.5</v>
      </c>
      <c r="J47" s="163">
        <v>9.5</v>
      </c>
      <c r="K47" s="575">
        <v>10.5</v>
      </c>
      <c r="L47" s="200"/>
      <c r="M47" s="201">
        <v>11.5</v>
      </c>
      <c r="N47" s="202"/>
      <c r="O47" s="203">
        <v>12.8333333333333</v>
      </c>
      <c r="P47" s="204">
        <v>14.1666666666667</v>
      </c>
      <c r="Q47" s="202"/>
      <c r="R47" s="272">
        <v>15.5</v>
      </c>
      <c r="S47" s="202"/>
      <c r="T47" s="203">
        <v>16.8333333333333</v>
      </c>
      <c r="U47" s="273">
        <v>18.1666666666667</v>
      </c>
      <c r="V47" s="204">
        <v>19.5</v>
      </c>
      <c r="W47" s="274"/>
      <c r="X47" s="275">
        <v>20</v>
      </c>
    </row>
  </sheetData>
  <sheetProtection formatCells="0" insertHyperlinks="0" autoFilter="0"/>
  <mergeCells count="72">
    <mergeCell ref="A1:C1"/>
    <mergeCell ref="D1:T1"/>
    <mergeCell ref="U1:X1"/>
    <mergeCell ref="B2:D2"/>
    <mergeCell ref="F2:H2"/>
    <mergeCell ref="J2:V2"/>
    <mergeCell ref="W2:X2"/>
    <mergeCell ref="A3:X3"/>
    <mergeCell ref="A4:X4"/>
    <mergeCell ref="G5:O5"/>
    <mergeCell ref="P5:X5"/>
    <mergeCell ref="A6:X6"/>
    <mergeCell ref="A7:B7"/>
    <mergeCell ref="L7:N7"/>
    <mergeCell ref="Q7:S7"/>
    <mergeCell ref="W7:X7"/>
    <mergeCell ref="A8:B8"/>
    <mergeCell ref="A9:B9"/>
    <mergeCell ref="A10:B10"/>
    <mergeCell ref="A11:X11"/>
    <mergeCell ref="A12:B12"/>
    <mergeCell ref="A13:B13"/>
    <mergeCell ref="A14:B14"/>
    <mergeCell ref="L14:N14"/>
    <mergeCell ref="Q14:S14"/>
    <mergeCell ref="W14:X14"/>
    <mergeCell ref="A15:B15"/>
    <mergeCell ref="A16:B16"/>
    <mergeCell ref="A17:B17"/>
    <mergeCell ref="A18:B18"/>
    <mergeCell ref="A19:B19"/>
    <mergeCell ref="A20:B20"/>
    <mergeCell ref="L20:X20"/>
    <mergeCell ref="A21:B21"/>
    <mergeCell ref="L21:X21"/>
    <mergeCell ref="A22:B22"/>
    <mergeCell ref="L22:X22"/>
    <mergeCell ref="A23:B23"/>
    <mergeCell ref="L23:X23"/>
    <mergeCell ref="A24:B24"/>
    <mergeCell ref="L24:X24"/>
    <mergeCell ref="A25:X25"/>
    <mergeCell ref="G26:O26"/>
    <mergeCell ref="A27:X27"/>
    <mergeCell ref="A28:B28"/>
    <mergeCell ref="L28:N28"/>
    <mergeCell ref="Q28:S28"/>
    <mergeCell ref="W28:X28"/>
    <mergeCell ref="A29:B29"/>
    <mergeCell ref="A30:B30"/>
    <mergeCell ref="L30:X30"/>
    <mergeCell ref="A31:B31"/>
    <mergeCell ref="L31:X31"/>
    <mergeCell ref="A32:X32"/>
    <mergeCell ref="A33:B33"/>
    <mergeCell ref="L33:N33"/>
    <mergeCell ref="Q33:S33"/>
    <mergeCell ref="W33:X33"/>
    <mergeCell ref="A34:B34"/>
    <mergeCell ref="A35:B35"/>
    <mergeCell ref="A36:B36"/>
    <mergeCell ref="L36:X36"/>
    <mergeCell ref="A37:B37"/>
    <mergeCell ref="L37:X37"/>
    <mergeCell ref="A38:B38"/>
    <mergeCell ref="L38:X38"/>
    <mergeCell ref="A39:B39"/>
    <mergeCell ref="L39:X39"/>
    <mergeCell ref="A40:X40"/>
    <mergeCell ref="L41:N41"/>
    <mergeCell ref="Q41:S41"/>
    <mergeCell ref="W41:X41"/>
  </mergeCells>
  <pageMargins left="0.75" right="0.75" top="1" bottom="1" header="0.5" footer="0.5"/>
  <headerFooter/>
  <pictur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9"/>
  <sheetViews>
    <sheetView workbookViewId="0">
      <selection activeCell="K9" sqref="K9"/>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7</v>
      </c>
      <c r="B1" s="2"/>
      <c r="C1" s="2"/>
      <c r="D1" s="3" t="s">
        <v>505</v>
      </c>
      <c r="E1" s="4"/>
      <c r="F1" s="4"/>
      <c r="G1" s="2"/>
      <c r="H1" s="2"/>
      <c r="I1" s="4"/>
      <c r="J1" s="4"/>
      <c r="K1" s="2"/>
      <c r="L1" s="2"/>
      <c r="M1" s="2"/>
      <c r="N1" s="2"/>
      <c r="O1" s="2"/>
      <c r="P1" s="2"/>
      <c r="Q1" s="2"/>
      <c r="R1" s="2"/>
      <c r="S1" s="2"/>
      <c r="T1" s="2"/>
      <c r="U1" s="2">
        <v>7</v>
      </c>
      <c r="V1" s="2"/>
      <c r="W1" s="2"/>
      <c r="X1" s="2"/>
    </row>
    <row r="2" ht="21" customHeight="1" spans="1:24">
      <c r="A2" s="5"/>
      <c r="B2" s="6" t="s">
        <v>1</v>
      </c>
      <c r="C2" s="7"/>
      <c r="D2" s="8"/>
      <c r="E2" s="9"/>
      <c r="F2" s="6" t="s">
        <v>506</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12" t="s">
        <v>35</v>
      </c>
      <c r="B4" s="13"/>
      <c r="C4" s="13"/>
      <c r="D4" s="13"/>
      <c r="E4" s="13"/>
      <c r="F4" s="13"/>
      <c r="G4" s="13"/>
      <c r="H4" s="13"/>
      <c r="I4" s="13"/>
      <c r="J4" s="13"/>
      <c r="K4" s="13"/>
      <c r="L4" s="13"/>
      <c r="M4" s="13"/>
      <c r="N4" s="13"/>
      <c r="O4" s="13"/>
      <c r="P4" s="13"/>
      <c r="Q4" s="13"/>
      <c r="R4" s="13"/>
      <c r="S4" s="13"/>
      <c r="T4" s="13"/>
      <c r="U4" s="13"/>
      <c r="V4" s="13"/>
      <c r="W4" s="13"/>
      <c r="X4" s="232"/>
    </row>
    <row r="5" ht="44" customHeight="1" spans="1:24">
      <c r="A5" s="47" t="str">
        <f>_xlfn.DISPIMG("ID_F0FAF88A251845FC910815A3E8DD014D",1)</f>
        <v>=DISPIMG("ID_F0FAF88A251845FC910815A3E8DD014D",1)</v>
      </c>
      <c r="B5" s="48" t="str">
        <f>_xlfn.DISPIMG("ID_85C9C57A189C48A7B2C623DB49D4C448",1)</f>
        <v>=DISPIMG("ID_85C9C57A189C48A7B2C623DB49D4C448",1)</v>
      </c>
      <c r="C5" s="48" t="str">
        <f>_xlfn.DISPIMG("ID_E04C355FC2D840AEB4BAE59D439D8693",1)</f>
        <v>=DISPIMG("ID_E04C355FC2D840AEB4BAE59D439D8693",1)</v>
      </c>
      <c r="D5" s="48" t="str">
        <f>_xlfn.DISPIMG("ID_721F43C02B414AA69743E3A17E44852B",1)</f>
        <v>=DISPIMG("ID_721F43C02B414AA69743E3A17E44852B",1)</v>
      </c>
      <c r="E5" s="48" t="str">
        <f>_xlfn.DISPIMG("ID_2D16F61906CB444282A32806EFECB1CB",1)</f>
        <v>=DISPIMG("ID_2D16F61906CB444282A32806EFECB1CB",1)</v>
      </c>
      <c r="F5" s="70" t="str">
        <f>_xlfn.DISPIMG("ID_89FD986349234475B81DA9E197CEC7E2",1)</f>
        <v>=DISPIMG("ID_89FD986349234475B81DA9E197CEC7E2",1)</v>
      </c>
      <c r="G5" s="936" t="s">
        <v>507</v>
      </c>
      <c r="H5" s="937"/>
      <c r="I5" s="937"/>
      <c r="J5" s="937"/>
      <c r="K5" s="937"/>
      <c r="L5" s="937"/>
      <c r="M5" s="937"/>
      <c r="N5" s="937"/>
      <c r="O5" s="960"/>
      <c r="P5" s="443" t="s">
        <v>508</v>
      </c>
      <c r="Q5" s="446"/>
      <c r="R5" s="446"/>
      <c r="S5" s="446"/>
      <c r="T5" s="446"/>
      <c r="U5" s="446"/>
      <c r="V5" s="446"/>
      <c r="W5" s="48"/>
      <c r="X5" s="70" t="str">
        <f>_xlfn.DISPIMG("ID_0D2182BEFE234C77BB11008C19370DD3",1)</f>
        <v>=DISPIMG("ID_0D2182BEFE234C77BB11008C19370DD3",1)</v>
      </c>
    </row>
    <row r="6" ht="21" customHeight="1" spans="1:24">
      <c r="A6" s="714"/>
      <c r="B6" s="715"/>
      <c r="C6" s="715"/>
      <c r="D6" s="715"/>
      <c r="E6" s="715"/>
      <c r="F6" s="715"/>
      <c r="G6" s="715"/>
      <c r="H6" s="715"/>
      <c r="I6" s="715"/>
      <c r="J6" s="715"/>
      <c r="K6" s="715"/>
      <c r="L6" s="715"/>
      <c r="M6" s="715"/>
      <c r="N6" s="715"/>
      <c r="O6" s="715"/>
      <c r="P6" s="715"/>
      <c r="Q6" s="715"/>
      <c r="R6" s="715"/>
      <c r="S6" s="715"/>
      <c r="T6" s="715"/>
      <c r="U6" s="715"/>
      <c r="V6" s="715"/>
      <c r="W6" s="715"/>
      <c r="X6" s="749"/>
    </row>
    <row r="7" ht="21" customHeight="1" spans="1:24">
      <c r="A7" s="21" t="s">
        <v>8</v>
      </c>
      <c r="B7" s="22"/>
      <c r="C7" s="23">
        <v>0</v>
      </c>
      <c r="D7" s="24">
        <v>1</v>
      </c>
      <c r="E7" s="24">
        <v>2</v>
      </c>
      <c r="F7" s="24">
        <v>3</v>
      </c>
      <c r="G7" s="24">
        <v>4</v>
      </c>
      <c r="H7" s="24">
        <v>5</v>
      </c>
      <c r="I7" s="24">
        <v>6</v>
      </c>
      <c r="J7" s="24">
        <v>7</v>
      </c>
      <c r="K7" s="135">
        <v>8</v>
      </c>
      <c r="L7" s="136">
        <v>9</v>
      </c>
      <c r="M7" s="137"/>
      <c r="N7" s="138"/>
      <c r="O7" s="139">
        <v>10</v>
      </c>
      <c r="P7" s="140">
        <v>11</v>
      </c>
      <c r="Q7" s="236">
        <v>12</v>
      </c>
      <c r="R7" s="236"/>
      <c r="S7" s="236"/>
      <c r="T7" s="139">
        <v>13</v>
      </c>
      <c r="U7" s="237">
        <v>14</v>
      </c>
      <c r="V7" s="140">
        <v>15</v>
      </c>
      <c r="W7" s="137">
        <v>16</v>
      </c>
      <c r="X7" s="138"/>
    </row>
    <row r="8" ht="21" customHeight="1" spans="1:24">
      <c r="A8" s="122" t="s">
        <v>509</v>
      </c>
      <c r="B8" s="123"/>
      <c r="C8" s="336">
        <v>100</v>
      </c>
      <c r="D8" s="337">
        <v>110</v>
      </c>
      <c r="E8" s="337">
        <v>120</v>
      </c>
      <c r="F8" s="337">
        <v>130</v>
      </c>
      <c r="G8" s="337">
        <v>150</v>
      </c>
      <c r="H8" s="337">
        <v>170</v>
      </c>
      <c r="I8" s="337">
        <v>190</v>
      </c>
      <c r="J8" s="337">
        <v>230</v>
      </c>
      <c r="K8" s="379">
        <v>270</v>
      </c>
      <c r="L8" s="380"/>
      <c r="M8" s="218">
        <v>310</v>
      </c>
      <c r="N8" s="367"/>
      <c r="O8" s="203">
        <v>360</v>
      </c>
      <c r="P8" s="204">
        <v>410</v>
      </c>
      <c r="Q8" s="144"/>
      <c r="R8" s="238">
        <v>460</v>
      </c>
      <c r="S8" s="144"/>
      <c r="T8" s="145">
        <v>510</v>
      </c>
      <c r="U8" s="239">
        <v>560</v>
      </c>
      <c r="V8" s="146">
        <v>610</v>
      </c>
      <c r="W8" s="240"/>
      <c r="X8" s="241">
        <v>660</v>
      </c>
    </row>
    <row r="9" ht="21" customHeight="1" spans="1:24">
      <c r="A9" s="74" t="s">
        <v>510</v>
      </c>
      <c r="B9" s="482"/>
      <c r="C9" s="39">
        <v>140</v>
      </c>
      <c r="D9" s="40">
        <v>150</v>
      </c>
      <c r="E9" s="40">
        <v>160</v>
      </c>
      <c r="F9" s="40">
        <v>170</v>
      </c>
      <c r="G9" s="40">
        <v>190</v>
      </c>
      <c r="H9" s="40">
        <v>210</v>
      </c>
      <c r="I9" s="40">
        <v>230</v>
      </c>
      <c r="J9" s="40">
        <v>270</v>
      </c>
      <c r="K9" s="157">
        <v>310</v>
      </c>
      <c r="L9" s="158"/>
      <c r="M9" s="159">
        <v>350</v>
      </c>
      <c r="N9" s="160"/>
      <c r="O9" s="161">
        <v>400</v>
      </c>
      <c r="P9" s="162">
        <v>450</v>
      </c>
      <c r="Q9" s="160"/>
      <c r="R9" s="247">
        <v>500</v>
      </c>
      <c r="S9" s="160"/>
      <c r="T9" s="161">
        <v>550</v>
      </c>
      <c r="U9" s="248">
        <v>600</v>
      </c>
      <c r="V9" s="162">
        <v>650</v>
      </c>
      <c r="W9" s="249"/>
      <c r="X9" s="250">
        <v>710</v>
      </c>
    </row>
    <row r="10" ht="21" customHeight="1" spans="1:24">
      <c r="A10" s="122" t="s">
        <v>511</v>
      </c>
      <c r="B10" s="123"/>
      <c r="C10" s="359">
        <v>190</v>
      </c>
      <c r="D10" s="360">
        <v>200</v>
      </c>
      <c r="E10" s="360">
        <v>210</v>
      </c>
      <c r="F10" s="360">
        <v>220</v>
      </c>
      <c r="G10" s="360">
        <v>240</v>
      </c>
      <c r="H10" s="360">
        <v>270</v>
      </c>
      <c r="I10" s="360">
        <v>320</v>
      </c>
      <c r="J10" s="360">
        <v>370</v>
      </c>
      <c r="K10" s="397">
        <v>420</v>
      </c>
      <c r="L10" s="200"/>
      <c r="M10" s="201">
        <v>470</v>
      </c>
      <c r="N10" s="202"/>
      <c r="O10" s="203">
        <v>520</v>
      </c>
      <c r="P10" s="204">
        <v>570</v>
      </c>
      <c r="Q10" s="156"/>
      <c r="R10" s="238">
        <v>620</v>
      </c>
      <c r="S10" s="156"/>
      <c r="T10" s="145">
        <v>680</v>
      </c>
      <c r="U10" s="239">
        <v>720</v>
      </c>
      <c r="V10" s="146">
        <v>780</v>
      </c>
      <c r="W10" s="246"/>
      <c r="X10" s="241">
        <v>840</v>
      </c>
    </row>
    <row r="11" ht="21" customHeight="1" spans="1:24">
      <c r="A11" s="79" t="s">
        <v>512</v>
      </c>
      <c r="B11" s="80"/>
      <c r="C11" s="81">
        <v>210</v>
      </c>
      <c r="D11" s="82">
        <v>220</v>
      </c>
      <c r="E11" s="82">
        <v>230</v>
      </c>
      <c r="F11" s="82">
        <v>250</v>
      </c>
      <c r="G11" s="82">
        <v>280</v>
      </c>
      <c r="H11" s="82">
        <v>330</v>
      </c>
      <c r="I11" s="82">
        <v>380</v>
      </c>
      <c r="J11" s="82">
        <v>430</v>
      </c>
      <c r="K11" s="190">
        <v>480</v>
      </c>
      <c r="L11" s="191"/>
      <c r="M11" s="192">
        <v>530</v>
      </c>
      <c r="N11" s="193"/>
      <c r="O11" s="194">
        <v>590</v>
      </c>
      <c r="P11" s="195">
        <v>650</v>
      </c>
      <c r="Q11" s="193"/>
      <c r="R11" s="266">
        <v>710</v>
      </c>
      <c r="S11" s="193"/>
      <c r="T11" s="194">
        <v>770</v>
      </c>
      <c r="U11" s="267">
        <v>840</v>
      </c>
      <c r="V11" s="195">
        <v>910</v>
      </c>
      <c r="W11" s="268"/>
      <c r="X11" s="269">
        <v>980</v>
      </c>
    </row>
    <row r="12" ht="21" customHeight="1" spans="1:24">
      <c r="A12" s="938" t="s">
        <v>269</v>
      </c>
      <c r="B12" s="939"/>
      <c r="C12" s="939"/>
      <c r="D12" s="939"/>
      <c r="E12" s="939"/>
      <c r="F12" s="939"/>
      <c r="G12" s="939"/>
      <c r="H12" s="939"/>
      <c r="I12" s="939"/>
      <c r="J12" s="939"/>
      <c r="K12" s="939"/>
      <c r="L12" s="939"/>
      <c r="M12" s="939"/>
      <c r="N12" s="939"/>
      <c r="O12" s="939"/>
      <c r="P12" s="939"/>
      <c r="Q12" s="939"/>
      <c r="R12" s="939"/>
      <c r="S12" s="939"/>
      <c r="T12" s="939"/>
      <c r="U12" s="939"/>
      <c r="V12" s="939"/>
      <c r="W12" s="939"/>
      <c r="X12" s="972"/>
    </row>
    <row r="13" ht="21" customHeight="1" spans="1:24">
      <c r="A13" s="940" t="s">
        <v>513</v>
      </c>
      <c r="B13" s="549"/>
      <c r="C13" s="359">
        <f t="shared" ref="C13:K13" si="0">INT(C8*1.2)</f>
        <v>120</v>
      </c>
      <c r="D13" s="360">
        <f t="shared" si="0"/>
        <v>132</v>
      </c>
      <c r="E13" s="360">
        <f t="shared" si="0"/>
        <v>144</v>
      </c>
      <c r="F13" s="360">
        <f t="shared" si="0"/>
        <v>156</v>
      </c>
      <c r="G13" s="360">
        <f t="shared" si="0"/>
        <v>180</v>
      </c>
      <c r="H13" s="360">
        <f t="shared" si="0"/>
        <v>204</v>
      </c>
      <c r="I13" s="360">
        <f t="shared" si="0"/>
        <v>228</v>
      </c>
      <c r="J13" s="360">
        <f t="shared" si="0"/>
        <v>276</v>
      </c>
      <c r="K13" s="397">
        <f t="shared" si="0"/>
        <v>324</v>
      </c>
      <c r="L13" s="398"/>
      <c r="M13" s="399">
        <f t="shared" ref="M13:P13" si="1">INT(M8*1.2)</f>
        <v>372</v>
      </c>
      <c r="N13" s="400"/>
      <c r="O13" s="401">
        <f t="shared" si="1"/>
        <v>432</v>
      </c>
      <c r="P13" s="402">
        <f t="shared" si="1"/>
        <v>492</v>
      </c>
      <c r="Q13" s="400"/>
      <c r="R13" s="429">
        <f t="shared" ref="R13:V13" si="2">INT(R8*1.2)</f>
        <v>552</v>
      </c>
      <c r="S13" s="400"/>
      <c r="T13" s="401">
        <f t="shared" si="2"/>
        <v>612</v>
      </c>
      <c r="U13" s="430">
        <f t="shared" si="2"/>
        <v>672</v>
      </c>
      <c r="V13" s="402">
        <f t="shared" si="2"/>
        <v>732</v>
      </c>
      <c r="W13" s="431"/>
      <c r="X13" s="432">
        <f>INT(X8*1.2)</f>
        <v>792</v>
      </c>
    </row>
    <row r="14" ht="21" customHeight="1" spans="1:24">
      <c r="A14" s="805" t="s">
        <v>514</v>
      </c>
      <c r="B14" s="73"/>
      <c r="C14" s="110">
        <f t="shared" ref="C14:Z14" si="3">INT(C9*1.25)</f>
        <v>175</v>
      </c>
      <c r="D14" s="130">
        <f t="shared" si="3"/>
        <v>187</v>
      </c>
      <c r="E14" s="130">
        <f t="shared" si="3"/>
        <v>200</v>
      </c>
      <c r="F14" s="130">
        <f t="shared" si="3"/>
        <v>212</v>
      </c>
      <c r="G14" s="130">
        <f t="shared" si="3"/>
        <v>237</v>
      </c>
      <c r="H14" s="130">
        <f t="shared" si="3"/>
        <v>262</v>
      </c>
      <c r="I14" s="130">
        <f t="shared" si="3"/>
        <v>287</v>
      </c>
      <c r="J14" s="130">
        <f t="shared" si="3"/>
        <v>337</v>
      </c>
      <c r="K14" s="510">
        <f t="shared" si="3"/>
        <v>387</v>
      </c>
      <c r="L14" s="511">
        <f t="shared" si="3"/>
        <v>0</v>
      </c>
      <c r="M14" s="512">
        <f t="shared" si="3"/>
        <v>437</v>
      </c>
      <c r="N14" s="513">
        <f t="shared" si="3"/>
        <v>0</v>
      </c>
      <c r="O14" s="223">
        <f t="shared" si="3"/>
        <v>500</v>
      </c>
      <c r="P14" s="224">
        <f t="shared" si="3"/>
        <v>562</v>
      </c>
      <c r="Q14" s="513">
        <f t="shared" si="3"/>
        <v>0</v>
      </c>
      <c r="R14" s="247">
        <f t="shared" si="3"/>
        <v>625</v>
      </c>
      <c r="S14" s="513">
        <f t="shared" si="3"/>
        <v>0</v>
      </c>
      <c r="T14" s="223">
        <f t="shared" si="3"/>
        <v>687</v>
      </c>
      <c r="U14" s="298">
        <f t="shared" si="3"/>
        <v>750</v>
      </c>
      <c r="V14" s="224">
        <f t="shared" si="3"/>
        <v>812</v>
      </c>
      <c r="W14" s="904">
        <f t="shared" si="3"/>
        <v>0</v>
      </c>
      <c r="X14" s="250">
        <f t="shared" si="3"/>
        <v>887</v>
      </c>
    </row>
    <row r="15" ht="21" customHeight="1" spans="1:24">
      <c r="A15" s="306" t="s">
        <v>515</v>
      </c>
      <c r="B15" s="26"/>
      <c r="C15" s="35">
        <f t="shared" ref="C15:K15" si="4">INT(C10*1.3)</f>
        <v>247</v>
      </c>
      <c r="D15" s="36">
        <f t="shared" si="4"/>
        <v>260</v>
      </c>
      <c r="E15" s="36">
        <f t="shared" si="4"/>
        <v>273</v>
      </c>
      <c r="F15" s="36">
        <f t="shared" si="4"/>
        <v>286</v>
      </c>
      <c r="G15" s="36">
        <f t="shared" si="4"/>
        <v>312</v>
      </c>
      <c r="H15" s="36">
        <f t="shared" si="4"/>
        <v>351</v>
      </c>
      <c r="I15" s="36">
        <f t="shared" si="4"/>
        <v>416</v>
      </c>
      <c r="J15" s="36">
        <f t="shared" si="4"/>
        <v>481</v>
      </c>
      <c r="K15" s="153">
        <f t="shared" si="4"/>
        <v>546</v>
      </c>
      <c r="L15" s="154"/>
      <c r="M15" s="155">
        <f t="shared" ref="M15:P15" si="5">INT(M10*1.3)</f>
        <v>611</v>
      </c>
      <c r="N15" s="156"/>
      <c r="O15" s="145">
        <f t="shared" si="5"/>
        <v>676</v>
      </c>
      <c r="P15" s="146">
        <f t="shared" si="5"/>
        <v>741</v>
      </c>
      <c r="Q15" s="156"/>
      <c r="R15" s="238">
        <f t="shared" ref="R15:V15" si="6">INT(R10*1.3)</f>
        <v>806</v>
      </c>
      <c r="S15" s="156"/>
      <c r="T15" s="145">
        <f t="shared" si="6"/>
        <v>884</v>
      </c>
      <c r="U15" s="239">
        <f t="shared" si="6"/>
        <v>936</v>
      </c>
      <c r="V15" s="146">
        <f t="shared" si="6"/>
        <v>1014</v>
      </c>
      <c r="W15" s="246"/>
      <c r="X15" s="241">
        <f>INT(X10*1.3)</f>
        <v>1092</v>
      </c>
    </row>
    <row r="16" ht="21" customHeight="1" spans="1:24">
      <c r="A16" s="941" t="s">
        <v>516</v>
      </c>
      <c r="B16" s="942"/>
      <c r="C16" s="81">
        <f t="shared" ref="C16:K16" si="7">INT(C11*1.35)</f>
        <v>283</v>
      </c>
      <c r="D16" s="82">
        <f t="shared" si="7"/>
        <v>297</v>
      </c>
      <c r="E16" s="82">
        <f t="shared" si="7"/>
        <v>310</v>
      </c>
      <c r="F16" s="82">
        <f t="shared" si="7"/>
        <v>337</v>
      </c>
      <c r="G16" s="82">
        <f t="shared" si="7"/>
        <v>378</v>
      </c>
      <c r="H16" s="82">
        <f t="shared" si="7"/>
        <v>445</v>
      </c>
      <c r="I16" s="82">
        <f t="shared" si="7"/>
        <v>513</v>
      </c>
      <c r="J16" s="82">
        <f t="shared" si="7"/>
        <v>580</v>
      </c>
      <c r="K16" s="190">
        <f t="shared" si="7"/>
        <v>648</v>
      </c>
      <c r="L16" s="191"/>
      <c r="M16" s="192">
        <f t="shared" ref="M16:P16" si="8">INT(M11*1.35)</f>
        <v>715</v>
      </c>
      <c r="N16" s="193"/>
      <c r="O16" s="194">
        <f t="shared" si="8"/>
        <v>796</v>
      </c>
      <c r="P16" s="195">
        <f t="shared" si="8"/>
        <v>877</v>
      </c>
      <c r="Q16" s="193"/>
      <c r="R16" s="266">
        <f t="shared" ref="R16:V16" si="9">INT(R11*1.35)</f>
        <v>958</v>
      </c>
      <c r="S16" s="193"/>
      <c r="T16" s="194">
        <f t="shared" si="9"/>
        <v>1039</v>
      </c>
      <c r="U16" s="267">
        <f t="shared" si="9"/>
        <v>1134</v>
      </c>
      <c r="V16" s="195">
        <f t="shared" si="9"/>
        <v>1228</v>
      </c>
      <c r="W16" s="268"/>
      <c r="X16" s="269">
        <f>INT(X11*1.35)</f>
        <v>1323</v>
      </c>
    </row>
    <row r="17" ht="21" customHeight="1" spans="1:24">
      <c r="A17" s="59" t="s">
        <v>18</v>
      </c>
      <c r="B17" s="60"/>
      <c r="C17" s="61">
        <v>0</v>
      </c>
      <c r="D17" s="62">
        <v>1</v>
      </c>
      <c r="E17" s="62">
        <v>2</v>
      </c>
      <c r="F17" s="63">
        <v>3</v>
      </c>
      <c r="G17" s="62">
        <v>4</v>
      </c>
      <c r="H17" s="64">
        <v>5</v>
      </c>
      <c r="I17" s="62">
        <v>6</v>
      </c>
      <c r="J17" s="174">
        <v>7</v>
      </c>
      <c r="K17" s="175">
        <v>8</v>
      </c>
      <c r="L17" s="86" t="s">
        <v>517</v>
      </c>
      <c r="M17" s="205"/>
      <c r="N17" s="205"/>
      <c r="O17" s="205"/>
      <c r="P17" s="205"/>
      <c r="Q17" s="205"/>
      <c r="R17" s="205"/>
      <c r="S17" s="205"/>
      <c r="T17" s="205"/>
      <c r="U17" s="205"/>
      <c r="V17" s="205"/>
      <c r="W17" s="205"/>
      <c r="X17" s="276"/>
    </row>
    <row r="18" ht="21" customHeight="1" spans="1:24">
      <c r="A18" s="25" t="s">
        <v>509</v>
      </c>
      <c r="B18" s="25"/>
      <c r="C18" s="89">
        <v>3</v>
      </c>
      <c r="D18" s="90">
        <v>2.8</v>
      </c>
      <c r="E18" s="90">
        <v>2.6</v>
      </c>
      <c r="F18" s="91">
        <v>2.4</v>
      </c>
      <c r="G18" s="90">
        <v>2.2</v>
      </c>
      <c r="H18" s="92">
        <v>2</v>
      </c>
      <c r="I18" s="90">
        <v>1.8</v>
      </c>
      <c r="J18" s="206">
        <v>1.6</v>
      </c>
      <c r="K18" s="207">
        <v>1.4</v>
      </c>
      <c r="L18" s="26" t="s">
        <v>518</v>
      </c>
      <c r="M18" s="315"/>
      <c r="N18" s="315"/>
      <c r="O18" s="315"/>
      <c r="P18" s="315"/>
      <c r="Q18" s="315"/>
      <c r="R18" s="315"/>
      <c r="S18" s="315"/>
      <c r="T18" s="315"/>
      <c r="U18" s="315"/>
      <c r="V18" s="315"/>
      <c r="W18" s="315"/>
      <c r="X18" s="319"/>
    </row>
    <row r="19" ht="21" customHeight="1" spans="1:24">
      <c r="A19" s="65" t="s">
        <v>510</v>
      </c>
      <c r="B19" s="65"/>
      <c r="C19" s="66">
        <v>3</v>
      </c>
      <c r="D19" s="67">
        <v>2.8</v>
      </c>
      <c r="E19" s="67">
        <v>2.6</v>
      </c>
      <c r="F19" s="93">
        <v>2.4</v>
      </c>
      <c r="G19" s="67">
        <v>2.2</v>
      </c>
      <c r="H19" s="69">
        <v>2</v>
      </c>
      <c r="I19" s="67">
        <v>1.8</v>
      </c>
      <c r="J19" s="178">
        <v>1.6</v>
      </c>
      <c r="K19" s="179">
        <v>1.4</v>
      </c>
      <c r="L19" s="279" t="s">
        <v>519</v>
      </c>
      <c r="M19" s="280"/>
      <c r="N19" s="280"/>
      <c r="O19" s="280"/>
      <c r="P19" s="280"/>
      <c r="Q19" s="280"/>
      <c r="R19" s="280"/>
      <c r="S19" s="280"/>
      <c r="T19" s="280"/>
      <c r="U19" s="280"/>
      <c r="V19" s="280"/>
      <c r="W19" s="280"/>
      <c r="X19" s="281"/>
    </row>
    <row r="20" ht="21" customHeight="1" spans="1:24">
      <c r="A20" s="25" t="s">
        <v>511</v>
      </c>
      <c r="B20" s="25"/>
      <c r="C20" s="89">
        <v>3</v>
      </c>
      <c r="D20" s="90">
        <v>2.8</v>
      </c>
      <c r="E20" s="90">
        <v>2.6</v>
      </c>
      <c r="F20" s="91">
        <v>2.4</v>
      </c>
      <c r="G20" s="90">
        <v>2.2</v>
      </c>
      <c r="H20" s="92">
        <v>2</v>
      </c>
      <c r="I20" s="90">
        <v>1.8</v>
      </c>
      <c r="J20" s="206">
        <v>1.6</v>
      </c>
      <c r="K20" s="207">
        <v>1.2</v>
      </c>
      <c r="L20" s="26" t="s">
        <v>520</v>
      </c>
      <c r="M20" s="315"/>
      <c r="N20" s="315"/>
      <c r="O20" s="315"/>
      <c r="P20" s="315"/>
      <c r="Q20" s="315"/>
      <c r="R20" s="315"/>
      <c r="S20" s="315"/>
      <c r="T20" s="315"/>
      <c r="U20" s="315"/>
      <c r="V20" s="315"/>
      <c r="W20" s="315"/>
      <c r="X20" s="319"/>
    </row>
    <row r="21" ht="21" customHeight="1" spans="1:24">
      <c r="A21" s="65" t="s">
        <v>512</v>
      </c>
      <c r="B21" s="65"/>
      <c r="C21" s="66">
        <v>3</v>
      </c>
      <c r="D21" s="67">
        <v>2.8</v>
      </c>
      <c r="E21" s="67">
        <v>2.6</v>
      </c>
      <c r="F21" s="93">
        <v>2.4</v>
      </c>
      <c r="G21" s="67">
        <v>2.2</v>
      </c>
      <c r="H21" s="69">
        <v>2</v>
      </c>
      <c r="I21" s="67">
        <v>1.8</v>
      </c>
      <c r="J21" s="178">
        <v>1.6</v>
      </c>
      <c r="K21" s="378">
        <v>1.2</v>
      </c>
      <c r="L21" s="279" t="s">
        <v>521</v>
      </c>
      <c r="M21" s="280"/>
      <c r="N21" s="280"/>
      <c r="O21" s="280"/>
      <c r="P21" s="280"/>
      <c r="Q21" s="280"/>
      <c r="R21" s="280"/>
      <c r="S21" s="280"/>
      <c r="T21" s="280"/>
      <c r="U21" s="280"/>
      <c r="V21" s="280"/>
      <c r="W21" s="280"/>
      <c r="X21" s="281"/>
    </row>
    <row r="22" ht="21" customHeight="1" spans="1:24">
      <c r="A22" s="622" t="s">
        <v>186</v>
      </c>
      <c r="B22" s="622"/>
      <c r="C22" s="622"/>
      <c r="D22" s="622"/>
      <c r="E22" s="622"/>
      <c r="F22" s="622"/>
      <c r="G22" s="622"/>
      <c r="H22" s="622"/>
      <c r="I22" s="622"/>
      <c r="J22" s="622"/>
      <c r="K22" s="622"/>
      <c r="L22" s="961"/>
      <c r="M22" s="961"/>
      <c r="N22" s="961"/>
      <c r="O22" s="961"/>
      <c r="P22" s="961"/>
      <c r="Q22" s="961"/>
      <c r="R22" s="961"/>
      <c r="S22" s="961"/>
      <c r="T22" s="961"/>
      <c r="U22" s="961"/>
      <c r="V22" s="961"/>
      <c r="W22" s="961"/>
      <c r="X22" s="961"/>
    </row>
    <row r="23" ht="21" customHeight="1" spans="1:24">
      <c r="A23" s="943" t="s">
        <v>522</v>
      </c>
      <c r="B23" s="26"/>
      <c r="C23" s="27">
        <f t="shared" ref="C23:K23" si="10">INT(C13*1.15)</f>
        <v>138</v>
      </c>
      <c r="D23" s="28">
        <f t="shared" si="10"/>
        <v>151</v>
      </c>
      <c r="E23" s="28">
        <f t="shared" si="10"/>
        <v>165</v>
      </c>
      <c r="F23" s="28">
        <f t="shared" si="10"/>
        <v>179</v>
      </c>
      <c r="G23" s="28">
        <f t="shared" si="10"/>
        <v>207</v>
      </c>
      <c r="H23" s="28">
        <f t="shared" si="10"/>
        <v>234</v>
      </c>
      <c r="I23" s="28">
        <f t="shared" si="10"/>
        <v>262</v>
      </c>
      <c r="J23" s="28">
        <f t="shared" si="10"/>
        <v>317</v>
      </c>
      <c r="K23" s="141">
        <f t="shared" si="10"/>
        <v>372</v>
      </c>
      <c r="L23" s="142"/>
      <c r="M23" s="143">
        <f t="shared" ref="M23:P23" si="11">INT(M13*1.15)</f>
        <v>427</v>
      </c>
      <c r="N23" s="144"/>
      <c r="O23" s="145">
        <f t="shared" si="11"/>
        <v>496</v>
      </c>
      <c r="P23" s="146">
        <f t="shared" si="11"/>
        <v>565</v>
      </c>
      <c r="Q23" s="144"/>
      <c r="R23" s="238">
        <f t="shared" ref="R23:V23" si="12">INT(R13*1.15)</f>
        <v>634</v>
      </c>
      <c r="S23" s="144"/>
      <c r="T23" s="145">
        <f t="shared" si="12"/>
        <v>703</v>
      </c>
      <c r="U23" s="239">
        <f t="shared" si="12"/>
        <v>772</v>
      </c>
      <c r="V23" s="146">
        <f t="shared" si="12"/>
        <v>841</v>
      </c>
      <c r="W23" s="240"/>
      <c r="X23" s="241">
        <f>INT(X13*1.15)</f>
        <v>910</v>
      </c>
    </row>
    <row r="24" ht="21" customHeight="1" spans="1:24">
      <c r="A24" s="764" t="s">
        <v>523</v>
      </c>
      <c r="B24" s="765"/>
      <c r="C24" s="766">
        <f t="shared" ref="C24:K24" si="13">INT(INT(C14*1.15)*1.05)</f>
        <v>211</v>
      </c>
      <c r="D24" s="767">
        <f t="shared" si="13"/>
        <v>225</v>
      </c>
      <c r="E24" s="767">
        <f t="shared" si="13"/>
        <v>241</v>
      </c>
      <c r="F24" s="767">
        <f t="shared" si="13"/>
        <v>255</v>
      </c>
      <c r="G24" s="767">
        <f t="shared" si="13"/>
        <v>285</v>
      </c>
      <c r="H24" s="767">
        <f t="shared" si="13"/>
        <v>316</v>
      </c>
      <c r="I24" s="767">
        <f t="shared" si="13"/>
        <v>346</v>
      </c>
      <c r="J24" s="767">
        <f t="shared" si="13"/>
        <v>406</v>
      </c>
      <c r="K24" s="811">
        <f t="shared" si="13"/>
        <v>467</v>
      </c>
      <c r="L24" s="812"/>
      <c r="M24" s="813">
        <f t="shared" ref="M24:P24" si="14">INT(INT(M14*1.15)*1.05)</f>
        <v>527</v>
      </c>
      <c r="N24" s="814"/>
      <c r="O24" s="815">
        <f t="shared" si="14"/>
        <v>603</v>
      </c>
      <c r="P24" s="816">
        <f t="shared" si="14"/>
        <v>678</v>
      </c>
      <c r="Q24" s="814"/>
      <c r="R24" s="841">
        <f t="shared" ref="R24:V24" si="15">INT(INT(R14*1.15)*1.05)</f>
        <v>753</v>
      </c>
      <c r="S24" s="814"/>
      <c r="T24" s="815">
        <f t="shared" si="15"/>
        <v>829</v>
      </c>
      <c r="U24" s="842">
        <f t="shared" si="15"/>
        <v>905</v>
      </c>
      <c r="V24" s="816">
        <f t="shared" si="15"/>
        <v>979</v>
      </c>
      <c r="W24" s="843"/>
      <c r="X24" s="844">
        <f>INT(INT(X14*1.15)*1.05)</f>
        <v>1071</v>
      </c>
    </row>
    <row r="25" ht="21" customHeight="1" spans="1:24">
      <c r="A25" s="944" t="s">
        <v>524</v>
      </c>
      <c r="B25" s="945"/>
      <c r="C25" s="946">
        <f t="shared" ref="C25:K25" si="16">INT(C15*1.15)</f>
        <v>284</v>
      </c>
      <c r="D25" s="947">
        <f t="shared" si="16"/>
        <v>299</v>
      </c>
      <c r="E25" s="947">
        <f t="shared" si="16"/>
        <v>313</v>
      </c>
      <c r="F25" s="947">
        <f t="shared" si="16"/>
        <v>328</v>
      </c>
      <c r="G25" s="947">
        <f t="shared" si="16"/>
        <v>358</v>
      </c>
      <c r="H25" s="947">
        <f t="shared" si="16"/>
        <v>403</v>
      </c>
      <c r="I25" s="947">
        <f t="shared" si="16"/>
        <v>478</v>
      </c>
      <c r="J25" s="947">
        <f t="shared" si="16"/>
        <v>553</v>
      </c>
      <c r="K25" s="962">
        <f t="shared" si="16"/>
        <v>627</v>
      </c>
      <c r="L25" s="963"/>
      <c r="M25" s="964">
        <f t="shared" ref="M25:P25" si="17">INT(M15*1.15)</f>
        <v>702</v>
      </c>
      <c r="N25" s="965"/>
      <c r="O25" s="966">
        <f t="shared" si="17"/>
        <v>777</v>
      </c>
      <c r="P25" s="967">
        <f t="shared" si="17"/>
        <v>852</v>
      </c>
      <c r="Q25" s="965"/>
      <c r="R25" s="973">
        <f t="shared" ref="R25:V25" si="18">INT(R15*1.15)</f>
        <v>926</v>
      </c>
      <c r="S25" s="965"/>
      <c r="T25" s="966">
        <f t="shared" si="18"/>
        <v>1016</v>
      </c>
      <c r="U25" s="974">
        <f t="shared" si="18"/>
        <v>1076</v>
      </c>
      <c r="V25" s="967">
        <f t="shared" si="18"/>
        <v>1166</v>
      </c>
      <c r="W25" s="975"/>
      <c r="X25" s="976">
        <f>INT(X15*1.15)</f>
        <v>1255</v>
      </c>
    </row>
    <row r="26" ht="21" customHeight="1" spans="1:24">
      <c r="A26" s="948" t="s">
        <v>525</v>
      </c>
      <c r="B26" s="949"/>
      <c r="C26" s="81">
        <f t="shared" ref="C26:K26" si="19">INT(C16*1.15)</f>
        <v>325</v>
      </c>
      <c r="D26" s="82">
        <f t="shared" si="19"/>
        <v>341</v>
      </c>
      <c r="E26" s="82">
        <f t="shared" si="19"/>
        <v>356</v>
      </c>
      <c r="F26" s="82">
        <f t="shared" si="19"/>
        <v>387</v>
      </c>
      <c r="G26" s="82">
        <f t="shared" si="19"/>
        <v>434</v>
      </c>
      <c r="H26" s="82">
        <f t="shared" si="19"/>
        <v>511</v>
      </c>
      <c r="I26" s="82">
        <f t="shared" si="19"/>
        <v>589</v>
      </c>
      <c r="J26" s="82">
        <f t="shared" si="19"/>
        <v>667</v>
      </c>
      <c r="K26" s="190">
        <f t="shared" si="19"/>
        <v>745</v>
      </c>
      <c r="L26" s="191"/>
      <c r="M26" s="192">
        <f t="shared" ref="M26:P26" si="20">INT(M16*1.15)</f>
        <v>822</v>
      </c>
      <c r="N26" s="193"/>
      <c r="O26" s="194">
        <f t="shared" si="20"/>
        <v>915</v>
      </c>
      <c r="P26" s="195">
        <f t="shared" si="20"/>
        <v>1008</v>
      </c>
      <c r="Q26" s="193"/>
      <c r="R26" s="266">
        <f t="shared" ref="R26:V26" si="21">INT(R16*1.15)</f>
        <v>1101</v>
      </c>
      <c r="S26" s="193"/>
      <c r="T26" s="194">
        <f t="shared" si="21"/>
        <v>1194</v>
      </c>
      <c r="U26" s="267">
        <f t="shared" si="21"/>
        <v>1304</v>
      </c>
      <c r="V26" s="195">
        <f t="shared" si="21"/>
        <v>1412</v>
      </c>
      <c r="W26" s="268"/>
      <c r="X26" s="269">
        <f>INT(X16*1.15)</f>
        <v>1521</v>
      </c>
    </row>
    <row r="27" ht="21" customHeight="1" spans="1:24">
      <c r="A27" s="78" t="s">
        <v>526</v>
      </c>
      <c r="B27" s="833"/>
      <c r="C27" s="833"/>
      <c r="D27" s="833"/>
      <c r="E27" s="833"/>
      <c r="F27" s="833"/>
      <c r="G27" s="833"/>
      <c r="H27" s="833"/>
      <c r="I27" s="833"/>
      <c r="J27" s="833"/>
      <c r="K27" s="833"/>
      <c r="L27" s="833"/>
      <c r="M27" s="833"/>
      <c r="N27" s="833"/>
      <c r="O27" s="833"/>
      <c r="P27" s="833"/>
      <c r="Q27" s="833"/>
      <c r="R27" s="833"/>
      <c r="S27" s="833"/>
      <c r="T27" s="833"/>
      <c r="U27" s="833"/>
      <c r="V27" s="833"/>
      <c r="W27" s="833"/>
      <c r="X27" s="846"/>
    </row>
    <row r="28" ht="21" customHeight="1" spans="1:24">
      <c r="A28" s="45"/>
      <c r="B28" s="46"/>
      <c r="C28" s="46"/>
      <c r="D28" s="46"/>
      <c r="E28" s="46"/>
      <c r="F28" s="46"/>
      <c r="G28" s="46"/>
      <c r="H28" s="46"/>
      <c r="I28" s="46"/>
      <c r="J28" s="46"/>
      <c r="K28" s="46"/>
      <c r="L28" s="46"/>
      <c r="M28" s="46"/>
      <c r="N28" s="46"/>
      <c r="O28" s="46"/>
      <c r="P28" s="46"/>
      <c r="Q28" s="46"/>
      <c r="R28" s="46"/>
      <c r="S28" s="46"/>
      <c r="T28" s="46"/>
      <c r="U28" s="46"/>
      <c r="V28" s="46"/>
      <c r="W28" s="46"/>
      <c r="X28" s="252"/>
    </row>
    <row r="29" ht="44" customHeight="1" spans="1:24">
      <c r="A29" s="47"/>
      <c r="B29" s="48"/>
      <c r="C29" s="48" t="str">
        <f>_xlfn.DISPIMG("ID_EB91D7427EFD472C9CD19BA28729A0E8",1)</f>
        <v>=DISPIMG("ID_EB91D7427EFD472C9CD19BA28729A0E8",1)</v>
      </c>
      <c r="D29" s="48" t="str">
        <f>_xlfn.DISPIMG("ID_BB5202C07BEB4AF89DCB7D0B44EA348C",1)</f>
        <v>=DISPIMG("ID_BB5202C07BEB4AF89DCB7D0B44EA348C",1)</v>
      </c>
      <c r="E29" s="48"/>
      <c r="F29" s="70"/>
      <c r="G29" s="334" t="s">
        <v>527</v>
      </c>
      <c r="H29" s="335"/>
      <c r="I29" s="335"/>
      <c r="J29" s="335"/>
      <c r="K29" s="335"/>
      <c r="L29" s="335"/>
      <c r="M29" s="335"/>
      <c r="N29" s="335"/>
      <c r="O29" s="374"/>
      <c r="P29" s="968" t="s">
        <v>528</v>
      </c>
      <c r="Q29" s="977"/>
      <c r="R29" s="977"/>
      <c r="S29" s="977"/>
      <c r="T29" s="977"/>
      <c r="U29" s="977"/>
      <c r="V29" s="977"/>
      <c r="W29" s="977"/>
      <c r="X29" s="978"/>
    </row>
    <row r="30" ht="21" customHeight="1" spans="1:24">
      <c r="A30" s="342" t="s">
        <v>529</v>
      </c>
      <c r="B30" s="608"/>
      <c r="C30" s="608"/>
      <c r="D30" s="608"/>
      <c r="E30" s="608"/>
      <c r="F30" s="608"/>
      <c r="G30" s="608"/>
      <c r="H30" s="608"/>
      <c r="I30" s="608"/>
      <c r="J30" s="608"/>
      <c r="K30" s="608"/>
      <c r="L30" s="608"/>
      <c r="M30" s="608"/>
      <c r="N30" s="608"/>
      <c r="O30" s="608"/>
      <c r="P30" s="608"/>
      <c r="Q30" s="608"/>
      <c r="R30" s="608"/>
      <c r="S30" s="608"/>
      <c r="T30" s="608"/>
      <c r="U30" s="608"/>
      <c r="V30" s="608"/>
      <c r="W30" s="608"/>
      <c r="X30" s="419"/>
    </row>
    <row r="31" ht="21" customHeight="1" spans="1:24">
      <c r="A31" s="21" t="s">
        <v>8</v>
      </c>
      <c r="B31" s="22"/>
      <c r="C31" s="23">
        <v>0</v>
      </c>
      <c r="D31" s="24">
        <v>1</v>
      </c>
      <c r="E31" s="24">
        <v>2</v>
      </c>
      <c r="F31" s="24">
        <v>3</v>
      </c>
      <c r="G31" s="24">
        <v>4</v>
      </c>
      <c r="H31" s="24">
        <v>5</v>
      </c>
      <c r="I31" s="24">
        <v>6</v>
      </c>
      <c r="J31" s="24">
        <v>7</v>
      </c>
      <c r="K31" s="135">
        <v>8</v>
      </c>
      <c r="L31" s="136">
        <v>9</v>
      </c>
      <c r="M31" s="137"/>
      <c r="N31" s="138"/>
      <c r="O31" s="139">
        <v>10</v>
      </c>
      <c r="P31" s="140">
        <v>11</v>
      </c>
      <c r="Q31" s="236">
        <v>12</v>
      </c>
      <c r="R31" s="236"/>
      <c r="S31" s="236"/>
      <c r="T31" s="139">
        <v>13</v>
      </c>
      <c r="U31" s="237">
        <v>14</v>
      </c>
      <c r="V31" s="140">
        <v>15</v>
      </c>
      <c r="W31" s="137">
        <v>16</v>
      </c>
      <c r="X31" s="138"/>
    </row>
    <row r="32" ht="21" customHeight="1" spans="1:24">
      <c r="A32" s="122" t="s">
        <v>530</v>
      </c>
      <c r="B32" s="123"/>
      <c r="C32" s="336">
        <v>50</v>
      </c>
      <c r="D32" s="337">
        <v>55</v>
      </c>
      <c r="E32" s="337">
        <v>60</v>
      </c>
      <c r="F32" s="337">
        <v>65</v>
      </c>
      <c r="G32" s="337">
        <v>75</v>
      </c>
      <c r="H32" s="337">
        <v>85</v>
      </c>
      <c r="I32" s="337">
        <v>95</v>
      </c>
      <c r="J32" s="337">
        <v>115</v>
      </c>
      <c r="K32" s="379">
        <v>135</v>
      </c>
      <c r="L32" s="380"/>
      <c r="M32" s="218">
        <v>160</v>
      </c>
      <c r="N32" s="367"/>
      <c r="O32" s="203">
        <v>190</v>
      </c>
      <c r="P32" s="204">
        <v>220</v>
      </c>
      <c r="Q32" s="367"/>
      <c r="R32" s="272">
        <v>250</v>
      </c>
      <c r="S32" s="367"/>
      <c r="T32" s="203">
        <v>280</v>
      </c>
      <c r="U32" s="273">
        <v>310</v>
      </c>
      <c r="V32" s="204">
        <v>340</v>
      </c>
      <c r="W32" s="403"/>
      <c r="X32" s="275">
        <v>370</v>
      </c>
    </row>
    <row r="33" ht="21" customHeight="1" spans="1:24">
      <c r="A33" s="73" t="s">
        <v>531</v>
      </c>
      <c r="B33" s="74"/>
      <c r="C33" s="321">
        <f t="shared" ref="C33:K33" si="22">C32+5</f>
        <v>55</v>
      </c>
      <c r="D33" s="322">
        <f t="shared" si="22"/>
        <v>60</v>
      </c>
      <c r="E33" s="322">
        <f t="shared" si="22"/>
        <v>65</v>
      </c>
      <c r="F33" s="322">
        <f t="shared" si="22"/>
        <v>70</v>
      </c>
      <c r="G33" s="322">
        <f t="shared" si="22"/>
        <v>80</v>
      </c>
      <c r="H33" s="322">
        <f t="shared" si="22"/>
        <v>90</v>
      </c>
      <c r="I33" s="322">
        <f t="shared" si="22"/>
        <v>100</v>
      </c>
      <c r="J33" s="322">
        <f t="shared" si="22"/>
        <v>120</v>
      </c>
      <c r="K33" s="361">
        <f t="shared" si="22"/>
        <v>140</v>
      </c>
      <c r="L33" s="362"/>
      <c r="M33" s="159">
        <f t="shared" ref="M33:P33" si="23">M32+10</f>
        <v>170</v>
      </c>
      <c r="N33" s="160"/>
      <c r="O33" s="161">
        <f t="shared" si="23"/>
        <v>200</v>
      </c>
      <c r="P33" s="162">
        <f t="shared" si="23"/>
        <v>230</v>
      </c>
      <c r="Q33" s="160"/>
      <c r="R33" s="247">
        <f t="shared" ref="R33:V33" si="24">R32+10</f>
        <v>260</v>
      </c>
      <c r="S33" s="160"/>
      <c r="T33" s="161">
        <f t="shared" si="24"/>
        <v>290</v>
      </c>
      <c r="U33" s="248">
        <f t="shared" si="24"/>
        <v>320</v>
      </c>
      <c r="V33" s="162">
        <f t="shared" si="24"/>
        <v>350</v>
      </c>
      <c r="W33" s="249"/>
      <c r="X33" s="250">
        <f>X32+10</f>
        <v>380</v>
      </c>
    </row>
    <row r="34" ht="21" customHeight="1" spans="1:24">
      <c r="A34" s="59" t="s">
        <v>18</v>
      </c>
      <c r="B34" s="60"/>
      <c r="C34" s="61">
        <v>0</v>
      </c>
      <c r="D34" s="62">
        <v>1</v>
      </c>
      <c r="E34" s="62">
        <v>2</v>
      </c>
      <c r="F34" s="63">
        <v>3</v>
      </c>
      <c r="G34" s="62">
        <v>4</v>
      </c>
      <c r="H34" s="64">
        <v>5</v>
      </c>
      <c r="I34" s="62">
        <v>6</v>
      </c>
      <c r="J34" s="174">
        <v>7</v>
      </c>
      <c r="K34" s="626">
        <v>8</v>
      </c>
      <c r="L34" s="550" t="s">
        <v>532</v>
      </c>
      <c r="M34" s="657"/>
      <c r="N34" s="657"/>
      <c r="O34" s="657"/>
      <c r="P34" s="657"/>
      <c r="Q34" s="657"/>
      <c r="R34" s="657"/>
      <c r="S34" s="657"/>
      <c r="T34" s="657"/>
      <c r="U34" s="657"/>
      <c r="V34" s="657"/>
      <c r="W34" s="657"/>
      <c r="X34" s="678"/>
    </row>
    <row r="35" ht="21" customHeight="1" spans="1:24">
      <c r="A35" s="122" t="s">
        <v>530</v>
      </c>
      <c r="B35" s="122"/>
      <c r="C35" s="41">
        <v>2</v>
      </c>
      <c r="D35" s="42">
        <v>1.95</v>
      </c>
      <c r="E35" s="42">
        <v>1.9</v>
      </c>
      <c r="F35" s="43">
        <v>1.85</v>
      </c>
      <c r="G35" s="42">
        <v>1.8</v>
      </c>
      <c r="H35" s="44">
        <v>1.7</v>
      </c>
      <c r="I35" s="42">
        <v>1.6</v>
      </c>
      <c r="J35" s="163">
        <v>1.5</v>
      </c>
      <c r="K35" s="164">
        <v>1.2</v>
      </c>
      <c r="L35" s="550" t="s">
        <v>533</v>
      </c>
      <c r="M35" s="657"/>
      <c r="N35" s="657"/>
      <c r="O35" s="657"/>
      <c r="P35" s="657"/>
      <c r="Q35" s="657"/>
      <c r="R35" s="657"/>
      <c r="S35" s="657"/>
      <c r="T35" s="657"/>
      <c r="U35" s="657"/>
      <c r="V35" s="657"/>
      <c r="W35" s="657"/>
      <c r="X35" s="678"/>
    </row>
    <row r="36" ht="21" customHeight="1" spans="1:24">
      <c r="A36" s="65" t="s">
        <v>531</v>
      </c>
      <c r="B36" s="65"/>
      <c r="C36" s="66">
        <v>2</v>
      </c>
      <c r="D36" s="67">
        <v>1.95</v>
      </c>
      <c r="E36" s="67">
        <v>1.9</v>
      </c>
      <c r="F36" s="93">
        <v>1.85</v>
      </c>
      <c r="G36" s="67">
        <v>1.8</v>
      </c>
      <c r="H36" s="69">
        <v>1.7</v>
      </c>
      <c r="I36" s="67">
        <v>1.6</v>
      </c>
      <c r="J36" s="178">
        <v>1.5</v>
      </c>
      <c r="K36" s="378">
        <v>1.2</v>
      </c>
      <c r="L36" s="550" t="s">
        <v>534</v>
      </c>
      <c r="M36" s="657"/>
      <c r="N36" s="657"/>
      <c r="O36" s="657"/>
      <c r="P36" s="657"/>
      <c r="Q36" s="657"/>
      <c r="R36" s="657"/>
      <c r="S36" s="657"/>
      <c r="T36" s="657"/>
      <c r="U36" s="657"/>
      <c r="V36" s="657"/>
      <c r="W36" s="657"/>
      <c r="X36" s="678"/>
    </row>
    <row r="37" ht="21" customHeight="1" spans="1:24">
      <c r="A37" s="45"/>
      <c r="B37" s="46"/>
      <c r="C37" s="46"/>
      <c r="D37" s="46"/>
      <c r="E37" s="46"/>
      <c r="F37" s="46"/>
      <c r="G37" s="46"/>
      <c r="H37" s="46"/>
      <c r="I37" s="46"/>
      <c r="J37" s="46"/>
      <c r="K37" s="46"/>
      <c r="L37" s="46"/>
      <c r="M37" s="46"/>
      <c r="N37" s="46"/>
      <c r="O37" s="46"/>
      <c r="P37" s="46"/>
      <c r="Q37" s="46"/>
      <c r="R37" s="46"/>
      <c r="S37" s="46"/>
      <c r="T37" s="46"/>
      <c r="U37" s="46"/>
      <c r="V37" s="46"/>
      <c r="W37" s="46"/>
      <c r="X37" s="252"/>
    </row>
    <row r="38" ht="44" customHeight="1" spans="1:24">
      <c r="A38" s="47" t="str">
        <f>_xlfn.DISPIMG("ID_A1ED1953E52042E2B616A1477AB59D06",1)</f>
        <v>=DISPIMG("ID_A1ED1953E52042E2B616A1477AB59D06",1)</v>
      </c>
      <c r="B38" s="48" t="str">
        <f>_xlfn.DISPIMG("ID_C337372A1A274A28A3E92107900B3952",1)</f>
        <v>=DISPIMG("ID_C337372A1A274A28A3E92107900B3952",1)</v>
      </c>
      <c r="C38" s="48" t="str">
        <f>_xlfn.DISPIMG("ID_5ECF8284CA6E4EAF82244091897E2230",1)</f>
        <v>=DISPIMG("ID_5ECF8284CA6E4EAF82244091897E2230",1)</v>
      </c>
      <c r="D38" s="48"/>
      <c r="E38" s="48" t="str">
        <f>_xlfn.DISPIMG("ID_E13FD1AE10BF4364A75F13FB7605F85A",1)</f>
        <v>=DISPIMG("ID_E13FD1AE10BF4364A75F13FB7605F85A",1)</v>
      </c>
      <c r="F38" s="70" t="str">
        <f>_xlfn.DISPIMG("ID_037069F3371E48FD9BBEF89662A5193B",1)</f>
        <v>=DISPIMG("ID_037069F3371E48FD9BBEF89662A5193B",1)</v>
      </c>
      <c r="G38" s="340" t="s">
        <v>535</v>
      </c>
      <c r="H38" s="341"/>
      <c r="I38" s="341"/>
      <c r="J38" s="341"/>
      <c r="K38" s="341"/>
      <c r="L38" s="341"/>
      <c r="M38" s="341"/>
      <c r="N38" s="341"/>
      <c r="O38" s="384"/>
      <c r="P38" s="639" t="s">
        <v>536</v>
      </c>
      <c r="Q38" s="667"/>
      <c r="R38" s="667"/>
      <c r="S38" s="667"/>
      <c r="T38" s="667"/>
      <c r="U38" s="667"/>
      <c r="V38" s="667"/>
      <c r="W38" s="667"/>
      <c r="X38" s="668"/>
    </row>
    <row r="39" ht="21" customHeight="1" spans="1:24">
      <c r="A39" s="342"/>
      <c r="B39" s="608"/>
      <c r="C39" s="608"/>
      <c r="D39" s="608"/>
      <c r="E39" s="608"/>
      <c r="F39" s="608"/>
      <c r="G39" s="608"/>
      <c r="H39" s="608"/>
      <c r="I39" s="608"/>
      <c r="J39" s="608"/>
      <c r="K39" s="608"/>
      <c r="L39" s="608"/>
      <c r="M39" s="608"/>
      <c r="N39" s="608"/>
      <c r="O39" s="608"/>
      <c r="P39" s="608"/>
      <c r="Q39" s="608"/>
      <c r="R39" s="608"/>
      <c r="S39" s="608"/>
      <c r="T39" s="608"/>
      <c r="U39" s="608"/>
      <c r="V39" s="608"/>
      <c r="W39" s="608"/>
      <c r="X39" s="419"/>
    </row>
    <row r="40" ht="21" customHeight="1" spans="1:24">
      <c r="A40" s="21" t="s">
        <v>8</v>
      </c>
      <c r="B40" s="22"/>
      <c r="C40" s="23">
        <v>0</v>
      </c>
      <c r="D40" s="24">
        <v>1</v>
      </c>
      <c r="E40" s="24">
        <v>2</v>
      </c>
      <c r="F40" s="24">
        <v>3</v>
      </c>
      <c r="G40" s="24">
        <v>4</v>
      </c>
      <c r="H40" s="24">
        <v>5</v>
      </c>
      <c r="I40" s="24">
        <v>6</v>
      </c>
      <c r="J40" s="24">
        <v>7</v>
      </c>
      <c r="K40" s="135">
        <v>8</v>
      </c>
      <c r="L40" s="136">
        <v>9</v>
      </c>
      <c r="M40" s="137"/>
      <c r="N40" s="138"/>
      <c r="O40" s="139">
        <v>10</v>
      </c>
      <c r="P40" s="140">
        <v>11</v>
      </c>
      <c r="Q40" s="236">
        <v>12</v>
      </c>
      <c r="R40" s="236"/>
      <c r="S40" s="236"/>
      <c r="T40" s="139">
        <v>13</v>
      </c>
      <c r="U40" s="237">
        <v>14</v>
      </c>
      <c r="V40" s="140">
        <v>15</v>
      </c>
      <c r="W40" s="137">
        <v>16</v>
      </c>
      <c r="X40" s="138"/>
    </row>
    <row r="41" ht="21" customHeight="1" spans="1:24">
      <c r="A41" s="73" t="s">
        <v>537</v>
      </c>
      <c r="B41" s="74"/>
      <c r="C41" s="75">
        <v>10</v>
      </c>
      <c r="D41" s="76">
        <v>12</v>
      </c>
      <c r="E41" s="76">
        <v>14</v>
      </c>
      <c r="F41" s="76">
        <v>15</v>
      </c>
      <c r="G41" s="76">
        <v>18</v>
      </c>
      <c r="H41" s="76">
        <v>20</v>
      </c>
      <c r="I41" s="76">
        <v>22</v>
      </c>
      <c r="J41" s="76">
        <v>26</v>
      </c>
      <c r="K41" s="182">
        <v>32</v>
      </c>
      <c r="L41" s="183"/>
      <c r="M41" s="159">
        <v>40</v>
      </c>
      <c r="N41" s="184"/>
      <c r="O41" s="161">
        <v>55</v>
      </c>
      <c r="P41" s="162">
        <v>70</v>
      </c>
      <c r="Q41" s="184"/>
      <c r="R41" s="247">
        <v>85</v>
      </c>
      <c r="S41" s="184"/>
      <c r="T41" s="161">
        <v>100</v>
      </c>
      <c r="U41" s="248">
        <v>115</v>
      </c>
      <c r="V41" s="162">
        <v>130</v>
      </c>
      <c r="W41" s="261"/>
      <c r="X41" s="250">
        <v>145</v>
      </c>
    </row>
    <row r="42" ht="21" customHeight="1" spans="1:24">
      <c r="A42" s="122" t="s">
        <v>538</v>
      </c>
      <c r="B42" s="123"/>
      <c r="C42" s="87">
        <v>50</v>
      </c>
      <c r="D42" s="88">
        <v>55</v>
      </c>
      <c r="E42" s="88">
        <v>60</v>
      </c>
      <c r="F42" s="88">
        <v>65</v>
      </c>
      <c r="G42" s="88">
        <v>75</v>
      </c>
      <c r="H42" s="88">
        <v>85</v>
      </c>
      <c r="I42" s="88">
        <v>95</v>
      </c>
      <c r="J42" s="88">
        <v>115</v>
      </c>
      <c r="K42" s="199">
        <v>135</v>
      </c>
      <c r="L42" s="200"/>
      <c r="M42" s="201">
        <v>155</v>
      </c>
      <c r="N42" s="202"/>
      <c r="O42" s="203">
        <v>210</v>
      </c>
      <c r="P42" s="204">
        <v>235</v>
      </c>
      <c r="Q42" s="202"/>
      <c r="R42" s="272">
        <v>260</v>
      </c>
      <c r="S42" s="202"/>
      <c r="T42" s="203">
        <v>285</v>
      </c>
      <c r="U42" s="273">
        <v>310</v>
      </c>
      <c r="V42" s="204">
        <v>335</v>
      </c>
      <c r="W42" s="274"/>
      <c r="X42" s="275">
        <v>360</v>
      </c>
    </row>
    <row r="43" ht="21" customHeight="1" spans="1:24">
      <c r="A43" s="73" t="s">
        <v>539</v>
      </c>
      <c r="B43" s="74"/>
      <c r="C43" s="321">
        <v>145</v>
      </c>
      <c r="D43" s="322">
        <v>155</v>
      </c>
      <c r="E43" s="322">
        <v>165</v>
      </c>
      <c r="F43" s="322">
        <v>175</v>
      </c>
      <c r="G43" s="322">
        <v>200</v>
      </c>
      <c r="H43" s="322">
        <v>225</v>
      </c>
      <c r="I43" s="322">
        <v>250</v>
      </c>
      <c r="J43" s="322">
        <v>280</v>
      </c>
      <c r="K43" s="361">
        <v>330</v>
      </c>
      <c r="L43" s="362"/>
      <c r="M43" s="159">
        <v>380</v>
      </c>
      <c r="N43" s="160"/>
      <c r="O43" s="161">
        <v>430</v>
      </c>
      <c r="P43" s="162">
        <v>480</v>
      </c>
      <c r="Q43" s="160"/>
      <c r="R43" s="247">
        <v>530</v>
      </c>
      <c r="S43" s="160"/>
      <c r="T43" s="161">
        <v>580</v>
      </c>
      <c r="U43" s="248">
        <v>630</v>
      </c>
      <c r="V43" s="162">
        <v>680</v>
      </c>
      <c r="W43" s="249"/>
      <c r="X43" s="250">
        <v>750</v>
      </c>
    </row>
    <row r="44" ht="21" customHeight="1" spans="1:24">
      <c r="A44" s="122" t="s">
        <v>540</v>
      </c>
      <c r="B44" s="123"/>
      <c r="C44" s="336">
        <v>55</v>
      </c>
      <c r="D44" s="337">
        <v>60</v>
      </c>
      <c r="E44" s="337">
        <v>65</v>
      </c>
      <c r="F44" s="337">
        <v>70</v>
      </c>
      <c r="G44" s="337">
        <v>80</v>
      </c>
      <c r="H44" s="337">
        <v>90</v>
      </c>
      <c r="I44" s="337">
        <v>100</v>
      </c>
      <c r="J44" s="337">
        <v>120</v>
      </c>
      <c r="K44" s="379">
        <v>140</v>
      </c>
      <c r="L44" s="380"/>
      <c r="M44" s="218">
        <v>170</v>
      </c>
      <c r="N44" s="367"/>
      <c r="O44" s="203">
        <v>200</v>
      </c>
      <c r="P44" s="204">
        <v>230</v>
      </c>
      <c r="Q44" s="367"/>
      <c r="R44" s="272">
        <v>260</v>
      </c>
      <c r="S44" s="367"/>
      <c r="T44" s="203">
        <v>290</v>
      </c>
      <c r="U44" s="273">
        <v>320</v>
      </c>
      <c r="V44" s="204">
        <v>350</v>
      </c>
      <c r="W44" s="403"/>
      <c r="X44" s="275">
        <v>380</v>
      </c>
    </row>
    <row r="45" ht="21" customHeight="1" spans="1:24">
      <c r="A45" s="73" t="s">
        <v>541</v>
      </c>
      <c r="B45" s="74"/>
      <c r="C45" s="321">
        <v>28</v>
      </c>
      <c r="D45" s="322">
        <v>34</v>
      </c>
      <c r="E45" s="322">
        <v>40</v>
      </c>
      <c r="F45" s="322">
        <v>46</v>
      </c>
      <c r="G45" s="322">
        <v>52</v>
      </c>
      <c r="H45" s="322">
        <v>58</v>
      </c>
      <c r="I45" s="322">
        <v>64</v>
      </c>
      <c r="J45" s="322">
        <v>70</v>
      </c>
      <c r="K45" s="361">
        <v>76</v>
      </c>
      <c r="L45" s="362"/>
      <c r="M45" s="159">
        <v>86</v>
      </c>
      <c r="N45" s="160"/>
      <c r="O45" s="161">
        <v>96</v>
      </c>
      <c r="P45" s="162">
        <v>106</v>
      </c>
      <c r="Q45" s="160"/>
      <c r="R45" s="247">
        <v>116</v>
      </c>
      <c r="S45" s="160"/>
      <c r="T45" s="161">
        <v>136</v>
      </c>
      <c r="U45" s="248">
        <v>156</v>
      </c>
      <c r="V45" s="162">
        <v>176</v>
      </c>
      <c r="W45" s="249"/>
      <c r="X45" s="250">
        <v>216</v>
      </c>
    </row>
    <row r="46" ht="21" customHeight="1" spans="1:24">
      <c r="A46" s="950" t="s">
        <v>542</v>
      </c>
      <c r="B46" s="951"/>
      <c r="C46" s="951"/>
      <c r="D46" s="951"/>
      <c r="E46" s="951"/>
      <c r="F46" s="951"/>
      <c r="G46" s="951"/>
      <c r="H46" s="951"/>
      <c r="I46" s="951"/>
      <c r="J46" s="951"/>
      <c r="K46" s="951"/>
      <c r="L46" s="951"/>
      <c r="M46" s="951"/>
      <c r="N46" s="951"/>
      <c r="O46" s="951"/>
      <c r="P46" s="951"/>
      <c r="Q46" s="951"/>
      <c r="R46" s="951"/>
      <c r="S46" s="951"/>
      <c r="T46" s="951"/>
      <c r="U46" s="951"/>
      <c r="V46" s="951"/>
      <c r="W46" s="951"/>
      <c r="X46" s="979"/>
    </row>
    <row r="47" ht="21" customHeight="1" spans="1:24">
      <c r="A47" s="122" t="s">
        <v>543</v>
      </c>
      <c r="B47" s="123"/>
      <c r="C47" s="336">
        <v>50</v>
      </c>
      <c r="D47" s="337">
        <v>55</v>
      </c>
      <c r="E47" s="337">
        <v>60</v>
      </c>
      <c r="F47" s="337">
        <v>65</v>
      </c>
      <c r="G47" s="337">
        <v>75</v>
      </c>
      <c r="H47" s="337">
        <v>85</v>
      </c>
      <c r="I47" s="337">
        <v>95</v>
      </c>
      <c r="J47" s="337">
        <v>115</v>
      </c>
      <c r="K47" s="379">
        <v>135</v>
      </c>
      <c r="L47" s="200"/>
      <c r="M47" s="201">
        <v>155</v>
      </c>
      <c r="N47" s="202"/>
      <c r="O47" s="519">
        <v>180</v>
      </c>
      <c r="P47" s="520">
        <v>205</v>
      </c>
      <c r="Q47" s="202"/>
      <c r="R47" s="980">
        <v>230</v>
      </c>
      <c r="S47" s="202"/>
      <c r="T47" s="519">
        <v>255</v>
      </c>
      <c r="U47" s="530">
        <v>280</v>
      </c>
      <c r="V47" s="520">
        <v>305</v>
      </c>
      <c r="W47" s="274"/>
      <c r="X47" s="981">
        <v>330</v>
      </c>
    </row>
    <row r="48" ht="21" customHeight="1" spans="1:24">
      <c r="A48" s="59" t="s">
        <v>18</v>
      </c>
      <c r="B48" s="60"/>
      <c r="C48" s="61">
        <v>0</v>
      </c>
      <c r="D48" s="62">
        <v>1</v>
      </c>
      <c r="E48" s="62">
        <v>2</v>
      </c>
      <c r="F48" s="63">
        <v>3</v>
      </c>
      <c r="G48" s="62">
        <v>4</v>
      </c>
      <c r="H48" s="64">
        <v>5</v>
      </c>
      <c r="I48" s="62">
        <v>6</v>
      </c>
      <c r="J48" s="174">
        <v>7</v>
      </c>
      <c r="K48" s="175">
        <v>8</v>
      </c>
      <c r="L48" s="176" t="s">
        <v>544</v>
      </c>
      <c r="M48" s="177"/>
      <c r="N48" s="177"/>
      <c r="O48" s="177"/>
      <c r="P48" s="177"/>
      <c r="Q48" s="177"/>
      <c r="R48" s="177"/>
      <c r="S48" s="177"/>
      <c r="T48" s="177"/>
      <c r="U48" s="177"/>
      <c r="V48" s="177"/>
      <c r="W48" s="177"/>
      <c r="X48" s="258"/>
    </row>
    <row r="49" ht="21" customHeight="1" spans="1:24">
      <c r="A49" s="65" t="s">
        <v>545</v>
      </c>
      <c r="B49" s="65"/>
      <c r="C49" s="66">
        <v>2.5</v>
      </c>
      <c r="D49" s="67">
        <v>2.45</v>
      </c>
      <c r="E49" s="67">
        <v>2.4</v>
      </c>
      <c r="F49" s="93">
        <v>2.35</v>
      </c>
      <c r="G49" s="67">
        <v>2.3</v>
      </c>
      <c r="H49" s="69">
        <v>2.25</v>
      </c>
      <c r="I49" s="67">
        <v>2.2</v>
      </c>
      <c r="J49" s="178">
        <v>2.15</v>
      </c>
      <c r="K49" s="378">
        <v>2.1</v>
      </c>
      <c r="L49" s="86" t="s">
        <v>546</v>
      </c>
      <c r="M49" s="205"/>
      <c r="N49" s="205"/>
      <c r="O49" s="205"/>
      <c r="P49" s="205"/>
      <c r="Q49" s="205"/>
      <c r="R49" s="205"/>
      <c r="S49" s="205"/>
      <c r="T49" s="205"/>
      <c r="U49" s="205"/>
      <c r="V49" s="205"/>
      <c r="W49" s="205"/>
      <c r="X49" s="276"/>
    </row>
    <row r="50" ht="21" customHeight="1" spans="1:24">
      <c r="A50" s="25" t="s">
        <v>547</v>
      </c>
      <c r="B50" s="25"/>
      <c r="C50" s="89">
        <v>1.3</v>
      </c>
      <c r="D50" s="90">
        <v>1.25</v>
      </c>
      <c r="E50" s="90">
        <v>1.2</v>
      </c>
      <c r="F50" s="91">
        <v>1.15</v>
      </c>
      <c r="G50" s="90">
        <v>1.1</v>
      </c>
      <c r="H50" s="92">
        <v>1.05</v>
      </c>
      <c r="I50" s="90">
        <v>1</v>
      </c>
      <c r="J50" s="206">
        <v>0.95</v>
      </c>
      <c r="K50" s="658">
        <v>0.9</v>
      </c>
      <c r="L50" s="86" t="s">
        <v>548</v>
      </c>
      <c r="M50" s="205"/>
      <c r="N50" s="205"/>
      <c r="O50" s="205"/>
      <c r="P50" s="205"/>
      <c r="Q50" s="205"/>
      <c r="R50" s="205"/>
      <c r="S50" s="205"/>
      <c r="T50" s="205"/>
      <c r="U50" s="205"/>
      <c r="V50" s="205"/>
      <c r="W50" s="205"/>
      <c r="X50" s="276"/>
    </row>
    <row r="51" ht="21" customHeight="1" spans="1:24">
      <c r="A51" s="65" t="s">
        <v>549</v>
      </c>
      <c r="B51" s="65"/>
      <c r="C51" s="66">
        <v>3.5</v>
      </c>
      <c r="D51" s="67">
        <v>3.4</v>
      </c>
      <c r="E51" s="67">
        <v>3.3</v>
      </c>
      <c r="F51" s="93">
        <v>3.2</v>
      </c>
      <c r="G51" s="67">
        <v>3</v>
      </c>
      <c r="H51" s="69">
        <v>2.8</v>
      </c>
      <c r="I51" s="67">
        <v>2.6</v>
      </c>
      <c r="J51" s="178">
        <v>2.4</v>
      </c>
      <c r="K51" s="378">
        <v>2.2</v>
      </c>
      <c r="L51" s="26" t="s">
        <v>550</v>
      </c>
      <c r="M51" s="315"/>
      <c r="N51" s="315"/>
      <c r="O51" s="315"/>
      <c r="P51" s="315"/>
      <c r="Q51" s="315"/>
      <c r="R51" s="315"/>
      <c r="S51" s="315"/>
      <c r="T51" s="315"/>
      <c r="U51" s="315"/>
      <c r="V51" s="315"/>
      <c r="W51" s="315"/>
      <c r="X51" s="319"/>
    </row>
    <row r="52" ht="21" customHeight="1" spans="1:24">
      <c r="A52" s="94" t="s">
        <v>539</v>
      </c>
      <c r="B52" s="94"/>
      <c r="C52" s="95">
        <v>1.3</v>
      </c>
      <c r="D52" s="96">
        <v>1.25</v>
      </c>
      <c r="E52" s="96">
        <v>1.2</v>
      </c>
      <c r="F52" s="97">
        <v>1.15</v>
      </c>
      <c r="G52" s="96">
        <v>1.1</v>
      </c>
      <c r="H52" s="98">
        <v>1.05</v>
      </c>
      <c r="I52" s="96">
        <v>1</v>
      </c>
      <c r="J52" s="208">
        <v>0.9</v>
      </c>
      <c r="K52" s="969">
        <v>0.8</v>
      </c>
      <c r="L52" s="26" t="s">
        <v>551</v>
      </c>
      <c r="M52" s="315"/>
      <c r="N52" s="315"/>
      <c r="O52" s="315"/>
      <c r="P52" s="315"/>
      <c r="Q52" s="315"/>
      <c r="R52" s="315"/>
      <c r="S52" s="315"/>
      <c r="T52" s="315"/>
      <c r="U52" s="315"/>
      <c r="V52" s="315"/>
      <c r="W52" s="315"/>
      <c r="X52" s="319"/>
    </row>
    <row r="53" ht="21" customHeight="1" spans="1:24">
      <c r="A53" s="617" t="s">
        <v>552</v>
      </c>
      <c r="B53" s="952"/>
      <c r="C53" s="618">
        <v>2.5</v>
      </c>
      <c r="D53" s="619">
        <v>2.4</v>
      </c>
      <c r="E53" s="619">
        <v>2.3</v>
      </c>
      <c r="F53" s="620">
        <v>2.2</v>
      </c>
      <c r="G53" s="619">
        <v>2.1</v>
      </c>
      <c r="H53" s="621">
        <v>2</v>
      </c>
      <c r="I53" s="619">
        <v>1.9</v>
      </c>
      <c r="J53" s="659">
        <v>1.8</v>
      </c>
      <c r="K53" s="687">
        <v>1.5</v>
      </c>
      <c r="L53" s="970" t="s">
        <v>553</v>
      </c>
      <c r="M53" s="971"/>
      <c r="N53" s="971"/>
      <c r="O53" s="971"/>
      <c r="P53" s="971"/>
      <c r="Q53" s="971"/>
      <c r="R53" s="971"/>
      <c r="S53" s="971"/>
      <c r="T53" s="971"/>
      <c r="U53" s="971"/>
      <c r="V53" s="971"/>
      <c r="W53" s="971"/>
      <c r="X53" s="982"/>
    </row>
    <row r="54" ht="21" customHeight="1" spans="1:24">
      <c r="A54" s="953" t="s">
        <v>554</v>
      </c>
      <c r="B54" s="954"/>
      <c r="C54" s="954"/>
      <c r="D54" s="954"/>
      <c r="E54" s="954"/>
      <c r="F54" s="954"/>
      <c r="G54" s="954"/>
      <c r="H54" s="954"/>
      <c r="I54" s="954"/>
      <c r="J54" s="954"/>
      <c r="K54" s="954"/>
      <c r="L54" s="954"/>
      <c r="M54" s="954"/>
      <c r="N54" s="954"/>
      <c r="O54" s="954"/>
      <c r="P54" s="954"/>
      <c r="Q54" s="954"/>
      <c r="R54" s="954"/>
      <c r="S54" s="954"/>
      <c r="T54" s="954"/>
      <c r="U54" s="954"/>
      <c r="V54" s="954"/>
      <c r="W54" s="954"/>
      <c r="X54" s="983"/>
    </row>
    <row r="55" ht="21" customHeight="1" spans="1:24">
      <c r="A55" s="955"/>
      <c r="B55" s="956"/>
      <c r="C55" s="956"/>
      <c r="D55" s="956"/>
      <c r="E55" s="956"/>
      <c r="F55" s="956"/>
      <c r="G55" s="956"/>
      <c r="H55" s="956"/>
      <c r="I55" s="956"/>
      <c r="J55" s="956"/>
      <c r="K55" s="956"/>
      <c r="L55" s="956"/>
      <c r="M55" s="956"/>
      <c r="N55" s="956"/>
      <c r="O55" s="956"/>
      <c r="P55" s="956"/>
      <c r="Q55" s="956"/>
      <c r="R55" s="956"/>
      <c r="S55" s="956"/>
      <c r="T55" s="956"/>
      <c r="U55" s="956"/>
      <c r="V55" s="956"/>
      <c r="W55" s="956"/>
      <c r="X55" s="984"/>
    </row>
    <row r="56" ht="21" customHeight="1" spans="1:24">
      <c r="A56" s="957"/>
      <c r="B56" s="958"/>
      <c r="C56" s="958"/>
      <c r="D56" s="958"/>
      <c r="E56" s="958"/>
      <c r="F56" s="958"/>
      <c r="G56" s="958"/>
      <c r="H56" s="958"/>
      <c r="I56" s="958"/>
      <c r="J56" s="958"/>
      <c r="K56" s="958"/>
      <c r="L56" s="958"/>
      <c r="M56" s="958"/>
      <c r="N56" s="958"/>
      <c r="O56" s="958"/>
      <c r="P56" s="958"/>
      <c r="Q56" s="958"/>
      <c r="R56" s="958"/>
      <c r="S56" s="958"/>
      <c r="T56" s="958"/>
      <c r="U56" s="958"/>
      <c r="V56" s="958"/>
      <c r="W56" s="958"/>
      <c r="X56" s="985"/>
    </row>
    <row r="59" spans="4:4">
      <c r="D59" s="959"/>
    </row>
  </sheetData>
  <sheetProtection formatCells="0" insertHyperlinks="0" autoFilter="0"/>
  <mergeCells count="85">
    <mergeCell ref="A1:C1"/>
    <mergeCell ref="D1:T1"/>
    <mergeCell ref="U1:X1"/>
    <mergeCell ref="B2:D2"/>
    <mergeCell ref="F2:H2"/>
    <mergeCell ref="J2:V2"/>
    <mergeCell ref="W2:X2"/>
    <mergeCell ref="A3:X3"/>
    <mergeCell ref="A4:X4"/>
    <mergeCell ref="G5:O5"/>
    <mergeCell ref="P5:V5"/>
    <mergeCell ref="A6:X6"/>
    <mergeCell ref="A7:B7"/>
    <mergeCell ref="L7:N7"/>
    <mergeCell ref="Q7:S7"/>
    <mergeCell ref="W7:X7"/>
    <mergeCell ref="A8:B8"/>
    <mergeCell ref="A9:B9"/>
    <mergeCell ref="A10:B10"/>
    <mergeCell ref="A11:B11"/>
    <mergeCell ref="A12:X12"/>
    <mergeCell ref="A13:B13"/>
    <mergeCell ref="A14:B14"/>
    <mergeCell ref="A15:B15"/>
    <mergeCell ref="A16:B16"/>
    <mergeCell ref="A17:B17"/>
    <mergeCell ref="L17:X17"/>
    <mergeCell ref="A18:B18"/>
    <mergeCell ref="L18:X18"/>
    <mergeCell ref="A19:B19"/>
    <mergeCell ref="L19:X19"/>
    <mergeCell ref="A20:B20"/>
    <mergeCell ref="L20:X20"/>
    <mergeCell ref="A21:B21"/>
    <mergeCell ref="L21:X21"/>
    <mergeCell ref="A22:X22"/>
    <mergeCell ref="A23:B23"/>
    <mergeCell ref="A24:B24"/>
    <mergeCell ref="A25:B25"/>
    <mergeCell ref="A26:B26"/>
    <mergeCell ref="A27:X27"/>
    <mergeCell ref="A28:X28"/>
    <mergeCell ref="G29:O29"/>
    <mergeCell ref="P29:X29"/>
    <mergeCell ref="A30:X30"/>
    <mergeCell ref="A31:B31"/>
    <mergeCell ref="L31:N31"/>
    <mergeCell ref="Q31:S31"/>
    <mergeCell ref="W31:X31"/>
    <mergeCell ref="A32:B32"/>
    <mergeCell ref="A33:B33"/>
    <mergeCell ref="A34:B34"/>
    <mergeCell ref="L34:X34"/>
    <mergeCell ref="A35:B35"/>
    <mergeCell ref="L35:X35"/>
    <mergeCell ref="A36:B36"/>
    <mergeCell ref="L36:X36"/>
    <mergeCell ref="A37:X37"/>
    <mergeCell ref="G38:O38"/>
    <mergeCell ref="P38:X38"/>
    <mergeCell ref="A39:X39"/>
    <mergeCell ref="A40:B40"/>
    <mergeCell ref="L40:N40"/>
    <mergeCell ref="Q40:S40"/>
    <mergeCell ref="W40:X40"/>
    <mergeCell ref="A41:B41"/>
    <mergeCell ref="A42:B42"/>
    <mergeCell ref="A43:B43"/>
    <mergeCell ref="A44:B44"/>
    <mergeCell ref="A45:B45"/>
    <mergeCell ref="A46:X46"/>
    <mergeCell ref="A47:B47"/>
    <mergeCell ref="A48:B48"/>
    <mergeCell ref="L48:X48"/>
    <mergeCell ref="A49:B49"/>
    <mergeCell ref="L49:X49"/>
    <mergeCell ref="A50:B50"/>
    <mergeCell ref="L50:X50"/>
    <mergeCell ref="A51:B51"/>
    <mergeCell ref="L51:X51"/>
    <mergeCell ref="A52:B52"/>
    <mergeCell ref="L52:X52"/>
    <mergeCell ref="A53:B53"/>
    <mergeCell ref="L53:X53"/>
    <mergeCell ref="A54:X56"/>
  </mergeCells>
  <pageMargins left="0.75" right="0.75" top="1" bottom="1" header="0.5" footer="0.5"/>
  <headerFooter/>
  <pictur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5"/>
  <sheetViews>
    <sheetView workbookViewId="0">
      <selection activeCell="A10" sqref="A10:X10"/>
    </sheetView>
  </sheetViews>
  <sheetFormatPr defaultColWidth="9" defaultRowHeight="13.5"/>
  <cols>
    <col min="1" max="11" width="7.625" style="1" customWidth="1"/>
    <col min="12" max="12" width="0.241666666666667" style="1" customWidth="1"/>
    <col min="13" max="13" width="7.625" style="1" customWidth="1"/>
    <col min="14" max="14" width="0.241666666666667" style="1" customWidth="1"/>
    <col min="15" max="16" width="7.625" style="1" customWidth="1"/>
    <col min="17" max="17" width="0.241666666666667" style="1" customWidth="1"/>
    <col min="18" max="18" width="7.625" style="1" customWidth="1"/>
    <col min="19" max="19" width="0.241666666666667" style="1" customWidth="1"/>
    <col min="20" max="22" width="7.625" style="1" customWidth="1"/>
    <col min="23" max="23" width="0.241666666666667" style="1" customWidth="1"/>
    <col min="24" max="24" width="7.625" style="1" customWidth="1"/>
    <col min="25" max="16382" width="9" style="1"/>
  </cols>
  <sheetData>
    <row r="1" ht="85" customHeight="1" spans="1:24">
      <c r="A1" s="2">
        <v>8</v>
      </c>
      <c r="B1" s="2"/>
      <c r="C1" s="2"/>
      <c r="D1" s="3" t="s">
        <v>555</v>
      </c>
      <c r="E1" s="2"/>
      <c r="F1" s="2"/>
      <c r="G1" s="2"/>
      <c r="H1" s="2"/>
      <c r="I1" s="2"/>
      <c r="J1" s="2"/>
      <c r="K1" s="2"/>
      <c r="L1" s="2"/>
      <c r="M1" s="2"/>
      <c r="N1" s="2"/>
      <c r="O1" s="2"/>
      <c r="P1" s="2"/>
      <c r="Q1" s="2"/>
      <c r="R1" s="2"/>
      <c r="S1" s="2"/>
      <c r="T1" s="2"/>
      <c r="U1" s="2">
        <v>8</v>
      </c>
      <c r="V1" s="2"/>
      <c r="W1" s="2"/>
      <c r="X1" s="2"/>
    </row>
    <row r="2" ht="21" customHeight="1" spans="1:24">
      <c r="A2" s="5"/>
      <c r="B2" s="6" t="s">
        <v>1</v>
      </c>
      <c r="C2" s="7"/>
      <c r="D2" s="8"/>
      <c r="E2" s="9"/>
      <c r="F2" s="6" t="s">
        <v>556</v>
      </c>
      <c r="G2" s="7"/>
      <c r="H2" s="8"/>
      <c r="I2" s="9"/>
      <c r="J2" s="131" t="s">
        <v>34</v>
      </c>
      <c r="K2" s="132"/>
      <c r="L2" s="132"/>
      <c r="M2" s="132"/>
      <c r="N2" s="132"/>
      <c r="O2" s="132"/>
      <c r="P2" s="132"/>
      <c r="Q2" s="132"/>
      <c r="R2" s="132"/>
      <c r="S2" s="132"/>
      <c r="T2" s="132"/>
      <c r="U2" s="132"/>
      <c r="V2" s="229"/>
      <c r="W2" s="230"/>
      <c r="X2" s="230"/>
    </row>
    <row r="3" ht="50" customHeight="1" spans="1:24">
      <c r="A3" s="10" t="s">
        <v>210</v>
      </c>
      <c r="B3" s="11"/>
      <c r="C3" s="11"/>
      <c r="D3" s="11"/>
      <c r="E3" s="11"/>
      <c r="F3" s="11"/>
      <c r="G3" s="11"/>
      <c r="H3" s="11"/>
      <c r="I3" s="11"/>
      <c r="J3" s="11"/>
      <c r="K3" s="11"/>
      <c r="L3" s="11"/>
      <c r="M3" s="11"/>
      <c r="N3" s="11"/>
      <c r="O3" s="11"/>
      <c r="P3" s="11"/>
      <c r="Q3" s="11"/>
      <c r="R3" s="11"/>
      <c r="S3" s="11"/>
      <c r="T3" s="11"/>
      <c r="U3" s="11"/>
      <c r="V3" s="11"/>
      <c r="W3" s="11"/>
      <c r="X3" s="231"/>
    </row>
    <row r="4" ht="21" customHeight="1" spans="1:24">
      <c r="A4" s="917" t="s">
        <v>557</v>
      </c>
      <c r="B4" s="918"/>
      <c r="C4" s="918"/>
      <c r="D4" s="918"/>
      <c r="E4" s="918"/>
      <c r="F4" s="918"/>
      <c r="G4" s="918"/>
      <c r="H4" s="918"/>
      <c r="I4" s="918"/>
      <c r="J4" s="918"/>
      <c r="K4" s="918"/>
      <c r="L4" s="918"/>
      <c r="M4" s="918"/>
      <c r="N4" s="918"/>
      <c r="O4" s="918"/>
      <c r="P4" s="918"/>
      <c r="Q4" s="918"/>
      <c r="R4" s="918"/>
      <c r="S4" s="918"/>
      <c r="T4" s="918"/>
      <c r="U4" s="918"/>
      <c r="V4" s="918"/>
      <c r="W4" s="918"/>
      <c r="X4" s="931"/>
    </row>
    <row r="5" ht="21" customHeight="1" spans="1:24">
      <c r="A5" s="919" t="s">
        <v>558</v>
      </c>
      <c r="B5" s="920"/>
      <c r="C5" s="920"/>
      <c r="D5" s="920"/>
      <c r="E5" s="920"/>
      <c r="F5" s="920"/>
      <c r="G5" s="920"/>
      <c r="H5" s="920"/>
      <c r="I5" s="920"/>
      <c r="J5" s="920"/>
      <c r="K5" s="920"/>
      <c r="L5" s="920"/>
      <c r="M5" s="920"/>
      <c r="N5" s="920"/>
      <c r="O5" s="920"/>
      <c r="P5" s="920"/>
      <c r="Q5" s="920"/>
      <c r="R5" s="920"/>
      <c r="S5" s="920"/>
      <c r="T5" s="920"/>
      <c r="U5" s="920"/>
      <c r="V5" s="920"/>
      <c r="W5" s="920"/>
      <c r="X5" s="932"/>
    </row>
    <row r="6" ht="21" customHeight="1" spans="1:24">
      <c r="A6" s="921" t="s">
        <v>559</v>
      </c>
      <c r="B6" s="922"/>
      <c r="C6" s="922"/>
      <c r="D6" s="922"/>
      <c r="E6" s="922"/>
      <c r="F6" s="922"/>
      <c r="G6" s="922"/>
      <c r="H6" s="922"/>
      <c r="I6" s="922"/>
      <c r="J6" s="922"/>
      <c r="K6" s="922"/>
      <c r="L6" s="922"/>
      <c r="M6" s="922"/>
      <c r="N6" s="922"/>
      <c r="O6" s="922"/>
      <c r="P6" s="922"/>
      <c r="Q6" s="922"/>
      <c r="R6" s="922"/>
      <c r="S6" s="922"/>
      <c r="T6" s="922"/>
      <c r="U6" s="922"/>
      <c r="V6" s="922"/>
      <c r="W6" s="922"/>
      <c r="X6" s="933"/>
    </row>
    <row r="7" ht="21" customHeight="1" spans="1:24">
      <c r="A7" s="917" t="s">
        <v>557</v>
      </c>
      <c r="B7" s="918"/>
      <c r="C7" s="918"/>
      <c r="D7" s="918"/>
      <c r="E7" s="918"/>
      <c r="F7" s="918"/>
      <c r="G7" s="918"/>
      <c r="H7" s="918"/>
      <c r="I7" s="918"/>
      <c r="J7" s="918"/>
      <c r="K7" s="918"/>
      <c r="L7" s="918"/>
      <c r="M7" s="918"/>
      <c r="N7" s="918"/>
      <c r="O7" s="918"/>
      <c r="P7" s="918"/>
      <c r="Q7" s="918"/>
      <c r="R7" s="918"/>
      <c r="S7" s="918"/>
      <c r="T7" s="918"/>
      <c r="U7" s="918"/>
      <c r="V7" s="918"/>
      <c r="W7" s="918"/>
      <c r="X7" s="931"/>
    </row>
    <row r="8" ht="21" customHeight="1" spans="1:24">
      <c r="A8" s="12" t="s">
        <v>35</v>
      </c>
      <c r="B8" s="13"/>
      <c r="C8" s="13"/>
      <c r="D8" s="13"/>
      <c r="E8" s="13"/>
      <c r="F8" s="13"/>
      <c r="G8" s="13"/>
      <c r="H8" s="13"/>
      <c r="I8" s="13"/>
      <c r="J8" s="13"/>
      <c r="K8" s="13"/>
      <c r="L8" s="13"/>
      <c r="M8" s="13"/>
      <c r="N8" s="13"/>
      <c r="O8" s="13"/>
      <c r="P8" s="13"/>
      <c r="Q8" s="13"/>
      <c r="R8" s="13"/>
      <c r="S8" s="13"/>
      <c r="T8" s="13"/>
      <c r="U8" s="13"/>
      <c r="V8" s="13"/>
      <c r="W8" s="13"/>
      <c r="X8" s="232"/>
    </row>
    <row r="9" ht="44" customHeight="1" spans="1:24">
      <c r="A9" s="14"/>
      <c r="B9" s="15" t="str">
        <f>_xlfn.DISPIMG("ID_6DF8D7AE149545A880E10A147809C8E1",1)</f>
        <v>=DISPIMG("ID_6DF8D7AE149545A880E10A147809C8E1",1)</v>
      </c>
      <c r="C9" s="15" t="str">
        <f>_xlfn.DISPIMG("ID_91AAED441E2443F6A86CD367E2101926",1)</f>
        <v>=DISPIMG("ID_91AAED441E2443F6A86CD367E2101926",1)</v>
      </c>
      <c r="D9" s="15" t="str">
        <f>_xlfn.DISPIMG("ID_D368773327FE4B6792450165FA13F6B1",1)</f>
        <v>=DISPIMG("ID_D368773327FE4B6792450165FA13F6B1",1)</v>
      </c>
      <c r="E9" s="15" t="str">
        <f>_xlfn.DISPIMG("ID_B8CBCF94A39E4EB88285185D0E1A931F",1)</f>
        <v>=DISPIMG("ID_B8CBCF94A39E4EB88285185D0E1A931F",1)</v>
      </c>
      <c r="F9" s="16"/>
      <c r="G9" s="71" t="s">
        <v>560</v>
      </c>
      <c r="H9" s="72"/>
      <c r="I9" s="72"/>
      <c r="J9" s="72"/>
      <c r="K9" s="72"/>
      <c r="L9" s="72"/>
      <c r="M9" s="72"/>
      <c r="N9" s="72"/>
      <c r="O9" s="180"/>
      <c r="P9" s="134"/>
      <c r="Q9" s="233"/>
      <c r="R9" s="233"/>
      <c r="S9" s="233"/>
      <c r="T9" s="233"/>
      <c r="U9" s="233"/>
      <c r="V9" s="233"/>
      <c r="W9" s="233"/>
      <c r="X9" s="234"/>
    </row>
    <row r="10" ht="21" customHeight="1" spans="1:24">
      <c r="A10" s="714"/>
      <c r="B10" s="715"/>
      <c r="C10" s="715"/>
      <c r="D10" s="715"/>
      <c r="E10" s="715"/>
      <c r="F10" s="715"/>
      <c r="G10" s="715"/>
      <c r="H10" s="715"/>
      <c r="I10" s="715"/>
      <c r="J10" s="715"/>
      <c r="K10" s="715"/>
      <c r="L10" s="715"/>
      <c r="M10" s="715"/>
      <c r="N10" s="715"/>
      <c r="O10" s="715"/>
      <c r="P10" s="715"/>
      <c r="Q10" s="715"/>
      <c r="R10" s="715"/>
      <c r="S10" s="715"/>
      <c r="T10" s="715"/>
      <c r="U10" s="715"/>
      <c r="V10" s="715"/>
      <c r="W10" s="715"/>
      <c r="X10" s="749"/>
    </row>
    <row r="11" ht="21" customHeight="1" spans="1:24">
      <c r="A11" s="21" t="s">
        <v>8</v>
      </c>
      <c r="B11" s="22"/>
      <c r="C11" s="23">
        <v>0</v>
      </c>
      <c r="D11" s="24">
        <v>1</v>
      </c>
      <c r="E11" s="24">
        <v>2</v>
      </c>
      <c r="F11" s="24">
        <v>3</v>
      </c>
      <c r="G11" s="24">
        <v>4</v>
      </c>
      <c r="H11" s="24">
        <v>5</v>
      </c>
      <c r="I11" s="24">
        <v>6</v>
      </c>
      <c r="J11" s="24">
        <v>7</v>
      </c>
      <c r="K11" s="135">
        <v>8</v>
      </c>
      <c r="L11" s="136">
        <v>9</v>
      </c>
      <c r="M11" s="137"/>
      <c r="N11" s="138"/>
      <c r="O11" s="139">
        <v>10</v>
      </c>
      <c r="P11" s="140">
        <v>11</v>
      </c>
      <c r="Q11" s="236">
        <v>12</v>
      </c>
      <c r="R11" s="236"/>
      <c r="S11" s="236"/>
      <c r="T11" s="139">
        <v>13</v>
      </c>
      <c r="U11" s="237">
        <v>14</v>
      </c>
      <c r="V11" s="140">
        <v>15</v>
      </c>
      <c r="W11" s="137">
        <v>16</v>
      </c>
      <c r="X11" s="138"/>
    </row>
    <row r="12" ht="21" customHeight="1" spans="1:24">
      <c r="A12" s="25" t="s">
        <v>561</v>
      </c>
      <c r="B12" s="26"/>
      <c r="C12" s="336">
        <v>40</v>
      </c>
      <c r="D12" s="337">
        <v>44</v>
      </c>
      <c r="E12" s="337">
        <v>48</v>
      </c>
      <c r="F12" s="337">
        <v>52</v>
      </c>
      <c r="G12" s="337">
        <v>56</v>
      </c>
      <c r="H12" s="337">
        <v>60</v>
      </c>
      <c r="I12" s="337">
        <v>64</v>
      </c>
      <c r="J12" s="337">
        <v>70</v>
      </c>
      <c r="K12" s="379">
        <v>80</v>
      </c>
      <c r="L12" s="380"/>
      <c r="M12" s="218">
        <v>90</v>
      </c>
      <c r="N12" s="367"/>
      <c r="O12" s="203">
        <v>110</v>
      </c>
      <c r="P12" s="204">
        <v>130</v>
      </c>
      <c r="Q12" s="367"/>
      <c r="R12" s="272">
        <v>170</v>
      </c>
      <c r="S12" s="367"/>
      <c r="T12" s="203">
        <v>180</v>
      </c>
      <c r="U12" s="273">
        <v>200</v>
      </c>
      <c r="V12" s="204">
        <v>220</v>
      </c>
      <c r="W12" s="403"/>
      <c r="X12" s="275">
        <v>240</v>
      </c>
    </row>
    <row r="13" ht="21" customHeight="1" spans="1:24">
      <c r="A13" s="74" t="s">
        <v>562</v>
      </c>
      <c r="B13" s="482"/>
      <c r="C13" s="39">
        <f t="shared" ref="C13:K13" si="0">INT(C12*1.25)</f>
        <v>50</v>
      </c>
      <c r="D13" s="40">
        <f t="shared" si="0"/>
        <v>55</v>
      </c>
      <c r="E13" s="40">
        <f t="shared" si="0"/>
        <v>60</v>
      </c>
      <c r="F13" s="40">
        <f t="shared" si="0"/>
        <v>65</v>
      </c>
      <c r="G13" s="40">
        <f t="shared" si="0"/>
        <v>70</v>
      </c>
      <c r="H13" s="40">
        <f t="shared" si="0"/>
        <v>75</v>
      </c>
      <c r="I13" s="40">
        <f t="shared" si="0"/>
        <v>80</v>
      </c>
      <c r="J13" s="40">
        <f t="shared" si="0"/>
        <v>87</v>
      </c>
      <c r="K13" s="157">
        <f t="shared" si="0"/>
        <v>100</v>
      </c>
      <c r="L13" s="158"/>
      <c r="M13" s="159">
        <f t="shared" ref="M13:P13" si="1">INT(M12*1.25)</f>
        <v>112</v>
      </c>
      <c r="N13" s="160"/>
      <c r="O13" s="161">
        <f t="shared" si="1"/>
        <v>137</v>
      </c>
      <c r="P13" s="162">
        <f t="shared" si="1"/>
        <v>162</v>
      </c>
      <c r="Q13" s="160"/>
      <c r="R13" s="247">
        <f t="shared" ref="R13:V13" si="2">INT(R12*1.25)</f>
        <v>212</v>
      </c>
      <c r="S13" s="160"/>
      <c r="T13" s="161">
        <f t="shared" si="2"/>
        <v>225</v>
      </c>
      <c r="U13" s="248">
        <f t="shared" si="2"/>
        <v>250</v>
      </c>
      <c r="V13" s="162">
        <f t="shared" si="2"/>
        <v>275</v>
      </c>
      <c r="W13" s="249"/>
      <c r="X13" s="250">
        <f>INT(X12*1.25)</f>
        <v>300</v>
      </c>
    </row>
    <row r="14" ht="21" customHeight="1" spans="1:24">
      <c r="A14" s="26" t="s">
        <v>563</v>
      </c>
      <c r="B14" s="315"/>
      <c r="C14" s="327">
        <f t="shared" ref="C14:K14" si="3">INT(C13*1.5)</f>
        <v>75</v>
      </c>
      <c r="D14" s="328">
        <f t="shared" si="3"/>
        <v>82</v>
      </c>
      <c r="E14" s="328">
        <f t="shared" si="3"/>
        <v>90</v>
      </c>
      <c r="F14" s="328">
        <f t="shared" si="3"/>
        <v>97</v>
      </c>
      <c r="G14" s="328">
        <f t="shared" si="3"/>
        <v>105</v>
      </c>
      <c r="H14" s="328">
        <f t="shared" si="3"/>
        <v>112</v>
      </c>
      <c r="I14" s="328">
        <f t="shared" si="3"/>
        <v>120</v>
      </c>
      <c r="J14" s="328">
        <f t="shared" si="3"/>
        <v>130</v>
      </c>
      <c r="K14" s="365">
        <f t="shared" si="3"/>
        <v>150</v>
      </c>
      <c r="L14" s="366"/>
      <c r="M14" s="218">
        <f t="shared" ref="M14:P14" si="4">INT(M13*1.5)</f>
        <v>168</v>
      </c>
      <c r="N14" s="367"/>
      <c r="O14" s="203">
        <f t="shared" si="4"/>
        <v>205</v>
      </c>
      <c r="P14" s="204">
        <f t="shared" si="4"/>
        <v>243</v>
      </c>
      <c r="Q14" s="367"/>
      <c r="R14" s="272">
        <f t="shared" ref="R14:V14" si="5">INT(R13*1.5)</f>
        <v>318</v>
      </c>
      <c r="S14" s="367"/>
      <c r="T14" s="203">
        <f t="shared" si="5"/>
        <v>337</v>
      </c>
      <c r="U14" s="273">
        <f t="shared" si="5"/>
        <v>375</v>
      </c>
      <c r="V14" s="204">
        <f t="shared" si="5"/>
        <v>412</v>
      </c>
      <c r="W14" s="403"/>
      <c r="X14" s="275">
        <f>INT(X13*1.5)</f>
        <v>450</v>
      </c>
    </row>
    <row r="15" ht="21" customHeight="1" spans="1:24">
      <c r="A15" s="59" t="s">
        <v>18</v>
      </c>
      <c r="B15" s="60"/>
      <c r="C15" s="61">
        <v>0</v>
      </c>
      <c r="D15" s="62">
        <v>1</v>
      </c>
      <c r="E15" s="62">
        <v>2</v>
      </c>
      <c r="F15" s="63">
        <v>3</v>
      </c>
      <c r="G15" s="62">
        <v>4</v>
      </c>
      <c r="H15" s="64">
        <v>5</v>
      </c>
      <c r="I15" s="62">
        <v>6</v>
      </c>
      <c r="J15" s="174">
        <v>7</v>
      </c>
      <c r="K15" s="175">
        <v>8</v>
      </c>
      <c r="L15" s="86" t="s">
        <v>564</v>
      </c>
      <c r="M15" s="205"/>
      <c r="N15" s="205"/>
      <c r="O15" s="205"/>
      <c r="P15" s="205"/>
      <c r="Q15" s="205"/>
      <c r="R15" s="205"/>
      <c r="S15" s="205"/>
      <c r="T15" s="205"/>
      <c r="U15" s="205"/>
      <c r="V15" s="205"/>
      <c r="W15" s="205"/>
      <c r="X15" s="276"/>
    </row>
    <row r="16" ht="21" customHeight="1" spans="1:24">
      <c r="A16" s="25" t="s">
        <v>560</v>
      </c>
      <c r="B16" s="25"/>
      <c r="C16" s="89">
        <v>1.8</v>
      </c>
      <c r="D16" s="90">
        <v>1.75</v>
      </c>
      <c r="E16" s="90">
        <v>1.7</v>
      </c>
      <c r="F16" s="91">
        <v>1.65</v>
      </c>
      <c r="G16" s="90">
        <v>1.6</v>
      </c>
      <c r="H16" s="92">
        <v>1.55</v>
      </c>
      <c r="I16" s="90">
        <v>1.5</v>
      </c>
      <c r="J16" s="206">
        <v>1.45</v>
      </c>
      <c r="K16" s="658">
        <v>1.4</v>
      </c>
      <c r="L16" s="25" t="s">
        <v>565</v>
      </c>
      <c r="M16" s="25"/>
      <c r="N16" s="25"/>
      <c r="O16" s="25"/>
      <c r="P16" s="25"/>
      <c r="Q16" s="25"/>
      <c r="R16" s="25"/>
      <c r="S16" s="25"/>
      <c r="T16" s="25"/>
      <c r="U16" s="25"/>
      <c r="V16" s="25"/>
      <c r="W16" s="25"/>
      <c r="X16" s="25"/>
    </row>
    <row r="17" ht="21" customHeight="1" spans="1:24">
      <c r="A17" s="622" t="s">
        <v>122</v>
      </c>
      <c r="B17" s="622"/>
      <c r="C17" s="622"/>
      <c r="D17" s="622"/>
      <c r="E17" s="622"/>
      <c r="F17" s="622"/>
      <c r="G17" s="622"/>
      <c r="H17" s="622"/>
      <c r="I17" s="622"/>
      <c r="J17" s="622"/>
      <c r="K17" s="622"/>
      <c r="L17" s="622"/>
      <c r="M17" s="622"/>
      <c r="N17" s="622"/>
      <c r="O17" s="622"/>
      <c r="P17" s="622"/>
      <c r="Q17" s="622"/>
      <c r="R17" s="622"/>
      <c r="S17" s="622"/>
      <c r="T17" s="622"/>
      <c r="U17" s="622"/>
      <c r="V17" s="622"/>
      <c r="W17" s="622"/>
      <c r="X17" s="622"/>
    </row>
    <row r="18" ht="21" customHeight="1" spans="1:24">
      <c r="A18" s="923" t="s">
        <v>566</v>
      </c>
      <c r="B18" s="315"/>
      <c r="C18" s="323">
        <f t="shared" ref="C18:K18" si="6">INT(C12*1.15)+15</f>
        <v>61</v>
      </c>
      <c r="D18" s="324">
        <f t="shared" si="6"/>
        <v>65</v>
      </c>
      <c r="E18" s="324">
        <f t="shared" si="6"/>
        <v>70</v>
      </c>
      <c r="F18" s="324">
        <f t="shared" si="6"/>
        <v>74</v>
      </c>
      <c r="G18" s="324">
        <f t="shared" si="6"/>
        <v>79</v>
      </c>
      <c r="H18" s="324">
        <f t="shared" si="6"/>
        <v>84</v>
      </c>
      <c r="I18" s="324">
        <f t="shared" si="6"/>
        <v>88</v>
      </c>
      <c r="J18" s="324">
        <f t="shared" si="6"/>
        <v>95</v>
      </c>
      <c r="K18" s="363">
        <f t="shared" si="6"/>
        <v>107</v>
      </c>
      <c r="L18" s="364"/>
      <c r="M18" s="143">
        <f t="shared" ref="M18:P18" si="7">INT(M12*1.15)+15</f>
        <v>118</v>
      </c>
      <c r="N18" s="144"/>
      <c r="O18" s="145">
        <f t="shared" si="7"/>
        <v>141</v>
      </c>
      <c r="P18" s="146">
        <f t="shared" si="7"/>
        <v>164</v>
      </c>
      <c r="Q18" s="144"/>
      <c r="R18" s="238">
        <f t="shared" ref="R18:V18" si="8">INT(R12*1.15)+15</f>
        <v>210</v>
      </c>
      <c r="S18" s="144"/>
      <c r="T18" s="145">
        <f t="shared" si="8"/>
        <v>222</v>
      </c>
      <c r="U18" s="239">
        <f t="shared" si="8"/>
        <v>245</v>
      </c>
      <c r="V18" s="146">
        <f t="shared" si="8"/>
        <v>268</v>
      </c>
      <c r="W18" s="240"/>
      <c r="X18" s="241">
        <f>INT(X12*1.15)+15</f>
        <v>291</v>
      </c>
    </row>
    <row r="19" ht="21" customHeight="1" spans="1:24">
      <c r="A19" s="764" t="s">
        <v>567</v>
      </c>
      <c r="B19" s="765"/>
      <c r="C19" s="766">
        <f t="shared" ref="C19:K19" si="9">INT(C13*1.15)+15</f>
        <v>72</v>
      </c>
      <c r="D19" s="767">
        <f t="shared" si="9"/>
        <v>78</v>
      </c>
      <c r="E19" s="767">
        <f t="shared" si="9"/>
        <v>84</v>
      </c>
      <c r="F19" s="767">
        <f t="shared" si="9"/>
        <v>89</v>
      </c>
      <c r="G19" s="767">
        <f t="shared" si="9"/>
        <v>95</v>
      </c>
      <c r="H19" s="767">
        <f t="shared" si="9"/>
        <v>101</v>
      </c>
      <c r="I19" s="767">
        <f t="shared" si="9"/>
        <v>107</v>
      </c>
      <c r="J19" s="767">
        <f t="shared" si="9"/>
        <v>115</v>
      </c>
      <c r="K19" s="811">
        <f t="shared" si="9"/>
        <v>130</v>
      </c>
      <c r="L19" s="812"/>
      <c r="M19" s="813">
        <f t="shared" ref="M19:P19" si="10">INT(M13*1.15)+15</f>
        <v>143</v>
      </c>
      <c r="N19" s="814"/>
      <c r="O19" s="815">
        <f t="shared" si="10"/>
        <v>172</v>
      </c>
      <c r="P19" s="816">
        <f t="shared" si="10"/>
        <v>201</v>
      </c>
      <c r="Q19" s="814"/>
      <c r="R19" s="841">
        <f t="shared" ref="R19:V19" si="11">INT(R13*1.15)+15</f>
        <v>258</v>
      </c>
      <c r="S19" s="814"/>
      <c r="T19" s="815">
        <f t="shared" si="11"/>
        <v>273</v>
      </c>
      <c r="U19" s="842">
        <f t="shared" si="11"/>
        <v>302</v>
      </c>
      <c r="V19" s="816">
        <f t="shared" si="11"/>
        <v>331</v>
      </c>
      <c r="W19" s="843"/>
      <c r="X19" s="844">
        <f>INT(X13*1.15)+15</f>
        <v>360</v>
      </c>
    </row>
    <row r="20" ht="21" customHeight="1" spans="1:24">
      <c r="A20" s="923" t="s">
        <v>568</v>
      </c>
      <c r="B20" s="315"/>
      <c r="C20" s="323">
        <f t="shared" ref="C20:K20" si="12">INT(C14*1.15)+15</f>
        <v>101</v>
      </c>
      <c r="D20" s="324">
        <f t="shared" si="12"/>
        <v>109</v>
      </c>
      <c r="E20" s="324">
        <f t="shared" si="12"/>
        <v>118</v>
      </c>
      <c r="F20" s="324">
        <f t="shared" si="12"/>
        <v>126</v>
      </c>
      <c r="G20" s="324">
        <f t="shared" si="12"/>
        <v>135</v>
      </c>
      <c r="H20" s="324">
        <f t="shared" si="12"/>
        <v>143</v>
      </c>
      <c r="I20" s="324">
        <f t="shared" si="12"/>
        <v>153</v>
      </c>
      <c r="J20" s="324">
        <f t="shared" si="12"/>
        <v>164</v>
      </c>
      <c r="K20" s="363">
        <f t="shared" si="12"/>
        <v>187</v>
      </c>
      <c r="L20" s="364"/>
      <c r="M20" s="143">
        <f t="shared" ref="M20:P20" si="13">INT(M14*1.15)+15</f>
        <v>208</v>
      </c>
      <c r="N20" s="144"/>
      <c r="O20" s="145">
        <f t="shared" si="13"/>
        <v>250</v>
      </c>
      <c r="P20" s="146">
        <f t="shared" si="13"/>
        <v>294</v>
      </c>
      <c r="Q20" s="144"/>
      <c r="R20" s="238">
        <f t="shared" ref="R20:V20" si="14">INT(R14*1.15)+15</f>
        <v>380</v>
      </c>
      <c r="S20" s="144"/>
      <c r="T20" s="145">
        <f t="shared" si="14"/>
        <v>402</v>
      </c>
      <c r="U20" s="239">
        <f t="shared" si="14"/>
        <v>446</v>
      </c>
      <c r="V20" s="146">
        <f t="shared" si="14"/>
        <v>488</v>
      </c>
      <c r="W20" s="240"/>
      <c r="X20" s="241">
        <f>INT(X14*1.15)+15</f>
        <v>532</v>
      </c>
    </row>
    <row r="21" ht="21" customHeight="1" spans="1:24">
      <c r="A21" s="768" t="s">
        <v>26</v>
      </c>
      <c r="B21" s="769" t="s">
        <v>569</v>
      </c>
      <c r="C21" s="769"/>
      <c r="D21" s="769"/>
      <c r="E21" s="769"/>
      <c r="F21" s="769"/>
      <c r="G21" s="769"/>
      <c r="H21" s="769"/>
      <c r="I21" s="769"/>
      <c r="J21" s="769"/>
      <c r="K21" s="817"/>
      <c r="L21" s="34" t="s">
        <v>570</v>
      </c>
      <c r="M21" s="930"/>
      <c r="N21" s="930"/>
      <c r="O21" s="930"/>
      <c r="P21" s="930"/>
      <c r="Q21" s="930"/>
      <c r="R21" s="930"/>
      <c r="S21" s="930"/>
      <c r="T21" s="930"/>
      <c r="U21" s="930"/>
      <c r="V21" s="930"/>
      <c r="W21" s="930"/>
      <c r="X21" s="934"/>
    </row>
    <row r="22" ht="21" customHeight="1" spans="1:24">
      <c r="A22" s="770" t="s">
        <v>571</v>
      </c>
      <c r="B22" s="771" t="s">
        <v>560</v>
      </c>
      <c r="C22" s="772">
        <v>0</v>
      </c>
      <c r="D22" s="773">
        <v>1</v>
      </c>
      <c r="E22" s="773">
        <v>2</v>
      </c>
      <c r="F22" s="774">
        <v>3</v>
      </c>
      <c r="G22" s="773">
        <v>4</v>
      </c>
      <c r="H22" s="775">
        <v>5</v>
      </c>
      <c r="I22" s="773">
        <v>6</v>
      </c>
      <c r="J22" s="819">
        <v>7</v>
      </c>
      <c r="K22" s="820">
        <v>8</v>
      </c>
      <c r="L22" s="279" t="str">
        <f>_xlfn.DISPIMG("ID_7211959232154EE28EAD258ACBE78F37",1)</f>
        <v>=DISPIMG("ID_7211959232154EE28EAD258ACBE78F37",1)</v>
      </c>
      <c r="M22" s="280"/>
      <c r="N22" s="280"/>
      <c r="O22" s="280"/>
      <c r="P22" s="280"/>
      <c r="Q22" s="280"/>
      <c r="R22" s="280"/>
      <c r="S22" s="280"/>
      <c r="T22" s="280"/>
      <c r="U22" s="280"/>
      <c r="V22" s="280"/>
      <c r="W22" s="280"/>
      <c r="X22" s="281"/>
    </row>
    <row r="23" ht="21" customHeight="1" spans="1:24">
      <c r="A23" s="770"/>
      <c r="B23" s="776">
        <v>0</v>
      </c>
      <c r="C23" s="777">
        <v>0</v>
      </c>
      <c r="D23" s="778">
        <v>0</v>
      </c>
      <c r="E23" s="778">
        <v>1</v>
      </c>
      <c r="F23" s="779">
        <v>1</v>
      </c>
      <c r="G23" s="778">
        <v>2</v>
      </c>
      <c r="H23" s="780">
        <v>3</v>
      </c>
      <c r="I23" s="778">
        <v>5</v>
      </c>
      <c r="J23" s="823">
        <v>6</v>
      </c>
      <c r="K23" s="824">
        <v>10</v>
      </c>
      <c r="L23" s="279"/>
      <c r="M23" s="280"/>
      <c r="N23" s="280"/>
      <c r="O23" s="280"/>
      <c r="P23" s="280"/>
      <c r="Q23" s="280"/>
      <c r="R23" s="280"/>
      <c r="S23" s="280"/>
      <c r="T23" s="280"/>
      <c r="U23" s="280"/>
      <c r="V23" s="280"/>
      <c r="W23" s="280"/>
      <c r="X23" s="281"/>
    </row>
    <row r="24" ht="21" customHeight="1" spans="1:24">
      <c r="A24" s="770"/>
      <c r="B24" s="781">
        <v>1</v>
      </c>
      <c r="C24" s="782">
        <v>0</v>
      </c>
      <c r="D24" s="783">
        <v>0</v>
      </c>
      <c r="E24" s="783">
        <v>1</v>
      </c>
      <c r="F24" s="784">
        <v>1</v>
      </c>
      <c r="G24" s="783">
        <v>2</v>
      </c>
      <c r="H24" s="785">
        <v>3</v>
      </c>
      <c r="I24" s="783">
        <v>5</v>
      </c>
      <c r="J24" s="825">
        <v>7</v>
      </c>
      <c r="K24" s="826">
        <v>10</v>
      </c>
      <c r="L24" s="279"/>
      <c r="M24" s="280"/>
      <c r="N24" s="280"/>
      <c r="O24" s="280"/>
      <c r="P24" s="280"/>
      <c r="Q24" s="280"/>
      <c r="R24" s="280"/>
      <c r="S24" s="280"/>
      <c r="T24" s="280"/>
      <c r="U24" s="280"/>
      <c r="V24" s="280"/>
      <c r="W24" s="280"/>
      <c r="X24" s="281"/>
    </row>
    <row r="25" ht="21" customHeight="1" spans="1:24">
      <c r="A25" s="770"/>
      <c r="B25" s="781">
        <v>2</v>
      </c>
      <c r="C25" s="782">
        <v>0</v>
      </c>
      <c r="D25" s="783">
        <v>0</v>
      </c>
      <c r="E25" s="783">
        <v>1</v>
      </c>
      <c r="F25" s="784">
        <v>2</v>
      </c>
      <c r="G25" s="783">
        <v>3</v>
      </c>
      <c r="H25" s="785">
        <v>4</v>
      </c>
      <c r="I25" s="783">
        <v>5</v>
      </c>
      <c r="J25" s="825">
        <v>7</v>
      </c>
      <c r="K25" s="826">
        <v>10</v>
      </c>
      <c r="L25" s="279"/>
      <c r="M25" s="280"/>
      <c r="N25" s="280"/>
      <c r="O25" s="280"/>
      <c r="P25" s="280"/>
      <c r="Q25" s="280"/>
      <c r="R25" s="280"/>
      <c r="S25" s="280"/>
      <c r="T25" s="280"/>
      <c r="U25" s="280"/>
      <c r="V25" s="280"/>
      <c r="W25" s="280"/>
      <c r="X25" s="281"/>
    </row>
    <row r="26" ht="21" customHeight="1" spans="1:24">
      <c r="A26" s="770"/>
      <c r="B26" s="781">
        <v>3</v>
      </c>
      <c r="C26" s="782">
        <v>0</v>
      </c>
      <c r="D26" s="783">
        <v>1</v>
      </c>
      <c r="E26" s="783">
        <v>1</v>
      </c>
      <c r="F26" s="784">
        <v>2</v>
      </c>
      <c r="G26" s="783">
        <v>3</v>
      </c>
      <c r="H26" s="785">
        <v>4</v>
      </c>
      <c r="I26" s="783">
        <v>5</v>
      </c>
      <c r="J26" s="825">
        <v>7</v>
      </c>
      <c r="K26" s="826">
        <v>11</v>
      </c>
      <c r="L26" s="279"/>
      <c r="M26" s="280"/>
      <c r="N26" s="280"/>
      <c r="O26" s="280"/>
      <c r="P26" s="280"/>
      <c r="Q26" s="280"/>
      <c r="R26" s="280"/>
      <c r="S26" s="280"/>
      <c r="T26" s="280"/>
      <c r="U26" s="280"/>
      <c r="V26" s="280"/>
      <c r="W26" s="280"/>
      <c r="X26" s="281"/>
    </row>
    <row r="27" ht="21" customHeight="1" spans="1:24">
      <c r="A27" s="770"/>
      <c r="B27" s="786">
        <v>4</v>
      </c>
      <c r="C27" s="787">
        <v>1</v>
      </c>
      <c r="D27" s="788">
        <v>1</v>
      </c>
      <c r="E27" s="788">
        <v>2</v>
      </c>
      <c r="F27" s="789">
        <v>2</v>
      </c>
      <c r="G27" s="788">
        <v>3</v>
      </c>
      <c r="H27" s="790">
        <v>4</v>
      </c>
      <c r="I27" s="788">
        <v>6</v>
      </c>
      <c r="J27" s="827">
        <v>7</v>
      </c>
      <c r="K27" s="828">
        <v>11</v>
      </c>
      <c r="L27" s="279"/>
      <c r="M27" s="280"/>
      <c r="N27" s="280"/>
      <c r="O27" s="280"/>
      <c r="P27" s="280"/>
      <c r="Q27" s="280"/>
      <c r="R27" s="280"/>
      <c r="S27" s="280"/>
      <c r="T27" s="280"/>
      <c r="U27" s="280"/>
      <c r="V27" s="280"/>
      <c r="W27" s="280"/>
      <c r="X27" s="281"/>
    </row>
    <row r="28" ht="21" customHeight="1" spans="1:24">
      <c r="A28" s="770"/>
      <c r="B28" s="786">
        <v>5</v>
      </c>
      <c r="C28" s="787">
        <v>1</v>
      </c>
      <c r="D28" s="788">
        <v>2</v>
      </c>
      <c r="E28" s="788">
        <v>2</v>
      </c>
      <c r="F28" s="789">
        <v>3</v>
      </c>
      <c r="G28" s="788">
        <v>4</v>
      </c>
      <c r="H28" s="790">
        <v>5</v>
      </c>
      <c r="I28" s="788">
        <v>6</v>
      </c>
      <c r="J28" s="827">
        <v>8</v>
      </c>
      <c r="K28" s="828">
        <v>12</v>
      </c>
      <c r="L28" s="279"/>
      <c r="M28" s="280"/>
      <c r="N28" s="280"/>
      <c r="O28" s="280"/>
      <c r="P28" s="280"/>
      <c r="Q28" s="280"/>
      <c r="R28" s="280"/>
      <c r="S28" s="280"/>
      <c r="T28" s="280"/>
      <c r="U28" s="280"/>
      <c r="V28" s="280"/>
      <c r="W28" s="280"/>
      <c r="X28" s="281"/>
    </row>
    <row r="29" ht="21" customHeight="1" spans="1:24">
      <c r="A29" s="770"/>
      <c r="B29" s="791">
        <v>6</v>
      </c>
      <c r="C29" s="792">
        <v>2</v>
      </c>
      <c r="D29" s="793">
        <v>2</v>
      </c>
      <c r="E29" s="793">
        <v>3</v>
      </c>
      <c r="F29" s="794">
        <v>3</v>
      </c>
      <c r="G29" s="793">
        <v>4</v>
      </c>
      <c r="H29" s="795">
        <v>5</v>
      </c>
      <c r="I29" s="793">
        <v>7</v>
      </c>
      <c r="J29" s="829">
        <v>9</v>
      </c>
      <c r="K29" s="830">
        <v>12</v>
      </c>
      <c r="L29" s="279"/>
      <c r="M29" s="280"/>
      <c r="N29" s="280"/>
      <c r="O29" s="280"/>
      <c r="P29" s="280"/>
      <c r="Q29" s="280"/>
      <c r="R29" s="280"/>
      <c r="S29" s="280"/>
      <c r="T29" s="280"/>
      <c r="U29" s="280"/>
      <c r="V29" s="280"/>
      <c r="W29" s="280"/>
      <c r="X29" s="281"/>
    </row>
    <row r="30" ht="21" customHeight="1" spans="1:24">
      <c r="A30" s="770"/>
      <c r="B30" s="791">
        <v>7</v>
      </c>
      <c r="C30" s="792">
        <v>3</v>
      </c>
      <c r="D30" s="793">
        <v>3</v>
      </c>
      <c r="E30" s="793">
        <v>3</v>
      </c>
      <c r="F30" s="794">
        <v>4</v>
      </c>
      <c r="G30" s="793">
        <v>5</v>
      </c>
      <c r="H30" s="795">
        <v>6</v>
      </c>
      <c r="I30" s="793">
        <v>8</v>
      </c>
      <c r="J30" s="829">
        <v>9</v>
      </c>
      <c r="K30" s="830">
        <v>13</v>
      </c>
      <c r="L30" s="279"/>
      <c r="M30" s="280"/>
      <c r="N30" s="280"/>
      <c r="O30" s="280"/>
      <c r="P30" s="280"/>
      <c r="Q30" s="280"/>
      <c r="R30" s="280"/>
      <c r="S30" s="280"/>
      <c r="T30" s="280"/>
      <c r="U30" s="280"/>
      <c r="V30" s="280"/>
      <c r="W30" s="280"/>
      <c r="X30" s="281"/>
    </row>
    <row r="31" ht="21" customHeight="1" spans="1:24">
      <c r="A31" s="770"/>
      <c r="B31" s="796">
        <v>8</v>
      </c>
      <c r="C31" s="787">
        <v>4</v>
      </c>
      <c r="D31" s="788">
        <v>5</v>
      </c>
      <c r="E31" s="788">
        <v>5</v>
      </c>
      <c r="F31" s="789">
        <v>6</v>
      </c>
      <c r="G31" s="788">
        <v>7</v>
      </c>
      <c r="H31" s="790">
        <v>8</v>
      </c>
      <c r="I31" s="788">
        <v>9</v>
      </c>
      <c r="J31" s="827">
        <v>11</v>
      </c>
      <c r="K31" s="828">
        <v>15</v>
      </c>
      <c r="L31" s="283"/>
      <c r="M31" s="284"/>
      <c r="N31" s="284"/>
      <c r="O31" s="284"/>
      <c r="P31" s="284"/>
      <c r="Q31" s="284"/>
      <c r="R31" s="284"/>
      <c r="S31" s="284"/>
      <c r="T31" s="284"/>
      <c r="U31" s="284"/>
      <c r="V31" s="284"/>
      <c r="W31" s="284"/>
      <c r="X31" s="285"/>
    </row>
    <row r="32" ht="21" customHeight="1" spans="1:24">
      <c r="A32" s="12"/>
      <c r="B32" s="13"/>
      <c r="C32" s="13"/>
      <c r="D32" s="13"/>
      <c r="E32" s="13"/>
      <c r="F32" s="13"/>
      <c r="G32" s="13"/>
      <c r="H32" s="13"/>
      <c r="I32" s="13"/>
      <c r="J32" s="13"/>
      <c r="K32" s="13"/>
      <c r="L32" s="13"/>
      <c r="M32" s="13"/>
      <c r="N32" s="13"/>
      <c r="O32" s="13"/>
      <c r="P32" s="13"/>
      <c r="Q32" s="13"/>
      <c r="R32" s="13"/>
      <c r="S32" s="13"/>
      <c r="T32" s="13"/>
      <c r="U32" s="13"/>
      <c r="V32" s="13"/>
      <c r="W32" s="13"/>
      <c r="X32" s="232"/>
    </row>
    <row r="33" ht="44" customHeight="1" spans="1:24">
      <c r="A33" s="14" t="str">
        <f>_xlfn.DISPIMG("ID_D799A0916E9248D592064F214EE5583E",1)</f>
        <v>=DISPIMG("ID_D799A0916E9248D592064F214EE5583E",1)</v>
      </c>
      <c r="B33" s="15" t="str">
        <f>_xlfn.DISPIMG("ID_6A156CDC4DAE4C10B9824E0125FB012C",1)</f>
        <v>=DISPIMG("ID_6A156CDC4DAE4C10B9824E0125FB012C",1)</v>
      </c>
      <c r="C33" s="15" t="str">
        <f>_xlfn.DISPIMG("ID_B8C8566BBC9D450C972E0C27E493812F",1)</f>
        <v>=DISPIMG("ID_B8C8566BBC9D450C972E0C27E493812F",1)</v>
      </c>
      <c r="D33" s="15" t="str">
        <f>_xlfn.DISPIMG("ID_26868E5643A94DCCBA8C0FA1D6F6EE25",1)</f>
        <v>=DISPIMG("ID_26868E5643A94DCCBA8C0FA1D6F6EE25",1)</v>
      </c>
      <c r="E33" s="15" t="str">
        <f>_xlfn.DISPIMG("ID_23CCF82585834138AEF6139E2FD4C30E",1)</f>
        <v>=DISPIMG("ID_23CCF82585834138AEF6139E2FD4C30E",1)</v>
      </c>
      <c r="F33" s="16"/>
      <c r="G33" s="435" t="s">
        <v>572</v>
      </c>
      <c r="H33" s="436"/>
      <c r="I33" s="436"/>
      <c r="J33" s="436"/>
      <c r="K33" s="436"/>
      <c r="L33" s="436"/>
      <c r="M33" s="436"/>
      <c r="N33" s="436"/>
      <c r="O33" s="442"/>
      <c r="P33" s="134"/>
      <c r="Q33" s="233"/>
      <c r="R33" s="233"/>
      <c r="S33" s="233"/>
      <c r="T33" s="233"/>
      <c r="U33" s="233"/>
      <c r="V33" s="233"/>
      <c r="W33" s="233"/>
      <c r="X33" s="234"/>
    </row>
    <row r="34" ht="21" customHeight="1" spans="1:24">
      <c r="A34" s="924" t="s">
        <v>573</v>
      </c>
      <c r="B34" s="925"/>
      <c r="C34" s="925"/>
      <c r="D34" s="925"/>
      <c r="E34" s="925"/>
      <c r="F34" s="925"/>
      <c r="G34" s="925"/>
      <c r="H34" s="925"/>
      <c r="I34" s="925"/>
      <c r="J34" s="925"/>
      <c r="K34" s="925"/>
      <c r="L34" s="925"/>
      <c r="M34" s="925"/>
      <c r="N34" s="925"/>
      <c r="O34" s="925"/>
      <c r="P34" s="925"/>
      <c r="Q34" s="925"/>
      <c r="R34" s="925"/>
      <c r="S34" s="925"/>
      <c r="T34" s="925"/>
      <c r="U34" s="925"/>
      <c r="V34" s="925"/>
      <c r="W34" s="925"/>
      <c r="X34" s="935"/>
    </row>
    <row r="35" ht="21" customHeight="1" spans="1:24">
      <c r="A35" s="21" t="s">
        <v>8</v>
      </c>
      <c r="B35" s="21"/>
      <c r="C35" s="23">
        <v>0</v>
      </c>
      <c r="D35" s="24">
        <v>1</v>
      </c>
      <c r="E35" s="24">
        <v>2</v>
      </c>
      <c r="F35" s="24">
        <v>3</v>
      </c>
      <c r="G35" s="24">
        <v>4</v>
      </c>
      <c r="H35" s="24">
        <v>5</v>
      </c>
      <c r="I35" s="24">
        <v>6</v>
      </c>
      <c r="J35" s="24">
        <v>7</v>
      </c>
      <c r="K35" s="135">
        <v>8</v>
      </c>
      <c r="L35" s="136">
        <v>9</v>
      </c>
      <c r="M35" s="137"/>
      <c r="N35" s="138"/>
      <c r="O35" s="139">
        <v>10</v>
      </c>
      <c r="P35" s="140">
        <v>11</v>
      </c>
      <c r="Q35" s="236">
        <v>12</v>
      </c>
      <c r="R35" s="236"/>
      <c r="S35" s="236"/>
      <c r="T35" s="139">
        <v>13</v>
      </c>
      <c r="U35" s="237">
        <v>14</v>
      </c>
      <c r="V35" s="140">
        <v>15</v>
      </c>
      <c r="W35" s="137">
        <v>16</v>
      </c>
      <c r="X35" s="138"/>
    </row>
    <row r="36" ht="21" customHeight="1" spans="1:24">
      <c r="A36" s="25" t="s">
        <v>574</v>
      </c>
      <c r="B36" s="25"/>
      <c r="C36" s="87">
        <v>20</v>
      </c>
      <c r="D36" s="88">
        <v>24</v>
      </c>
      <c r="E36" s="88">
        <v>28</v>
      </c>
      <c r="F36" s="88">
        <v>32</v>
      </c>
      <c r="G36" s="88">
        <v>36</v>
      </c>
      <c r="H36" s="88">
        <v>40</v>
      </c>
      <c r="I36" s="88">
        <v>44</v>
      </c>
      <c r="J36" s="88">
        <v>48</v>
      </c>
      <c r="K36" s="199">
        <v>54</v>
      </c>
      <c r="L36" s="217"/>
      <c r="M36" s="218">
        <v>60</v>
      </c>
      <c r="N36" s="219"/>
      <c r="O36" s="203">
        <v>80</v>
      </c>
      <c r="P36" s="204">
        <v>100</v>
      </c>
      <c r="Q36" s="219"/>
      <c r="R36" s="272">
        <v>120</v>
      </c>
      <c r="S36" s="219"/>
      <c r="T36" s="203">
        <v>140</v>
      </c>
      <c r="U36" s="273">
        <v>160</v>
      </c>
      <c r="V36" s="204">
        <v>180</v>
      </c>
      <c r="W36" s="295"/>
      <c r="X36" s="275">
        <v>200</v>
      </c>
    </row>
    <row r="37" ht="21" customHeight="1" spans="1:24">
      <c r="A37" s="73" t="s">
        <v>575</v>
      </c>
      <c r="B37" s="73"/>
      <c r="C37" s="75">
        <v>30</v>
      </c>
      <c r="D37" s="76">
        <v>34</v>
      </c>
      <c r="E37" s="76">
        <v>38</v>
      </c>
      <c r="F37" s="76">
        <v>42</v>
      </c>
      <c r="G37" s="76">
        <v>46</v>
      </c>
      <c r="H37" s="76">
        <v>50</v>
      </c>
      <c r="I37" s="76">
        <v>54</v>
      </c>
      <c r="J37" s="76">
        <v>60</v>
      </c>
      <c r="K37" s="182">
        <v>70</v>
      </c>
      <c r="L37" s="212"/>
      <c r="M37" s="197">
        <v>80</v>
      </c>
      <c r="N37" s="214"/>
      <c r="O37" s="161">
        <v>100</v>
      </c>
      <c r="P37" s="162">
        <v>120</v>
      </c>
      <c r="Q37" s="214"/>
      <c r="R37" s="247">
        <v>140</v>
      </c>
      <c r="S37" s="214"/>
      <c r="T37" s="161">
        <v>160</v>
      </c>
      <c r="U37" s="248">
        <v>180</v>
      </c>
      <c r="V37" s="162">
        <v>200</v>
      </c>
      <c r="W37" s="291"/>
      <c r="X37" s="250">
        <v>230</v>
      </c>
    </row>
    <row r="38" ht="21" customHeight="1" spans="1:24">
      <c r="A38" s="94" t="s">
        <v>576</v>
      </c>
      <c r="B38" s="94"/>
      <c r="C38" s="27">
        <v>12</v>
      </c>
      <c r="D38" s="28">
        <v>14</v>
      </c>
      <c r="E38" s="28">
        <v>16</v>
      </c>
      <c r="F38" s="28">
        <v>18</v>
      </c>
      <c r="G38" s="28">
        <v>20</v>
      </c>
      <c r="H38" s="28">
        <v>22</v>
      </c>
      <c r="I38" s="28">
        <v>24</v>
      </c>
      <c r="J38" s="28">
        <v>27</v>
      </c>
      <c r="K38" s="141">
        <v>32</v>
      </c>
      <c r="L38" s="506"/>
      <c r="M38" s="468">
        <v>37</v>
      </c>
      <c r="N38" s="508"/>
      <c r="O38" s="188">
        <v>47</v>
      </c>
      <c r="P38" s="189">
        <v>57</v>
      </c>
      <c r="Q38" s="508"/>
      <c r="R38" s="262">
        <v>67</v>
      </c>
      <c r="S38" s="508"/>
      <c r="T38" s="188">
        <v>77</v>
      </c>
      <c r="U38" s="263">
        <v>87</v>
      </c>
      <c r="V38" s="189">
        <v>97</v>
      </c>
      <c r="W38" s="424"/>
      <c r="X38" s="265">
        <v>112</v>
      </c>
    </row>
    <row r="39" ht="21" customHeight="1" spans="1:24">
      <c r="A39" s="37" t="s">
        <v>577</v>
      </c>
      <c r="B39" s="37"/>
      <c r="C39" s="75">
        <v>20</v>
      </c>
      <c r="D39" s="76">
        <v>24</v>
      </c>
      <c r="E39" s="76">
        <v>28</v>
      </c>
      <c r="F39" s="76">
        <v>32</v>
      </c>
      <c r="G39" s="76">
        <v>36</v>
      </c>
      <c r="H39" s="76">
        <v>40</v>
      </c>
      <c r="I39" s="76">
        <v>44</v>
      </c>
      <c r="J39" s="76">
        <v>48</v>
      </c>
      <c r="K39" s="182">
        <v>54</v>
      </c>
      <c r="L39" s="212"/>
      <c r="M39" s="197">
        <v>60</v>
      </c>
      <c r="N39" s="214"/>
      <c r="O39" s="161">
        <v>80</v>
      </c>
      <c r="P39" s="162">
        <v>100</v>
      </c>
      <c r="Q39" s="214"/>
      <c r="R39" s="247">
        <v>120</v>
      </c>
      <c r="S39" s="214"/>
      <c r="T39" s="161">
        <v>140</v>
      </c>
      <c r="U39" s="248">
        <v>160</v>
      </c>
      <c r="V39" s="162">
        <v>180</v>
      </c>
      <c r="W39" s="291"/>
      <c r="X39" s="250">
        <v>210</v>
      </c>
    </row>
    <row r="40" ht="21" customHeight="1" spans="1:24">
      <c r="A40" s="25" t="s">
        <v>578</v>
      </c>
      <c r="B40" s="25"/>
      <c r="C40" s="113">
        <v>50</v>
      </c>
      <c r="D40" s="307">
        <v>58</v>
      </c>
      <c r="E40" s="307">
        <v>66</v>
      </c>
      <c r="F40" s="307">
        <v>74</v>
      </c>
      <c r="G40" s="307">
        <v>82</v>
      </c>
      <c r="H40" s="307">
        <v>90</v>
      </c>
      <c r="I40" s="307">
        <v>98</v>
      </c>
      <c r="J40" s="307">
        <v>110</v>
      </c>
      <c r="K40" s="312">
        <v>130</v>
      </c>
      <c r="L40" s="185"/>
      <c r="M40" s="143">
        <v>150</v>
      </c>
      <c r="N40" s="187"/>
      <c r="O40" s="145">
        <v>190</v>
      </c>
      <c r="P40" s="146">
        <v>230</v>
      </c>
      <c r="Q40" s="187"/>
      <c r="R40" s="238">
        <v>270</v>
      </c>
      <c r="S40" s="187"/>
      <c r="T40" s="145">
        <v>310</v>
      </c>
      <c r="U40" s="239">
        <v>350</v>
      </c>
      <c r="V40" s="146">
        <v>390</v>
      </c>
      <c r="W40" s="264"/>
      <c r="X40" s="241">
        <v>450</v>
      </c>
    </row>
    <row r="41" ht="21" customHeight="1" spans="1:24">
      <c r="A41" s="485" t="s">
        <v>269</v>
      </c>
      <c r="B41" s="486"/>
      <c r="C41" s="486"/>
      <c r="D41" s="486"/>
      <c r="E41" s="486"/>
      <c r="F41" s="486"/>
      <c r="G41" s="486"/>
      <c r="H41" s="486"/>
      <c r="I41" s="486"/>
      <c r="J41" s="486"/>
      <c r="K41" s="486"/>
      <c r="L41" s="486"/>
      <c r="M41" s="486"/>
      <c r="N41" s="486"/>
      <c r="O41" s="486"/>
      <c r="P41" s="486"/>
      <c r="Q41" s="486"/>
      <c r="R41" s="486"/>
      <c r="S41" s="486"/>
      <c r="T41" s="486"/>
      <c r="U41" s="486"/>
      <c r="V41" s="486"/>
      <c r="W41" s="486"/>
      <c r="X41" s="533"/>
    </row>
    <row r="42" ht="21" customHeight="1" spans="1:24">
      <c r="A42" s="306" t="s">
        <v>579</v>
      </c>
      <c r="B42" s="25"/>
      <c r="C42" s="113">
        <f t="shared" ref="C42:K42" si="15">C36+40</f>
        <v>60</v>
      </c>
      <c r="D42" s="307">
        <f t="shared" si="15"/>
        <v>64</v>
      </c>
      <c r="E42" s="307">
        <f t="shared" si="15"/>
        <v>68</v>
      </c>
      <c r="F42" s="307">
        <f t="shared" si="15"/>
        <v>72</v>
      </c>
      <c r="G42" s="307">
        <f t="shared" si="15"/>
        <v>76</v>
      </c>
      <c r="H42" s="307">
        <f t="shared" si="15"/>
        <v>80</v>
      </c>
      <c r="I42" s="307">
        <f t="shared" si="15"/>
        <v>84</v>
      </c>
      <c r="J42" s="307">
        <f t="shared" si="15"/>
        <v>88</v>
      </c>
      <c r="K42" s="312">
        <f t="shared" si="15"/>
        <v>94</v>
      </c>
      <c r="L42" s="185"/>
      <c r="M42" s="143">
        <f t="shared" ref="M42:P42" si="16">M36+40</f>
        <v>100</v>
      </c>
      <c r="N42" s="187"/>
      <c r="O42" s="145">
        <f t="shared" si="16"/>
        <v>120</v>
      </c>
      <c r="P42" s="146">
        <f t="shared" si="16"/>
        <v>140</v>
      </c>
      <c r="Q42" s="187"/>
      <c r="R42" s="238">
        <f t="shared" ref="R42:V42" si="17">R36+40</f>
        <v>160</v>
      </c>
      <c r="S42" s="187"/>
      <c r="T42" s="145">
        <f t="shared" si="17"/>
        <v>180</v>
      </c>
      <c r="U42" s="239">
        <f t="shared" si="17"/>
        <v>200</v>
      </c>
      <c r="V42" s="146">
        <f t="shared" si="17"/>
        <v>220</v>
      </c>
      <c r="W42" s="264"/>
      <c r="X42" s="241">
        <f>X36+40</f>
        <v>240</v>
      </c>
    </row>
    <row r="43" ht="21" customHeight="1" spans="1:24">
      <c r="A43" s="805" t="s">
        <v>580</v>
      </c>
      <c r="B43" s="73"/>
      <c r="C43" s="926">
        <f t="shared" ref="C43:Z43" si="18">INT(C37*1.25)</f>
        <v>37</v>
      </c>
      <c r="D43" s="322">
        <f t="shared" si="18"/>
        <v>42</v>
      </c>
      <c r="E43" s="322">
        <f t="shared" si="18"/>
        <v>47</v>
      </c>
      <c r="F43" s="322">
        <f t="shared" si="18"/>
        <v>52</v>
      </c>
      <c r="G43" s="322">
        <f t="shared" si="18"/>
        <v>57</v>
      </c>
      <c r="H43" s="322">
        <f t="shared" si="18"/>
        <v>62</v>
      </c>
      <c r="I43" s="322">
        <f t="shared" si="18"/>
        <v>67</v>
      </c>
      <c r="J43" s="322">
        <f t="shared" si="18"/>
        <v>75</v>
      </c>
      <c r="K43" s="361">
        <f t="shared" si="18"/>
        <v>87</v>
      </c>
      <c r="L43" s="212">
        <f t="shared" si="18"/>
        <v>0</v>
      </c>
      <c r="M43" s="197">
        <f t="shared" si="18"/>
        <v>100</v>
      </c>
      <c r="N43" s="214">
        <f t="shared" si="18"/>
        <v>0</v>
      </c>
      <c r="O43" s="161">
        <f t="shared" si="18"/>
        <v>125</v>
      </c>
      <c r="P43" s="162">
        <f t="shared" si="18"/>
        <v>150</v>
      </c>
      <c r="Q43" s="214">
        <f t="shared" si="18"/>
        <v>0</v>
      </c>
      <c r="R43" s="247">
        <f t="shared" si="18"/>
        <v>175</v>
      </c>
      <c r="S43" s="214">
        <f t="shared" si="18"/>
        <v>0</v>
      </c>
      <c r="T43" s="161">
        <f t="shared" si="18"/>
        <v>200</v>
      </c>
      <c r="U43" s="248">
        <f t="shared" si="18"/>
        <v>225</v>
      </c>
      <c r="V43" s="162">
        <f t="shared" si="18"/>
        <v>250</v>
      </c>
      <c r="W43" s="291">
        <f t="shared" si="18"/>
        <v>0</v>
      </c>
      <c r="X43" s="250">
        <f t="shared" si="18"/>
        <v>287</v>
      </c>
    </row>
    <row r="44" ht="21" customHeight="1" spans="1:24">
      <c r="A44" s="85" t="s">
        <v>581</v>
      </c>
      <c r="B44" s="94"/>
      <c r="C44" s="927">
        <v>25</v>
      </c>
      <c r="D44" s="731">
        <v>29</v>
      </c>
      <c r="E44" s="28">
        <v>33</v>
      </c>
      <c r="F44" s="28">
        <v>37</v>
      </c>
      <c r="G44" s="28">
        <v>41</v>
      </c>
      <c r="H44" s="28">
        <v>45</v>
      </c>
      <c r="I44" s="28">
        <v>49</v>
      </c>
      <c r="J44" s="28">
        <v>55</v>
      </c>
      <c r="K44" s="141">
        <v>65</v>
      </c>
      <c r="L44" s="506">
        <f t="shared" ref="L44:Q44" si="19">INT(L38*2)</f>
        <v>0</v>
      </c>
      <c r="M44" s="468">
        <v>75</v>
      </c>
      <c r="N44" s="508">
        <f t="shared" si="19"/>
        <v>0</v>
      </c>
      <c r="O44" s="188">
        <v>95</v>
      </c>
      <c r="P44" s="189">
        <v>115</v>
      </c>
      <c r="Q44" s="508">
        <f t="shared" si="19"/>
        <v>0</v>
      </c>
      <c r="R44" s="262">
        <v>135</v>
      </c>
      <c r="S44" s="508">
        <f>INT(S38*2)</f>
        <v>0</v>
      </c>
      <c r="T44" s="188">
        <v>155</v>
      </c>
      <c r="U44" s="263">
        <v>175</v>
      </c>
      <c r="V44" s="189">
        <v>195</v>
      </c>
      <c r="W44" s="424">
        <f>INT(W38*2)</f>
        <v>0</v>
      </c>
      <c r="X44" s="265">
        <v>225</v>
      </c>
    </row>
    <row r="45" ht="21" customHeight="1" spans="1:24">
      <c r="A45" s="928" t="s">
        <v>582</v>
      </c>
      <c r="B45" s="37"/>
      <c r="C45" s="926">
        <f t="shared" ref="C45:Z45" si="20">INT(C44*1.2)</f>
        <v>30</v>
      </c>
      <c r="D45" s="158">
        <f t="shared" si="20"/>
        <v>34</v>
      </c>
      <c r="E45" s="76">
        <f t="shared" si="20"/>
        <v>39</v>
      </c>
      <c r="F45" s="76">
        <f t="shared" si="20"/>
        <v>44</v>
      </c>
      <c r="G45" s="76">
        <f t="shared" si="20"/>
        <v>49</v>
      </c>
      <c r="H45" s="76">
        <f t="shared" si="20"/>
        <v>54</v>
      </c>
      <c r="I45" s="76">
        <f t="shared" si="20"/>
        <v>58</v>
      </c>
      <c r="J45" s="76">
        <f t="shared" si="20"/>
        <v>66</v>
      </c>
      <c r="K45" s="182">
        <f t="shared" si="20"/>
        <v>78</v>
      </c>
      <c r="L45" s="212">
        <f t="shared" si="20"/>
        <v>0</v>
      </c>
      <c r="M45" s="579">
        <f t="shared" si="20"/>
        <v>90</v>
      </c>
      <c r="N45" s="214">
        <f t="shared" si="20"/>
        <v>0</v>
      </c>
      <c r="O45" s="386">
        <f t="shared" si="20"/>
        <v>114</v>
      </c>
      <c r="P45" s="387">
        <f t="shared" si="20"/>
        <v>138</v>
      </c>
      <c r="Q45" s="214">
        <f t="shared" si="20"/>
        <v>0</v>
      </c>
      <c r="R45" s="420">
        <f t="shared" si="20"/>
        <v>162</v>
      </c>
      <c r="S45" s="214">
        <f t="shared" si="20"/>
        <v>0</v>
      </c>
      <c r="T45" s="386">
        <f t="shared" si="20"/>
        <v>186</v>
      </c>
      <c r="U45" s="421">
        <f t="shared" si="20"/>
        <v>210</v>
      </c>
      <c r="V45" s="387">
        <f t="shared" si="20"/>
        <v>234</v>
      </c>
      <c r="W45" s="291">
        <f t="shared" si="20"/>
        <v>0</v>
      </c>
      <c r="X45" s="422">
        <f t="shared" si="20"/>
        <v>270</v>
      </c>
    </row>
    <row r="46" ht="21" customHeight="1" spans="1:24">
      <c r="A46" s="85" t="s">
        <v>583</v>
      </c>
      <c r="B46" s="94"/>
      <c r="C46" s="717">
        <f t="shared" ref="C46:Z46" si="21">INT(C39*1.05)</f>
        <v>21</v>
      </c>
      <c r="D46" s="718">
        <f t="shared" si="21"/>
        <v>25</v>
      </c>
      <c r="E46" s="718">
        <f t="shared" si="21"/>
        <v>29</v>
      </c>
      <c r="F46" s="718">
        <f t="shared" si="21"/>
        <v>33</v>
      </c>
      <c r="G46" s="718">
        <f t="shared" si="21"/>
        <v>37</v>
      </c>
      <c r="H46" s="718">
        <f t="shared" si="21"/>
        <v>42</v>
      </c>
      <c r="I46" s="718">
        <f t="shared" si="21"/>
        <v>46</v>
      </c>
      <c r="J46" s="718">
        <f t="shared" si="21"/>
        <v>50</v>
      </c>
      <c r="K46" s="738">
        <f t="shared" si="21"/>
        <v>56</v>
      </c>
      <c r="L46" s="398">
        <f t="shared" si="21"/>
        <v>0</v>
      </c>
      <c r="M46" s="727">
        <f t="shared" si="21"/>
        <v>63</v>
      </c>
      <c r="N46" s="400">
        <f t="shared" si="21"/>
        <v>0</v>
      </c>
      <c r="O46" s="382">
        <f t="shared" si="21"/>
        <v>84</v>
      </c>
      <c r="P46" s="383">
        <f t="shared" si="21"/>
        <v>105</v>
      </c>
      <c r="Q46" s="400">
        <f t="shared" si="21"/>
        <v>0</v>
      </c>
      <c r="R46" s="416">
        <f t="shared" si="21"/>
        <v>126</v>
      </c>
      <c r="S46" s="400">
        <f t="shared" si="21"/>
        <v>0</v>
      </c>
      <c r="T46" s="382">
        <f t="shared" si="21"/>
        <v>147</v>
      </c>
      <c r="U46" s="417">
        <f t="shared" si="21"/>
        <v>168</v>
      </c>
      <c r="V46" s="383">
        <f t="shared" si="21"/>
        <v>189</v>
      </c>
      <c r="W46" s="431">
        <f t="shared" si="21"/>
        <v>0</v>
      </c>
      <c r="X46" s="418">
        <f t="shared" si="21"/>
        <v>220</v>
      </c>
    </row>
    <row r="47" ht="21" customHeight="1" spans="1:24">
      <c r="A47" s="929" t="s">
        <v>584</v>
      </c>
      <c r="B47" s="73"/>
      <c r="C47" s="75">
        <f t="shared" ref="C47:Z47" si="22">INT(C46*1.5)</f>
        <v>31</v>
      </c>
      <c r="D47" s="76">
        <f t="shared" si="22"/>
        <v>37</v>
      </c>
      <c r="E47" s="76">
        <f t="shared" si="22"/>
        <v>43</v>
      </c>
      <c r="F47" s="76">
        <f t="shared" si="22"/>
        <v>49</v>
      </c>
      <c r="G47" s="76">
        <f t="shared" si="22"/>
        <v>55</v>
      </c>
      <c r="H47" s="76">
        <f t="shared" si="22"/>
        <v>63</v>
      </c>
      <c r="I47" s="76">
        <f t="shared" si="22"/>
        <v>69</v>
      </c>
      <c r="J47" s="76">
        <f t="shared" si="22"/>
        <v>75</v>
      </c>
      <c r="K47" s="182">
        <f t="shared" si="22"/>
        <v>84</v>
      </c>
      <c r="L47" s="183">
        <f t="shared" si="22"/>
        <v>0</v>
      </c>
      <c r="M47" s="159">
        <f t="shared" si="22"/>
        <v>94</v>
      </c>
      <c r="N47" s="184">
        <f t="shared" si="22"/>
        <v>0</v>
      </c>
      <c r="O47" s="161">
        <f t="shared" si="22"/>
        <v>126</v>
      </c>
      <c r="P47" s="162">
        <f t="shared" si="22"/>
        <v>157</v>
      </c>
      <c r="Q47" s="184">
        <f t="shared" si="22"/>
        <v>0</v>
      </c>
      <c r="R47" s="247">
        <f t="shared" si="22"/>
        <v>189</v>
      </c>
      <c r="S47" s="184">
        <f t="shared" si="22"/>
        <v>0</v>
      </c>
      <c r="T47" s="161">
        <f t="shared" si="22"/>
        <v>220</v>
      </c>
      <c r="U47" s="248">
        <f t="shared" si="22"/>
        <v>252</v>
      </c>
      <c r="V47" s="162">
        <f t="shared" si="22"/>
        <v>283</v>
      </c>
      <c r="W47" s="261">
        <f t="shared" si="22"/>
        <v>0</v>
      </c>
      <c r="X47" s="250">
        <f t="shared" si="22"/>
        <v>330</v>
      </c>
    </row>
    <row r="48" ht="21" customHeight="1" spans="1:24">
      <c r="A48" s="85" t="s">
        <v>585</v>
      </c>
      <c r="B48" s="94"/>
      <c r="C48" s="87">
        <f t="shared" ref="C48:K48" si="23">INT(C40*1.5)</f>
        <v>75</v>
      </c>
      <c r="D48" s="88">
        <f t="shared" si="23"/>
        <v>87</v>
      </c>
      <c r="E48" s="88">
        <f t="shared" si="23"/>
        <v>99</v>
      </c>
      <c r="F48" s="88">
        <f t="shared" si="23"/>
        <v>111</v>
      </c>
      <c r="G48" s="88">
        <f t="shared" si="23"/>
        <v>123</v>
      </c>
      <c r="H48" s="88">
        <f t="shared" si="23"/>
        <v>135</v>
      </c>
      <c r="I48" s="88">
        <f t="shared" si="23"/>
        <v>147</v>
      </c>
      <c r="J48" s="88">
        <f t="shared" si="23"/>
        <v>165</v>
      </c>
      <c r="K48" s="199">
        <f t="shared" si="23"/>
        <v>195</v>
      </c>
      <c r="L48" s="398"/>
      <c r="M48" s="201">
        <f t="shared" ref="M48:P48" si="24">INT(M40*1.5)</f>
        <v>225</v>
      </c>
      <c r="N48" s="400"/>
      <c r="O48" s="203">
        <f t="shared" si="24"/>
        <v>285</v>
      </c>
      <c r="P48" s="204">
        <f t="shared" si="24"/>
        <v>345</v>
      </c>
      <c r="Q48" s="400"/>
      <c r="R48" s="272">
        <f t="shared" ref="R48:V48" si="25">INT(R40*1.5)</f>
        <v>405</v>
      </c>
      <c r="S48" s="400"/>
      <c r="T48" s="203">
        <f t="shared" si="25"/>
        <v>465</v>
      </c>
      <c r="U48" s="273">
        <f t="shared" si="25"/>
        <v>525</v>
      </c>
      <c r="V48" s="204">
        <f t="shared" si="25"/>
        <v>585</v>
      </c>
      <c r="W48" s="431"/>
      <c r="X48" s="275">
        <f>INT(X40*1.5)</f>
        <v>675</v>
      </c>
    </row>
    <row r="49" ht="21" customHeight="1" spans="1:24">
      <c r="A49" s="59" t="s">
        <v>586</v>
      </c>
      <c r="B49" s="60"/>
      <c r="C49" s="61">
        <v>0</v>
      </c>
      <c r="D49" s="62">
        <v>1</v>
      </c>
      <c r="E49" s="62">
        <v>2</v>
      </c>
      <c r="F49" s="63">
        <v>3</v>
      </c>
      <c r="G49" s="62">
        <v>4</v>
      </c>
      <c r="H49" s="64">
        <v>5</v>
      </c>
      <c r="I49" s="62">
        <v>6</v>
      </c>
      <c r="J49" s="174">
        <v>7</v>
      </c>
      <c r="K49" s="175">
        <v>8</v>
      </c>
      <c r="L49" s="832" t="s">
        <v>587</v>
      </c>
      <c r="M49" s="833"/>
      <c r="N49" s="833"/>
      <c r="O49" s="833"/>
      <c r="P49" s="833"/>
      <c r="Q49" s="833"/>
      <c r="R49" s="833"/>
      <c r="S49" s="833"/>
      <c r="T49" s="833"/>
      <c r="U49" s="833"/>
      <c r="V49" s="833"/>
      <c r="W49" s="833"/>
      <c r="X49" s="846"/>
    </row>
    <row r="50" ht="21" customHeight="1" spans="1:24">
      <c r="A50" s="65" t="s">
        <v>574</v>
      </c>
      <c r="B50" s="65"/>
      <c r="C50" s="66">
        <v>50</v>
      </c>
      <c r="D50" s="67">
        <v>47</v>
      </c>
      <c r="E50" s="67">
        <v>44</v>
      </c>
      <c r="F50" s="93">
        <v>41</v>
      </c>
      <c r="G50" s="67">
        <v>37</v>
      </c>
      <c r="H50" s="69">
        <v>33</v>
      </c>
      <c r="I50" s="67">
        <v>29</v>
      </c>
      <c r="J50" s="178">
        <v>24</v>
      </c>
      <c r="K50" s="378">
        <v>19</v>
      </c>
      <c r="L50" s="86" t="s">
        <v>588</v>
      </c>
      <c r="M50" s="205"/>
      <c r="N50" s="205"/>
      <c r="O50" s="205"/>
      <c r="P50" s="205"/>
      <c r="Q50" s="205"/>
      <c r="R50" s="205"/>
      <c r="S50" s="205"/>
      <c r="T50" s="205"/>
      <c r="U50" s="205"/>
      <c r="V50" s="205"/>
      <c r="W50" s="205"/>
      <c r="X50" s="276"/>
    </row>
    <row r="51" ht="21" customHeight="1" spans="1:24">
      <c r="A51" s="25" t="s">
        <v>575</v>
      </c>
      <c r="B51" s="25"/>
      <c r="C51" s="89">
        <v>1.8</v>
      </c>
      <c r="D51" s="90">
        <v>1.75</v>
      </c>
      <c r="E51" s="90">
        <v>1.7</v>
      </c>
      <c r="F51" s="91">
        <v>1.65</v>
      </c>
      <c r="G51" s="90">
        <v>1.6</v>
      </c>
      <c r="H51" s="92">
        <v>1.55</v>
      </c>
      <c r="I51" s="90">
        <v>1.5</v>
      </c>
      <c r="J51" s="206">
        <v>1.45</v>
      </c>
      <c r="K51" s="658">
        <v>1.25</v>
      </c>
      <c r="L51" s="86" t="s">
        <v>589</v>
      </c>
      <c r="M51" s="205"/>
      <c r="N51" s="205"/>
      <c r="O51" s="205"/>
      <c r="P51" s="205"/>
      <c r="Q51" s="205"/>
      <c r="R51" s="205"/>
      <c r="S51" s="205"/>
      <c r="T51" s="205"/>
      <c r="U51" s="205"/>
      <c r="V51" s="205"/>
      <c r="W51" s="205"/>
      <c r="X51" s="276"/>
    </row>
    <row r="52" ht="21" customHeight="1" spans="1:24">
      <c r="A52" s="617" t="s">
        <v>576</v>
      </c>
      <c r="B52" s="617"/>
      <c r="C52" s="66">
        <v>1.8</v>
      </c>
      <c r="D52" s="67">
        <v>1.75</v>
      </c>
      <c r="E52" s="67">
        <v>1.7</v>
      </c>
      <c r="F52" s="93">
        <v>1.65</v>
      </c>
      <c r="G52" s="67">
        <v>1.6</v>
      </c>
      <c r="H52" s="69">
        <v>1.55</v>
      </c>
      <c r="I52" s="67">
        <v>1.5</v>
      </c>
      <c r="J52" s="178">
        <v>1.4</v>
      </c>
      <c r="K52" s="378">
        <v>1.3</v>
      </c>
      <c r="L52" s="86" t="s">
        <v>590</v>
      </c>
      <c r="M52" s="205"/>
      <c r="N52" s="205"/>
      <c r="O52" s="205"/>
      <c r="P52" s="205"/>
      <c r="Q52" s="205"/>
      <c r="R52" s="205"/>
      <c r="S52" s="205"/>
      <c r="T52" s="205"/>
      <c r="U52" s="205"/>
      <c r="V52" s="205"/>
      <c r="W52" s="205"/>
      <c r="X52" s="276"/>
    </row>
    <row r="53" ht="21" customHeight="1" spans="1:24">
      <c r="A53" s="94" t="s">
        <v>577</v>
      </c>
      <c r="B53" s="94"/>
      <c r="C53" s="89">
        <v>1.8</v>
      </c>
      <c r="D53" s="90">
        <v>1.75</v>
      </c>
      <c r="E53" s="90">
        <v>1.7</v>
      </c>
      <c r="F53" s="91">
        <v>1.65</v>
      </c>
      <c r="G53" s="90">
        <v>1.6</v>
      </c>
      <c r="H53" s="92">
        <v>1.55</v>
      </c>
      <c r="I53" s="90">
        <v>1.5</v>
      </c>
      <c r="J53" s="206">
        <v>1.4</v>
      </c>
      <c r="K53" s="207">
        <v>1.2</v>
      </c>
      <c r="L53" s="86" t="s">
        <v>591</v>
      </c>
      <c r="M53" s="205"/>
      <c r="N53" s="205"/>
      <c r="O53" s="205"/>
      <c r="P53" s="205"/>
      <c r="Q53" s="205"/>
      <c r="R53" s="205"/>
      <c r="S53" s="205"/>
      <c r="T53" s="205"/>
      <c r="U53" s="205"/>
      <c r="V53" s="205"/>
      <c r="W53" s="205"/>
      <c r="X53" s="276"/>
    </row>
    <row r="54" ht="21" customHeight="1" spans="1:24">
      <c r="A54" s="65" t="s">
        <v>578</v>
      </c>
      <c r="B54" s="65"/>
      <c r="C54" s="66">
        <v>1.8</v>
      </c>
      <c r="D54" s="67">
        <v>1.75</v>
      </c>
      <c r="E54" s="67">
        <v>1.7</v>
      </c>
      <c r="F54" s="93">
        <v>1.65</v>
      </c>
      <c r="G54" s="67">
        <v>1.6</v>
      </c>
      <c r="H54" s="69">
        <v>1.55</v>
      </c>
      <c r="I54" s="67">
        <v>1.5</v>
      </c>
      <c r="J54" s="178">
        <v>1.45</v>
      </c>
      <c r="K54" s="378">
        <v>1.4</v>
      </c>
      <c r="L54" s="86" t="s">
        <v>592</v>
      </c>
      <c r="M54" s="205"/>
      <c r="N54" s="205"/>
      <c r="O54" s="205"/>
      <c r="P54" s="205"/>
      <c r="Q54" s="205"/>
      <c r="R54" s="205"/>
      <c r="S54" s="205"/>
      <c r="T54" s="205"/>
      <c r="U54" s="205"/>
      <c r="V54" s="205"/>
      <c r="W54" s="205"/>
      <c r="X54" s="276"/>
    </row>
    <row r="55" ht="21" customHeight="1" spans="1:24">
      <c r="A55" s="26" t="s">
        <v>593</v>
      </c>
      <c r="B55" s="315"/>
      <c r="C55" s="315"/>
      <c r="D55" s="315"/>
      <c r="E55" s="315"/>
      <c r="F55" s="315"/>
      <c r="G55" s="315"/>
      <c r="H55" s="315"/>
      <c r="I55" s="315"/>
      <c r="J55" s="315"/>
      <c r="K55" s="315"/>
      <c r="L55" s="315"/>
      <c r="M55" s="315"/>
      <c r="N55" s="315"/>
      <c r="O55" s="315"/>
      <c r="P55" s="315"/>
      <c r="Q55" s="315"/>
      <c r="R55" s="315"/>
      <c r="S55" s="315"/>
      <c r="T55" s="315"/>
      <c r="U55" s="315"/>
      <c r="V55" s="315"/>
      <c r="W55" s="315"/>
      <c r="X55" s="319"/>
    </row>
  </sheetData>
  <sheetProtection formatCells="0" insertHyperlinks="0" autoFilter="0"/>
  <mergeCells count="69">
    <mergeCell ref="A1:C1"/>
    <mergeCell ref="D1:T1"/>
    <mergeCell ref="U1:X1"/>
    <mergeCell ref="B2:D2"/>
    <mergeCell ref="F2:H2"/>
    <mergeCell ref="J2:V2"/>
    <mergeCell ref="W2:X2"/>
    <mergeCell ref="A3:X3"/>
    <mergeCell ref="A4:X4"/>
    <mergeCell ref="A5:X5"/>
    <mergeCell ref="A6:X6"/>
    <mergeCell ref="A7:X7"/>
    <mergeCell ref="A8:X8"/>
    <mergeCell ref="G9:O9"/>
    <mergeCell ref="P9:X9"/>
    <mergeCell ref="A10:X10"/>
    <mergeCell ref="A11:B11"/>
    <mergeCell ref="L11:N11"/>
    <mergeCell ref="Q11:S11"/>
    <mergeCell ref="W11:X11"/>
    <mergeCell ref="A12:B12"/>
    <mergeCell ref="A13:B13"/>
    <mergeCell ref="A14:B14"/>
    <mergeCell ref="A15:B15"/>
    <mergeCell ref="L15:X15"/>
    <mergeCell ref="A16:B16"/>
    <mergeCell ref="L16:X16"/>
    <mergeCell ref="A17:X17"/>
    <mergeCell ref="A18:B18"/>
    <mergeCell ref="A19:B19"/>
    <mergeCell ref="A20:B20"/>
    <mergeCell ref="B21:K21"/>
    <mergeCell ref="L21:X21"/>
    <mergeCell ref="A32:X32"/>
    <mergeCell ref="G33:O33"/>
    <mergeCell ref="P33:X33"/>
    <mergeCell ref="A34:X34"/>
    <mergeCell ref="A35:B35"/>
    <mergeCell ref="L35:N35"/>
    <mergeCell ref="Q35:S35"/>
    <mergeCell ref="W35:X35"/>
    <mergeCell ref="A36:B36"/>
    <mergeCell ref="A37:B37"/>
    <mergeCell ref="A38:B38"/>
    <mergeCell ref="A39:B39"/>
    <mergeCell ref="A40:B40"/>
    <mergeCell ref="A41:X41"/>
    <mergeCell ref="A42:B42"/>
    <mergeCell ref="A43:B43"/>
    <mergeCell ref="A44:B44"/>
    <mergeCell ref="A45:B45"/>
    <mergeCell ref="A46:B46"/>
    <mergeCell ref="A47:B47"/>
    <mergeCell ref="A48:B48"/>
    <mergeCell ref="A49:B49"/>
    <mergeCell ref="L49:X49"/>
    <mergeCell ref="A50:B50"/>
    <mergeCell ref="L50:X50"/>
    <mergeCell ref="A51:B51"/>
    <mergeCell ref="L51:X51"/>
    <mergeCell ref="A52:B52"/>
    <mergeCell ref="L52:X52"/>
    <mergeCell ref="A53:B53"/>
    <mergeCell ref="L53:X53"/>
    <mergeCell ref="A54:B54"/>
    <mergeCell ref="L54:X54"/>
    <mergeCell ref="A55:X55"/>
    <mergeCell ref="A22:A31"/>
    <mergeCell ref="L22:X31"/>
  </mergeCells>
  <pageMargins left="0.75" right="0.75" top="1" bottom="1" header="0.5" footer="0.5"/>
  <headerFooter/>
  <picture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0.计算器</vt:lpstr>
      <vt:lpstr>1.管线</vt:lpstr>
      <vt:lpstr>2.投手</vt:lpstr>
      <vt:lpstr>3.海星&amp;竞技</vt:lpstr>
      <vt:lpstr>4.增幅</vt:lpstr>
      <vt:lpstr>5.产能 </vt:lpstr>
      <vt:lpstr>6.反弹＆承载</vt:lpstr>
      <vt:lpstr>7.对空</vt:lpstr>
      <vt:lpstr>8.旋转</vt:lpstr>
      <vt:lpstr>9.追踪</vt:lpstr>
      <vt:lpstr>10.三锅&amp;拳手&amp;鱼刺&amp;啃食</vt:lpstr>
      <vt:lpstr>11.对地</vt:lpstr>
      <vt:lpstr>12.灰烬炸弹</vt:lpstr>
      <vt:lpstr>12'非灰烬炸弹</vt:lpstr>
      <vt:lpstr>13.辅助</vt:lpstr>
      <vt:lpstr>14.防御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陌路不住你的心</cp:lastModifiedBy>
  <dcterms:created xsi:type="dcterms:W3CDTF">2022-10-16T09:53:44Z</dcterms:created>
  <dcterms:modified xsi:type="dcterms:W3CDTF">2022-10-16T10:04:35Z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FB54647C28B441A480BC8148012B3823</vt:lpwstr>
  </property>
  <property fmtid="{D5CDD505-2E9C-101B-9397-08002B2CF9AE}" pid="3" name="KSOProductBuildVer">
    <vt:lpwstr>2052-11.1.0.12358</vt:lpwstr>
  </property>
</Properties>
</file>